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jibril\Desktop\"/>
    </mc:Choice>
  </mc:AlternateContent>
  <bookViews>
    <workbookView xWindow="0" yWindow="0" windowWidth="23040" windowHeight="9070"/>
  </bookViews>
  <sheets>
    <sheet name="Weekly Valuation" sheetId="1" r:id="rId1"/>
    <sheet name="NAV Comparison" sheetId="2" r:id="rId2"/>
    <sheet name="Market Share" sheetId="3" r:id="rId3"/>
    <sheet name="8-Week Movement in NAV" sheetId="5" r:id="rId4"/>
    <sheet name="8-Week Movement in ETFs" sheetId="6" r:id="rId5"/>
    <sheet name="NAV Trend" sheetId="4" state="hidden" r:id="rId6"/>
  </sheets>
  <definedNames>
    <definedName name="FX_RATE">'Weekly Valuation'!$W$137</definedName>
    <definedName name="NFEM_RATE" localSheetId="0">'Weekly Valuation'!$W$137</definedName>
  </definedNames>
  <calcPr calcId="162913"/>
</workbook>
</file>

<file path=xl/calcChain.xml><?xml version="1.0" encoding="utf-8"?>
<calcChain xmlns="http://schemas.openxmlformats.org/spreadsheetml/2006/main">
  <c r="K133" i="1" l="1"/>
  <c r="N133" i="1"/>
  <c r="M133" i="1"/>
  <c r="N141" i="1" l="1"/>
  <c r="M141" i="1"/>
  <c r="K141" i="1"/>
  <c r="N138" i="1" l="1"/>
  <c r="M138" i="1"/>
  <c r="K138" i="1"/>
  <c r="K139" i="1" l="1"/>
  <c r="N122" i="1"/>
  <c r="M122" i="1"/>
  <c r="K122" i="1"/>
  <c r="N125" i="1"/>
  <c r="M125" i="1"/>
  <c r="K125" i="1"/>
  <c r="N147" i="1"/>
  <c r="M147" i="1"/>
  <c r="M155" i="1" l="1"/>
  <c r="K155" i="1"/>
  <c r="N146" i="1"/>
  <c r="M146" i="1"/>
  <c r="K146" i="1"/>
  <c r="N149" i="1" l="1"/>
  <c r="M149" i="1"/>
  <c r="K149" i="1"/>
  <c r="N151" i="1"/>
  <c r="M151" i="1"/>
  <c r="K151" i="1"/>
  <c r="M123" i="1"/>
  <c r="K123" i="1"/>
  <c r="N137" i="1" l="1"/>
  <c r="M137" i="1"/>
  <c r="K137" i="1"/>
  <c r="K145" i="1" l="1"/>
  <c r="N124" i="1" l="1"/>
  <c r="M124" i="1"/>
  <c r="K124" i="1"/>
  <c r="K143" i="1"/>
  <c r="K119" i="1"/>
  <c r="N132" i="1"/>
  <c r="M132" i="1"/>
  <c r="K132" i="1"/>
  <c r="N154" i="1"/>
  <c r="M154" i="1"/>
  <c r="K154" i="1"/>
  <c r="N148" i="1"/>
  <c r="M148" i="1"/>
  <c r="K148" i="1"/>
  <c r="N234" i="1" l="1"/>
  <c r="M234" i="1"/>
  <c r="K234" i="1"/>
  <c r="N121" i="1"/>
  <c r="M121" i="1"/>
  <c r="K121" i="1"/>
  <c r="N120" i="1"/>
  <c r="M120" i="1"/>
  <c r="K120" i="1"/>
  <c r="N130" i="1"/>
  <c r="M130" i="1"/>
  <c r="K130" i="1"/>
  <c r="N236" i="1" l="1"/>
  <c r="M236" i="1"/>
  <c r="K236" i="1"/>
  <c r="N128" i="1"/>
  <c r="M128" i="1"/>
  <c r="K128" i="1"/>
  <c r="N127" i="1"/>
  <c r="M127" i="1"/>
  <c r="K127" i="1"/>
  <c r="N153" i="1"/>
  <c r="M153" i="1"/>
  <c r="K153" i="1"/>
  <c r="N152" i="1" l="1"/>
  <c r="M152" i="1"/>
  <c r="K152" i="1"/>
  <c r="N134" i="1"/>
  <c r="M134" i="1"/>
  <c r="K134" i="1"/>
  <c r="N131" i="1"/>
  <c r="K131" i="1"/>
  <c r="K129" i="1"/>
  <c r="N155" i="1" l="1"/>
  <c r="N123" i="1" l="1"/>
  <c r="M131" i="1" l="1"/>
  <c r="N143" i="1" l="1"/>
  <c r="M143" i="1"/>
  <c r="R35" i="1" l="1"/>
  <c r="V24" i="1"/>
  <c r="U24" i="1"/>
  <c r="T24" i="1"/>
  <c r="S24" i="1"/>
  <c r="R24" i="1"/>
  <c r="K202" i="1" l="1"/>
  <c r="N129" i="1" l="1"/>
  <c r="V190" i="1" l="1"/>
  <c r="U190" i="1"/>
  <c r="T190" i="1"/>
  <c r="S190" i="1"/>
  <c r="R190" i="1"/>
  <c r="N145" i="1" l="1"/>
  <c r="M145" i="1"/>
  <c r="R143" i="1" l="1"/>
  <c r="S132" i="1"/>
  <c r="S128" i="1"/>
  <c r="S127" i="1"/>
  <c r="S236" i="1"/>
  <c r="J10" i="4"/>
  <c r="I4" i="5" s="1"/>
  <c r="I3" i="5" s="1"/>
  <c r="I10" i="4"/>
  <c r="H4" i="5" s="1"/>
  <c r="H3" i="5" s="1"/>
  <c r="H10" i="4"/>
  <c r="G4" i="5" s="1"/>
  <c r="G3" i="5" s="1"/>
  <c r="G10" i="4"/>
  <c r="F4" i="5" s="1"/>
  <c r="F3" i="5" s="1"/>
  <c r="F10" i="4"/>
  <c r="E4" i="5" s="1"/>
  <c r="E3" i="5" s="1"/>
  <c r="E10" i="4"/>
  <c r="D10" i="4"/>
  <c r="C4" i="5" s="1"/>
  <c r="C3" i="5" s="1"/>
  <c r="C10" i="4"/>
  <c r="B10" i="4"/>
  <c r="I4" i="6"/>
  <c r="I3" i="6" s="1"/>
  <c r="H4" i="6"/>
  <c r="H3" i="6" s="1"/>
  <c r="G4" i="6"/>
  <c r="G3" i="6" s="1"/>
  <c r="F4" i="6"/>
  <c r="F3" i="6" s="1"/>
  <c r="E4" i="6"/>
  <c r="E3" i="6" s="1"/>
  <c r="D4" i="6"/>
  <c r="D3" i="6" s="1"/>
  <c r="C4" i="6"/>
  <c r="C3" i="6" s="1"/>
  <c r="B4" i="6"/>
  <c r="B3" i="6" s="1"/>
  <c r="B4" i="5"/>
  <c r="B3" i="5" s="1"/>
  <c r="V259" i="1"/>
  <c r="U259" i="1"/>
  <c r="S259" i="1"/>
  <c r="O259" i="1"/>
  <c r="K259" i="1"/>
  <c r="L258" i="1" s="1"/>
  <c r="H259" i="1"/>
  <c r="D259" i="1"/>
  <c r="E257" i="1" s="1"/>
  <c r="V258" i="1"/>
  <c r="U258" i="1"/>
  <c r="T258" i="1"/>
  <c r="S258" i="1"/>
  <c r="R258" i="1"/>
  <c r="V257" i="1"/>
  <c r="U257" i="1"/>
  <c r="T257" i="1"/>
  <c r="S257" i="1"/>
  <c r="R257" i="1"/>
  <c r="V256" i="1"/>
  <c r="U256" i="1"/>
  <c r="T256" i="1"/>
  <c r="S256" i="1"/>
  <c r="R256" i="1"/>
  <c r="V255" i="1"/>
  <c r="U255" i="1"/>
  <c r="T255" i="1"/>
  <c r="S255" i="1"/>
  <c r="R255" i="1"/>
  <c r="V254" i="1"/>
  <c r="U254" i="1"/>
  <c r="T254" i="1"/>
  <c r="S254" i="1"/>
  <c r="R254" i="1"/>
  <c r="V253" i="1"/>
  <c r="U253" i="1"/>
  <c r="T253" i="1"/>
  <c r="S253" i="1"/>
  <c r="R253" i="1"/>
  <c r="V252" i="1"/>
  <c r="U252" i="1"/>
  <c r="T252" i="1"/>
  <c r="S252" i="1"/>
  <c r="R252" i="1"/>
  <c r="V251" i="1"/>
  <c r="U251" i="1"/>
  <c r="T251" i="1"/>
  <c r="S251" i="1"/>
  <c r="R251" i="1"/>
  <c r="V250" i="1"/>
  <c r="U250" i="1"/>
  <c r="T250" i="1"/>
  <c r="S250" i="1"/>
  <c r="R250" i="1"/>
  <c r="V249" i="1"/>
  <c r="U249" i="1"/>
  <c r="T249" i="1"/>
  <c r="S249" i="1"/>
  <c r="R249" i="1"/>
  <c r="V248" i="1"/>
  <c r="U248" i="1"/>
  <c r="T248" i="1"/>
  <c r="S248" i="1"/>
  <c r="R248" i="1"/>
  <c r="V247" i="1"/>
  <c r="U247" i="1"/>
  <c r="T247" i="1"/>
  <c r="S247" i="1"/>
  <c r="R247" i="1"/>
  <c r="O244" i="1"/>
  <c r="K244" i="1"/>
  <c r="L243" i="1" s="1"/>
  <c r="H244" i="1"/>
  <c r="D244" i="1"/>
  <c r="E243" i="1" s="1"/>
  <c r="V243" i="1"/>
  <c r="U243" i="1"/>
  <c r="T243" i="1"/>
  <c r="S243" i="1"/>
  <c r="R243" i="1"/>
  <c r="V242" i="1"/>
  <c r="U242" i="1"/>
  <c r="T242" i="1"/>
  <c r="S242" i="1"/>
  <c r="R242" i="1"/>
  <c r="O239" i="1"/>
  <c r="H239" i="1"/>
  <c r="D239" i="1"/>
  <c r="V238" i="1"/>
  <c r="U238" i="1"/>
  <c r="T238" i="1"/>
  <c r="S238" i="1"/>
  <c r="R238" i="1"/>
  <c r="V237" i="1"/>
  <c r="U237" i="1"/>
  <c r="T237" i="1"/>
  <c r="S237" i="1"/>
  <c r="R237" i="1"/>
  <c r="V236" i="1"/>
  <c r="U236" i="1"/>
  <c r="T236" i="1"/>
  <c r="R236" i="1"/>
  <c r="V235" i="1"/>
  <c r="U235" i="1"/>
  <c r="T235" i="1"/>
  <c r="S235" i="1"/>
  <c r="R235" i="1"/>
  <c r="V234" i="1"/>
  <c r="U234" i="1"/>
  <c r="T234" i="1"/>
  <c r="S234" i="1"/>
  <c r="K239" i="1"/>
  <c r="V230" i="1"/>
  <c r="U230" i="1"/>
  <c r="S230" i="1"/>
  <c r="O230" i="1"/>
  <c r="K230" i="1"/>
  <c r="L221" i="1" s="1"/>
  <c r="H230" i="1"/>
  <c r="D230" i="1"/>
  <c r="V229" i="1"/>
  <c r="U229" i="1"/>
  <c r="T229" i="1"/>
  <c r="S229" i="1"/>
  <c r="R229" i="1"/>
  <c r="V228" i="1"/>
  <c r="U228" i="1"/>
  <c r="T228" i="1"/>
  <c r="S228" i="1"/>
  <c r="R228" i="1"/>
  <c r="V227" i="1"/>
  <c r="U227" i="1"/>
  <c r="T227" i="1"/>
  <c r="S227" i="1"/>
  <c r="R227" i="1"/>
  <c r="V226" i="1"/>
  <c r="U226" i="1"/>
  <c r="T226" i="1"/>
  <c r="S226" i="1"/>
  <c r="R226" i="1"/>
  <c r="V223" i="1"/>
  <c r="U223" i="1"/>
  <c r="T223" i="1"/>
  <c r="S223" i="1"/>
  <c r="R223" i="1"/>
  <c r="V222" i="1"/>
  <c r="U222" i="1"/>
  <c r="T222" i="1"/>
  <c r="S222" i="1"/>
  <c r="R222" i="1"/>
  <c r="V221" i="1"/>
  <c r="U221" i="1"/>
  <c r="T221" i="1"/>
  <c r="S221" i="1"/>
  <c r="R221" i="1"/>
  <c r="V220" i="1"/>
  <c r="U220" i="1"/>
  <c r="T220" i="1"/>
  <c r="S220" i="1"/>
  <c r="R220" i="1"/>
  <c r="V219" i="1"/>
  <c r="U219" i="1"/>
  <c r="T219" i="1"/>
  <c r="S219" i="1"/>
  <c r="R219" i="1"/>
  <c r="V218" i="1"/>
  <c r="U218" i="1"/>
  <c r="T218" i="1"/>
  <c r="S218" i="1"/>
  <c r="R218" i="1"/>
  <c r="V217" i="1"/>
  <c r="U217" i="1"/>
  <c r="T217" i="1"/>
  <c r="S217" i="1"/>
  <c r="R217" i="1"/>
  <c r="V216" i="1"/>
  <c r="U216" i="1"/>
  <c r="T216" i="1"/>
  <c r="S216" i="1"/>
  <c r="R216" i="1"/>
  <c r="V215" i="1"/>
  <c r="U215" i="1"/>
  <c r="T215" i="1"/>
  <c r="S215" i="1"/>
  <c r="R215" i="1"/>
  <c r="V214" i="1"/>
  <c r="U214" i="1"/>
  <c r="T214" i="1"/>
  <c r="S214" i="1"/>
  <c r="R214" i="1"/>
  <c r="V213" i="1"/>
  <c r="U213" i="1"/>
  <c r="T213" i="1"/>
  <c r="S213" i="1"/>
  <c r="R213" i="1"/>
  <c r="V212" i="1"/>
  <c r="U212" i="1"/>
  <c r="T212" i="1"/>
  <c r="S212" i="1"/>
  <c r="R212" i="1"/>
  <c r="V211" i="1"/>
  <c r="U211" i="1"/>
  <c r="T211" i="1"/>
  <c r="S211" i="1"/>
  <c r="R211" i="1"/>
  <c r="V210" i="1"/>
  <c r="U210" i="1"/>
  <c r="T210" i="1"/>
  <c r="S210" i="1"/>
  <c r="R210" i="1"/>
  <c r="V207" i="1"/>
  <c r="U207" i="1"/>
  <c r="T207" i="1"/>
  <c r="S207" i="1"/>
  <c r="R207" i="1"/>
  <c r="V206" i="1"/>
  <c r="U206" i="1"/>
  <c r="T206" i="1"/>
  <c r="S206" i="1"/>
  <c r="R206" i="1"/>
  <c r="V202" i="1"/>
  <c r="U202" i="1"/>
  <c r="S202" i="1"/>
  <c r="O202" i="1"/>
  <c r="B2" i="3"/>
  <c r="H202" i="1"/>
  <c r="D202" i="1"/>
  <c r="B19" i="2" s="1"/>
  <c r="B9" i="2" s="1"/>
  <c r="V201" i="1"/>
  <c r="U201" i="1"/>
  <c r="T201" i="1"/>
  <c r="S201" i="1"/>
  <c r="R201" i="1"/>
  <c r="V200" i="1"/>
  <c r="U200" i="1"/>
  <c r="T200" i="1"/>
  <c r="S200" i="1"/>
  <c r="R200" i="1"/>
  <c r="L200" i="1"/>
  <c r="V197" i="1"/>
  <c r="U197" i="1"/>
  <c r="S197" i="1"/>
  <c r="O197" i="1"/>
  <c r="K197" i="1"/>
  <c r="H197" i="1"/>
  <c r="D197" i="1"/>
  <c r="E168" i="1" s="1"/>
  <c r="V196" i="1"/>
  <c r="U196" i="1"/>
  <c r="T196" i="1"/>
  <c r="S196" i="1"/>
  <c r="R196" i="1"/>
  <c r="V195" i="1"/>
  <c r="U195" i="1"/>
  <c r="T195" i="1"/>
  <c r="S195" i="1"/>
  <c r="R195" i="1"/>
  <c r="V194" i="1"/>
  <c r="U194" i="1"/>
  <c r="T194" i="1"/>
  <c r="S194" i="1"/>
  <c r="R194" i="1"/>
  <c r="V193" i="1"/>
  <c r="U193" i="1"/>
  <c r="T193" i="1"/>
  <c r="S193" i="1"/>
  <c r="R193" i="1"/>
  <c r="V192" i="1"/>
  <c r="U192" i="1"/>
  <c r="T192" i="1"/>
  <c r="S192" i="1"/>
  <c r="R192" i="1"/>
  <c r="V191" i="1"/>
  <c r="U191" i="1"/>
  <c r="T191" i="1"/>
  <c r="S191" i="1"/>
  <c r="R191" i="1"/>
  <c r="V189" i="1"/>
  <c r="U189" i="1"/>
  <c r="T189" i="1"/>
  <c r="S189" i="1"/>
  <c r="R189" i="1"/>
  <c r="V188" i="1"/>
  <c r="U188" i="1"/>
  <c r="T188" i="1"/>
  <c r="S188" i="1"/>
  <c r="R188" i="1"/>
  <c r="V187" i="1"/>
  <c r="U187" i="1"/>
  <c r="T187" i="1"/>
  <c r="S187" i="1"/>
  <c r="R187" i="1"/>
  <c r="V186" i="1"/>
  <c r="U186" i="1"/>
  <c r="T186" i="1"/>
  <c r="S186" i="1"/>
  <c r="R186" i="1"/>
  <c r="V185" i="1"/>
  <c r="U185" i="1"/>
  <c r="T185" i="1"/>
  <c r="S185" i="1"/>
  <c r="R185" i="1"/>
  <c r="V184" i="1"/>
  <c r="U184" i="1"/>
  <c r="T184" i="1"/>
  <c r="S184" i="1"/>
  <c r="R184" i="1"/>
  <c r="V183" i="1"/>
  <c r="U183" i="1"/>
  <c r="T183" i="1"/>
  <c r="S183" i="1"/>
  <c r="R183" i="1"/>
  <c r="V182" i="1"/>
  <c r="U182" i="1"/>
  <c r="T182" i="1"/>
  <c r="S182" i="1"/>
  <c r="R182" i="1"/>
  <c r="V181" i="1"/>
  <c r="U181" i="1"/>
  <c r="T181" i="1"/>
  <c r="S181" i="1"/>
  <c r="R181" i="1"/>
  <c r="V180" i="1"/>
  <c r="U180" i="1"/>
  <c r="T180" i="1"/>
  <c r="S180" i="1"/>
  <c r="R180" i="1"/>
  <c r="V179" i="1"/>
  <c r="U179" i="1"/>
  <c r="T179" i="1"/>
  <c r="S179" i="1"/>
  <c r="R179" i="1"/>
  <c r="V178" i="1"/>
  <c r="U178" i="1"/>
  <c r="T178" i="1"/>
  <c r="S178" i="1"/>
  <c r="R178" i="1"/>
  <c r="V177" i="1"/>
  <c r="U177" i="1"/>
  <c r="T177" i="1"/>
  <c r="S177" i="1"/>
  <c r="R177" i="1"/>
  <c r="V176" i="1"/>
  <c r="U176" i="1"/>
  <c r="T176" i="1"/>
  <c r="S176" i="1"/>
  <c r="R176" i="1"/>
  <c r="V175" i="1"/>
  <c r="U175" i="1"/>
  <c r="T175" i="1"/>
  <c r="S175" i="1"/>
  <c r="R175" i="1"/>
  <c r="V174" i="1"/>
  <c r="U174" i="1"/>
  <c r="T174" i="1"/>
  <c r="S174" i="1"/>
  <c r="R174" i="1"/>
  <c r="V173" i="1"/>
  <c r="U173" i="1"/>
  <c r="T173" i="1"/>
  <c r="S173" i="1"/>
  <c r="R173" i="1"/>
  <c r="V172" i="1"/>
  <c r="U172" i="1"/>
  <c r="T172" i="1"/>
  <c r="S172" i="1"/>
  <c r="R172" i="1"/>
  <c r="V171" i="1"/>
  <c r="U171" i="1"/>
  <c r="T171" i="1"/>
  <c r="S171" i="1"/>
  <c r="R171" i="1"/>
  <c r="V170" i="1"/>
  <c r="U170" i="1"/>
  <c r="T170" i="1"/>
  <c r="S170" i="1"/>
  <c r="R170" i="1"/>
  <c r="V169" i="1"/>
  <c r="U169" i="1"/>
  <c r="T169" i="1"/>
  <c r="S169" i="1"/>
  <c r="R169" i="1"/>
  <c r="V168" i="1"/>
  <c r="U168" i="1"/>
  <c r="T168" i="1"/>
  <c r="S168" i="1"/>
  <c r="R168" i="1"/>
  <c r="V165" i="1"/>
  <c r="U165" i="1"/>
  <c r="S165" i="1"/>
  <c r="O165" i="1"/>
  <c r="K165" i="1"/>
  <c r="L161" i="1" s="1"/>
  <c r="H165" i="1"/>
  <c r="D165" i="1"/>
  <c r="B17" i="2" s="1"/>
  <c r="B7" i="2" s="1"/>
  <c r="V164" i="1"/>
  <c r="U164" i="1"/>
  <c r="T164" i="1"/>
  <c r="S164" i="1"/>
  <c r="R164" i="1"/>
  <c r="V163" i="1"/>
  <c r="U163" i="1"/>
  <c r="T163" i="1"/>
  <c r="S163" i="1"/>
  <c r="R163" i="1"/>
  <c r="V162" i="1"/>
  <c r="U162" i="1"/>
  <c r="T162" i="1"/>
  <c r="S162" i="1"/>
  <c r="R162" i="1"/>
  <c r="V161" i="1"/>
  <c r="U161" i="1"/>
  <c r="T161" i="1"/>
  <c r="S161" i="1"/>
  <c r="R161" i="1"/>
  <c r="V160" i="1"/>
  <c r="U160" i="1"/>
  <c r="T160" i="1"/>
  <c r="S160" i="1"/>
  <c r="R160" i="1"/>
  <c r="V159" i="1"/>
  <c r="U159" i="1"/>
  <c r="T159" i="1"/>
  <c r="S159" i="1"/>
  <c r="R159" i="1"/>
  <c r="V156" i="1"/>
  <c r="U156" i="1"/>
  <c r="S156" i="1"/>
  <c r="O156" i="1"/>
  <c r="H156" i="1"/>
  <c r="D156" i="1"/>
  <c r="B16" i="2" s="1"/>
  <c r="B6" i="2" s="1"/>
  <c r="V155" i="1"/>
  <c r="U155" i="1"/>
  <c r="T155" i="1"/>
  <c r="R155" i="1"/>
  <c r="S155" i="1"/>
  <c r="V154" i="1"/>
  <c r="U154" i="1"/>
  <c r="T154" i="1"/>
  <c r="R154" i="1"/>
  <c r="S154" i="1"/>
  <c r="V153" i="1"/>
  <c r="U153" i="1"/>
  <c r="T153" i="1"/>
  <c r="S153" i="1"/>
  <c r="V152" i="1"/>
  <c r="U152" i="1"/>
  <c r="T152" i="1"/>
  <c r="S152" i="1"/>
  <c r="R152" i="1"/>
  <c r="V151" i="1"/>
  <c r="U151" i="1"/>
  <c r="T151" i="1"/>
  <c r="S151" i="1"/>
  <c r="R151" i="1"/>
  <c r="V150" i="1"/>
  <c r="U150" i="1"/>
  <c r="T150" i="1"/>
  <c r="S150" i="1"/>
  <c r="R150" i="1"/>
  <c r="V149" i="1"/>
  <c r="U149" i="1"/>
  <c r="T149" i="1"/>
  <c r="S149" i="1"/>
  <c r="R149" i="1"/>
  <c r="V148" i="1"/>
  <c r="U148" i="1"/>
  <c r="T148" i="1"/>
  <c r="S148" i="1"/>
  <c r="R148" i="1"/>
  <c r="V147" i="1"/>
  <c r="U147" i="1"/>
  <c r="T147" i="1"/>
  <c r="R147" i="1"/>
  <c r="S147" i="1"/>
  <c r="V146" i="1"/>
  <c r="U146" i="1"/>
  <c r="T146" i="1"/>
  <c r="S146" i="1"/>
  <c r="R146" i="1"/>
  <c r="V145" i="1"/>
  <c r="U145" i="1"/>
  <c r="T145" i="1"/>
  <c r="S145" i="1"/>
  <c r="R145" i="1"/>
  <c r="V144" i="1"/>
  <c r="U144" i="1"/>
  <c r="T144" i="1"/>
  <c r="R144" i="1"/>
  <c r="N144" i="1"/>
  <c r="S144" i="1" s="1"/>
  <c r="M144" i="1"/>
  <c r="V143" i="1"/>
  <c r="U143" i="1"/>
  <c r="T143" i="1"/>
  <c r="S143" i="1"/>
  <c r="V142" i="1"/>
  <c r="U142" i="1"/>
  <c r="T142" i="1"/>
  <c r="S142" i="1"/>
  <c r="R142" i="1"/>
  <c r="V141" i="1"/>
  <c r="U141" i="1"/>
  <c r="T141" i="1"/>
  <c r="S141" i="1"/>
  <c r="R141" i="1"/>
  <c r="V140" i="1"/>
  <c r="U140" i="1"/>
  <c r="T140" i="1"/>
  <c r="S140" i="1"/>
  <c r="R140" i="1"/>
  <c r="V139" i="1"/>
  <c r="U139" i="1"/>
  <c r="T139" i="1"/>
  <c r="N139" i="1"/>
  <c r="S139" i="1" s="1"/>
  <c r="M139" i="1"/>
  <c r="V138" i="1"/>
  <c r="U138" i="1"/>
  <c r="T138" i="1"/>
  <c r="S138" i="1"/>
  <c r="R138" i="1"/>
  <c r="V137" i="1"/>
  <c r="U137" i="1"/>
  <c r="T137" i="1"/>
  <c r="S137" i="1"/>
  <c r="R137" i="1"/>
  <c r="V134" i="1"/>
  <c r="U134" i="1"/>
  <c r="T134" i="1"/>
  <c r="S134" i="1"/>
  <c r="R134" i="1"/>
  <c r="V133" i="1"/>
  <c r="U133" i="1"/>
  <c r="T133" i="1"/>
  <c r="S133" i="1"/>
  <c r="R133" i="1"/>
  <c r="V132" i="1"/>
  <c r="U132" i="1"/>
  <c r="T132" i="1"/>
  <c r="R132" i="1"/>
  <c r="V131" i="1"/>
  <c r="U131" i="1"/>
  <c r="T131" i="1"/>
  <c r="S131" i="1"/>
  <c r="R131" i="1"/>
  <c r="V130" i="1"/>
  <c r="U130" i="1"/>
  <c r="T130" i="1"/>
  <c r="S130" i="1"/>
  <c r="R130" i="1"/>
  <c r="V129" i="1"/>
  <c r="U129" i="1"/>
  <c r="T129" i="1"/>
  <c r="S129" i="1"/>
  <c r="M129" i="1"/>
  <c r="V128" i="1"/>
  <c r="U128" i="1"/>
  <c r="T128" i="1"/>
  <c r="V127" i="1"/>
  <c r="U127" i="1"/>
  <c r="T127" i="1"/>
  <c r="V126" i="1"/>
  <c r="U126" i="1"/>
  <c r="T126" i="1"/>
  <c r="S126" i="1"/>
  <c r="R126" i="1"/>
  <c r="V125" i="1"/>
  <c r="U125" i="1"/>
  <c r="T125" i="1"/>
  <c r="S125" i="1"/>
  <c r="R125" i="1"/>
  <c r="V124" i="1"/>
  <c r="U124" i="1"/>
  <c r="T124" i="1"/>
  <c r="S124" i="1"/>
  <c r="R124" i="1"/>
  <c r="V123" i="1"/>
  <c r="U123" i="1"/>
  <c r="T123" i="1"/>
  <c r="S123" i="1"/>
  <c r="R123" i="1"/>
  <c r="V122" i="1"/>
  <c r="U122" i="1"/>
  <c r="T122" i="1"/>
  <c r="S122" i="1"/>
  <c r="R122" i="1"/>
  <c r="V121" i="1"/>
  <c r="U121" i="1"/>
  <c r="T121" i="1"/>
  <c r="S121" i="1"/>
  <c r="R121" i="1"/>
  <c r="V120" i="1"/>
  <c r="U120" i="1"/>
  <c r="T120" i="1"/>
  <c r="S120" i="1"/>
  <c r="V119" i="1"/>
  <c r="U119" i="1"/>
  <c r="T119" i="1"/>
  <c r="N119" i="1"/>
  <c r="S119" i="1" s="1"/>
  <c r="M119" i="1"/>
  <c r="V118" i="1"/>
  <c r="U118" i="1"/>
  <c r="T118" i="1"/>
  <c r="S118" i="1"/>
  <c r="V114" i="1"/>
  <c r="U114" i="1"/>
  <c r="S114" i="1"/>
  <c r="O114" i="1"/>
  <c r="K114" i="1"/>
  <c r="H114" i="1"/>
  <c r="D114" i="1"/>
  <c r="B15" i="2" s="1"/>
  <c r="B5" i="2" s="1"/>
  <c r="V113" i="1"/>
  <c r="U113" i="1"/>
  <c r="T113" i="1"/>
  <c r="S113" i="1"/>
  <c r="R113" i="1"/>
  <c r="V112" i="1"/>
  <c r="U112" i="1"/>
  <c r="T112" i="1"/>
  <c r="S112" i="1"/>
  <c r="R112" i="1"/>
  <c r="V111" i="1"/>
  <c r="U111" i="1"/>
  <c r="T111" i="1"/>
  <c r="S111" i="1"/>
  <c r="R111" i="1"/>
  <c r="V110" i="1"/>
  <c r="U110" i="1"/>
  <c r="T110" i="1"/>
  <c r="S110" i="1"/>
  <c r="R110" i="1"/>
  <c r="V109" i="1"/>
  <c r="U109" i="1"/>
  <c r="T109" i="1"/>
  <c r="S109" i="1"/>
  <c r="R109" i="1"/>
  <c r="V108" i="1"/>
  <c r="U108" i="1"/>
  <c r="T108" i="1"/>
  <c r="S108" i="1"/>
  <c r="R108" i="1"/>
  <c r="V107" i="1"/>
  <c r="U107" i="1"/>
  <c r="T107" i="1"/>
  <c r="S107" i="1"/>
  <c r="R107" i="1"/>
  <c r="V106" i="1"/>
  <c r="U106" i="1"/>
  <c r="T106" i="1"/>
  <c r="S106" i="1"/>
  <c r="R106" i="1"/>
  <c r="V105" i="1"/>
  <c r="U105" i="1"/>
  <c r="T105" i="1"/>
  <c r="S105" i="1"/>
  <c r="R105" i="1"/>
  <c r="V104" i="1"/>
  <c r="U104" i="1"/>
  <c r="T104" i="1"/>
  <c r="S104" i="1"/>
  <c r="R104" i="1"/>
  <c r="V103" i="1"/>
  <c r="U103" i="1"/>
  <c r="T103" i="1"/>
  <c r="S103" i="1"/>
  <c r="R103" i="1"/>
  <c r="V102" i="1"/>
  <c r="U102" i="1"/>
  <c r="T102" i="1"/>
  <c r="S102" i="1"/>
  <c r="R102" i="1"/>
  <c r="V101" i="1"/>
  <c r="U101" i="1"/>
  <c r="T101" i="1"/>
  <c r="S101" i="1"/>
  <c r="R101" i="1"/>
  <c r="V100" i="1"/>
  <c r="U100" i="1"/>
  <c r="T100" i="1"/>
  <c r="S100" i="1"/>
  <c r="R100" i="1"/>
  <c r="V99" i="1"/>
  <c r="U99" i="1"/>
  <c r="T99" i="1"/>
  <c r="S99" i="1"/>
  <c r="R99" i="1"/>
  <c r="V98" i="1"/>
  <c r="U98" i="1"/>
  <c r="T98" i="1"/>
  <c r="S98" i="1"/>
  <c r="R98" i="1"/>
  <c r="V97" i="1"/>
  <c r="U97" i="1"/>
  <c r="T97" i="1"/>
  <c r="S97" i="1"/>
  <c r="R97" i="1"/>
  <c r="V96" i="1"/>
  <c r="U96" i="1"/>
  <c r="T96" i="1"/>
  <c r="S96" i="1"/>
  <c r="R96" i="1"/>
  <c r="V95" i="1"/>
  <c r="U95" i="1"/>
  <c r="T95" i="1"/>
  <c r="S95" i="1"/>
  <c r="R95" i="1"/>
  <c r="V94" i="1"/>
  <c r="U94" i="1"/>
  <c r="T94" i="1"/>
  <c r="S94" i="1"/>
  <c r="R94" i="1"/>
  <c r="V93" i="1"/>
  <c r="U93" i="1"/>
  <c r="T93" i="1"/>
  <c r="S93" i="1"/>
  <c r="R93" i="1"/>
  <c r="V92" i="1"/>
  <c r="U92" i="1"/>
  <c r="T92" i="1"/>
  <c r="S92" i="1"/>
  <c r="R92" i="1"/>
  <c r="V91" i="1"/>
  <c r="U91" i="1"/>
  <c r="T91" i="1"/>
  <c r="S91" i="1"/>
  <c r="R91" i="1"/>
  <c r="V90" i="1"/>
  <c r="U90" i="1"/>
  <c r="T90" i="1"/>
  <c r="S90" i="1"/>
  <c r="R90" i="1"/>
  <c r="V89" i="1"/>
  <c r="U89" i="1"/>
  <c r="T89" i="1"/>
  <c r="S89" i="1"/>
  <c r="R89" i="1"/>
  <c r="V88" i="1"/>
  <c r="U88" i="1"/>
  <c r="T88" i="1"/>
  <c r="S88" i="1"/>
  <c r="R88" i="1"/>
  <c r="V87" i="1"/>
  <c r="U87" i="1"/>
  <c r="T87" i="1"/>
  <c r="S87" i="1"/>
  <c r="R87" i="1"/>
  <c r="V86" i="1"/>
  <c r="U86" i="1"/>
  <c r="T86" i="1"/>
  <c r="S86" i="1"/>
  <c r="R86" i="1"/>
  <c r="V85" i="1"/>
  <c r="U85" i="1"/>
  <c r="T85" i="1"/>
  <c r="S85" i="1"/>
  <c r="R85" i="1"/>
  <c r="V84" i="1"/>
  <c r="U84" i="1"/>
  <c r="T84" i="1"/>
  <c r="S84" i="1"/>
  <c r="R84" i="1"/>
  <c r="V83" i="1"/>
  <c r="U83" i="1"/>
  <c r="T83" i="1"/>
  <c r="S83" i="1"/>
  <c r="R83" i="1"/>
  <c r="V82" i="1"/>
  <c r="U82" i="1"/>
  <c r="T82" i="1"/>
  <c r="S82" i="1"/>
  <c r="R82" i="1"/>
  <c r="V81" i="1"/>
  <c r="U81" i="1"/>
  <c r="T81" i="1"/>
  <c r="S81" i="1"/>
  <c r="R81" i="1"/>
  <c r="V80" i="1"/>
  <c r="U80" i="1"/>
  <c r="T80" i="1"/>
  <c r="S80" i="1"/>
  <c r="R80" i="1"/>
  <c r="V79" i="1"/>
  <c r="U79" i="1"/>
  <c r="T79" i="1"/>
  <c r="S79" i="1"/>
  <c r="R79" i="1"/>
  <c r="V78" i="1"/>
  <c r="U78" i="1"/>
  <c r="T78" i="1"/>
  <c r="S78" i="1"/>
  <c r="R78" i="1"/>
  <c r="V77" i="1"/>
  <c r="U77" i="1"/>
  <c r="T77" i="1"/>
  <c r="S77" i="1"/>
  <c r="R77" i="1"/>
  <c r="V76" i="1"/>
  <c r="U76" i="1"/>
  <c r="T76" i="1"/>
  <c r="S76" i="1"/>
  <c r="R76" i="1"/>
  <c r="V75" i="1"/>
  <c r="U75" i="1"/>
  <c r="T75" i="1"/>
  <c r="S75" i="1"/>
  <c r="R75" i="1"/>
  <c r="V72" i="1"/>
  <c r="U72" i="1"/>
  <c r="S72" i="1"/>
  <c r="O72" i="1"/>
  <c r="K72" i="1"/>
  <c r="H72" i="1"/>
  <c r="D72" i="1"/>
  <c r="B14" i="2" s="1"/>
  <c r="B4" i="2" s="1"/>
  <c r="V71" i="1"/>
  <c r="U71" i="1"/>
  <c r="T71" i="1"/>
  <c r="S71" i="1"/>
  <c r="R71" i="1"/>
  <c r="V70" i="1"/>
  <c r="U70" i="1"/>
  <c r="T70" i="1"/>
  <c r="S70" i="1"/>
  <c r="R70" i="1"/>
  <c r="V69" i="1"/>
  <c r="U69" i="1"/>
  <c r="T69" i="1"/>
  <c r="S69" i="1"/>
  <c r="R69" i="1"/>
  <c r="V68" i="1"/>
  <c r="U68" i="1"/>
  <c r="T68" i="1"/>
  <c r="S68" i="1"/>
  <c r="R68" i="1"/>
  <c r="V67" i="1"/>
  <c r="U67" i="1"/>
  <c r="T67" i="1"/>
  <c r="S67" i="1"/>
  <c r="R67" i="1"/>
  <c r="V66" i="1"/>
  <c r="U66" i="1"/>
  <c r="T66" i="1"/>
  <c r="S66" i="1"/>
  <c r="R66" i="1"/>
  <c r="V65" i="1"/>
  <c r="U65" i="1"/>
  <c r="T65" i="1"/>
  <c r="S65" i="1"/>
  <c r="R65" i="1"/>
  <c r="V64" i="1"/>
  <c r="U64" i="1"/>
  <c r="T64" i="1"/>
  <c r="S64" i="1"/>
  <c r="R64" i="1"/>
  <c r="V63" i="1"/>
  <c r="U63" i="1"/>
  <c r="T63" i="1"/>
  <c r="S63" i="1"/>
  <c r="R63" i="1"/>
  <c r="V62" i="1"/>
  <c r="U62" i="1"/>
  <c r="T62" i="1"/>
  <c r="S62" i="1"/>
  <c r="R62" i="1"/>
  <c r="V61" i="1"/>
  <c r="U61" i="1"/>
  <c r="T61" i="1"/>
  <c r="S61" i="1"/>
  <c r="R61" i="1"/>
  <c r="V60" i="1"/>
  <c r="U60" i="1"/>
  <c r="T60" i="1"/>
  <c r="S60" i="1"/>
  <c r="R60" i="1"/>
  <c r="V59" i="1"/>
  <c r="U59" i="1"/>
  <c r="T59" i="1"/>
  <c r="S59" i="1"/>
  <c r="R59" i="1"/>
  <c r="V58" i="1"/>
  <c r="U58" i="1"/>
  <c r="T58" i="1"/>
  <c r="S58" i="1"/>
  <c r="R58" i="1"/>
  <c r="V57" i="1"/>
  <c r="U57" i="1"/>
  <c r="T57" i="1"/>
  <c r="S57" i="1"/>
  <c r="R57" i="1"/>
  <c r="V56" i="1"/>
  <c r="U56" i="1"/>
  <c r="T56" i="1"/>
  <c r="S56" i="1"/>
  <c r="R56" i="1"/>
  <c r="V55" i="1"/>
  <c r="U55" i="1"/>
  <c r="T55" i="1"/>
  <c r="S55" i="1"/>
  <c r="R55" i="1"/>
  <c r="V54" i="1"/>
  <c r="U54" i="1"/>
  <c r="T54" i="1"/>
  <c r="S54" i="1"/>
  <c r="R54" i="1"/>
  <c r="V53" i="1"/>
  <c r="U53" i="1"/>
  <c r="T53" i="1"/>
  <c r="S53" i="1"/>
  <c r="R53" i="1"/>
  <c r="V52" i="1"/>
  <c r="U52" i="1"/>
  <c r="T52" i="1"/>
  <c r="S52" i="1"/>
  <c r="R52" i="1"/>
  <c r="V51" i="1"/>
  <c r="U51" i="1"/>
  <c r="T51" i="1"/>
  <c r="S51" i="1"/>
  <c r="R51" i="1"/>
  <c r="V50" i="1"/>
  <c r="U50" i="1"/>
  <c r="T50" i="1"/>
  <c r="S50" i="1"/>
  <c r="R50" i="1"/>
  <c r="V49" i="1"/>
  <c r="U49" i="1"/>
  <c r="T49" i="1"/>
  <c r="S49" i="1"/>
  <c r="R49" i="1"/>
  <c r="V48" i="1"/>
  <c r="U48" i="1"/>
  <c r="T48" i="1"/>
  <c r="S48" i="1"/>
  <c r="R48" i="1"/>
  <c r="V47" i="1"/>
  <c r="U47" i="1"/>
  <c r="T47" i="1"/>
  <c r="S47" i="1"/>
  <c r="R47" i="1"/>
  <c r="V46" i="1"/>
  <c r="U46" i="1"/>
  <c r="T46" i="1"/>
  <c r="S46" i="1"/>
  <c r="R46" i="1"/>
  <c r="V45" i="1"/>
  <c r="U45" i="1"/>
  <c r="T45" i="1"/>
  <c r="S45" i="1"/>
  <c r="R45" i="1"/>
  <c r="V44" i="1"/>
  <c r="U44" i="1"/>
  <c r="T44" i="1"/>
  <c r="S44" i="1"/>
  <c r="R44" i="1"/>
  <c r="V43" i="1"/>
  <c r="U43" i="1"/>
  <c r="T43" i="1"/>
  <c r="S43" i="1"/>
  <c r="R43" i="1"/>
  <c r="V42" i="1"/>
  <c r="U42" i="1"/>
  <c r="T42" i="1"/>
  <c r="S42" i="1"/>
  <c r="R42" i="1"/>
  <c r="V41" i="1"/>
  <c r="U41" i="1"/>
  <c r="T41" i="1"/>
  <c r="S41" i="1"/>
  <c r="R41" i="1"/>
  <c r="V40" i="1"/>
  <c r="U40" i="1"/>
  <c r="T40" i="1"/>
  <c r="S40" i="1"/>
  <c r="R40" i="1"/>
  <c r="V39" i="1"/>
  <c r="U39" i="1"/>
  <c r="T39" i="1"/>
  <c r="S39" i="1"/>
  <c r="R39" i="1"/>
  <c r="V38" i="1"/>
  <c r="U38" i="1"/>
  <c r="T38" i="1"/>
  <c r="S38" i="1"/>
  <c r="R38" i="1"/>
  <c r="V37" i="1"/>
  <c r="U37" i="1"/>
  <c r="T37" i="1"/>
  <c r="S37" i="1"/>
  <c r="R37" i="1"/>
  <c r="V36" i="1"/>
  <c r="U36" i="1"/>
  <c r="T36" i="1"/>
  <c r="S36" i="1"/>
  <c r="R36" i="1"/>
  <c r="V35" i="1"/>
  <c r="U35" i="1"/>
  <c r="T35" i="1"/>
  <c r="S35" i="1"/>
  <c r="V34" i="1"/>
  <c r="U34" i="1"/>
  <c r="T34" i="1"/>
  <c r="S34" i="1"/>
  <c r="R34" i="1"/>
  <c r="V33" i="1"/>
  <c r="U33" i="1"/>
  <c r="T33" i="1"/>
  <c r="S33" i="1"/>
  <c r="R33" i="1"/>
  <c r="V32" i="1"/>
  <c r="U32" i="1"/>
  <c r="T32" i="1"/>
  <c r="S32" i="1"/>
  <c r="R32" i="1"/>
  <c r="V31" i="1"/>
  <c r="U31" i="1"/>
  <c r="T31" i="1"/>
  <c r="S31" i="1"/>
  <c r="R31" i="1"/>
  <c r="V30" i="1"/>
  <c r="U30" i="1"/>
  <c r="T30" i="1"/>
  <c r="S30" i="1"/>
  <c r="R30" i="1"/>
  <c r="V29" i="1"/>
  <c r="U29" i="1"/>
  <c r="T29" i="1"/>
  <c r="S29" i="1"/>
  <c r="R29" i="1"/>
  <c r="V26" i="1"/>
  <c r="U26" i="1"/>
  <c r="S26" i="1"/>
  <c r="O26" i="1"/>
  <c r="K26" i="1"/>
  <c r="H26" i="1"/>
  <c r="D26" i="1"/>
  <c r="E13" i="1" s="1"/>
  <c r="V25" i="1"/>
  <c r="U25" i="1"/>
  <c r="T25" i="1"/>
  <c r="S25" i="1"/>
  <c r="R25" i="1"/>
  <c r="V23" i="1"/>
  <c r="U23" i="1"/>
  <c r="T23" i="1"/>
  <c r="S23" i="1"/>
  <c r="R23" i="1"/>
  <c r="V22" i="1"/>
  <c r="U22" i="1"/>
  <c r="T22" i="1"/>
  <c r="S22" i="1"/>
  <c r="R22" i="1"/>
  <c r="V21" i="1"/>
  <c r="U21" i="1"/>
  <c r="T21" i="1"/>
  <c r="S21" i="1"/>
  <c r="R21" i="1"/>
  <c r="V20" i="1"/>
  <c r="U20" i="1"/>
  <c r="T20" i="1"/>
  <c r="S20" i="1"/>
  <c r="R20" i="1"/>
  <c r="V19" i="1"/>
  <c r="U19" i="1"/>
  <c r="T19" i="1"/>
  <c r="S19" i="1"/>
  <c r="R19" i="1"/>
  <c r="V18" i="1"/>
  <c r="U18" i="1"/>
  <c r="T18" i="1"/>
  <c r="S18" i="1"/>
  <c r="R18" i="1"/>
  <c r="V17" i="1"/>
  <c r="U17" i="1"/>
  <c r="T17" i="1"/>
  <c r="S17" i="1"/>
  <c r="R17" i="1"/>
  <c r="V16" i="1"/>
  <c r="U16" i="1"/>
  <c r="T16" i="1"/>
  <c r="S16" i="1"/>
  <c r="R16" i="1"/>
  <c r="V15" i="1"/>
  <c r="U15" i="1"/>
  <c r="T15" i="1"/>
  <c r="S15" i="1"/>
  <c r="R15" i="1"/>
  <c r="V14" i="1"/>
  <c r="U14" i="1"/>
  <c r="T14" i="1"/>
  <c r="S14" i="1"/>
  <c r="R14" i="1"/>
  <c r="V13" i="1"/>
  <c r="U13" i="1"/>
  <c r="T13" i="1"/>
  <c r="S13" i="1"/>
  <c r="R13" i="1"/>
  <c r="V12" i="1"/>
  <c r="U12" i="1"/>
  <c r="T12" i="1"/>
  <c r="S12" i="1"/>
  <c r="R12" i="1"/>
  <c r="V11" i="1"/>
  <c r="U11" i="1"/>
  <c r="T11" i="1"/>
  <c r="S11" i="1"/>
  <c r="R11" i="1"/>
  <c r="V10" i="1"/>
  <c r="U10" i="1"/>
  <c r="T10" i="1"/>
  <c r="S10" i="1"/>
  <c r="R10" i="1"/>
  <c r="V9" i="1"/>
  <c r="U9" i="1"/>
  <c r="T9" i="1"/>
  <c r="S9" i="1"/>
  <c r="R9" i="1"/>
  <c r="V8" i="1"/>
  <c r="U8" i="1"/>
  <c r="T8" i="1"/>
  <c r="S8" i="1"/>
  <c r="R8" i="1"/>
  <c r="V7" i="1"/>
  <c r="U7" i="1"/>
  <c r="T7" i="1"/>
  <c r="S7" i="1"/>
  <c r="R7" i="1"/>
  <c r="V6" i="1"/>
  <c r="U6" i="1"/>
  <c r="T6" i="1"/>
  <c r="S6" i="1"/>
  <c r="R6" i="1"/>
  <c r="L57" i="1" l="1"/>
  <c r="L71" i="1"/>
  <c r="L113" i="1"/>
  <c r="L99" i="1"/>
  <c r="L64" i="1"/>
  <c r="F12" i="4"/>
  <c r="L70" i="1"/>
  <c r="L39" i="1"/>
  <c r="E35" i="1"/>
  <c r="E24" i="1"/>
  <c r="E9" i="1"/>
  <c r="L78" i="1"/>
  <c r="L12" i="1"/>
  <c r="L24" i="1"/>
  <c r="E7" i="1"/>
  <c r="E11" i="1"/>
  <c r="E15" i="1"/>
  <c r="L30" i="1"/>
  <c r="E99" i="1"/>
  <c r="L213" i="1"/>
  <c r="E112" i="1"/>
  <c r="E21" i="1"/>
  <c r="E19" i="1"/>
  <c r="T197" i="1"/>
  <c r="E17" i="1"/>
  <c r="E98" i="1"/>
  <c r="E176" i="1"/>
  <c r="E174" i="1"/>
  <c r="E172" i="1"/>
  <c r="E170" i="1"/>
  <c r="L94" i="1"/>
  <c r="L163" i="1"/>
  <c r="L190" i="1"/>
  <c r="L180" i="1"/>
  <c r="L45" i="1"/>
  <c r="E242" i="1"/>
  <c r="E94" i="1"/>
  <c r="E96" i="1"/>
  <c r="E92" i="1"/>
  <c r="E76" i="1"/>
  <c r="E90" i="1"/>
  <c r="E88" i="1"/>
  <c r="E100" i="1"/>
  <c r="B18" i="2"/>
  <c r="B8" i="2" s="1"/>
  <c r="E190" i="1"/>
  <c r="E161" i="1"/>
  <c r="E159" i="1"/>
  <c r="E58" i="1"/>
  <c r="E60" i="1"/>
  <c r="E66" i="1"/>
  <c r="E162" i="1"/>
  <c r="E164" i="1"/>
  <c r="E86" i="1"/>
  <c r="E110" i="1"/>
  <c r="E84" i="1"/>
  <c r="E108" i="1"/>
  <c r="E64" i="1"/>
  <c r="E82" i="1"/>
  <c r="E106" i="1"/>
  <c r="L59" i="1"/>
  <c r="L61" i="1"/>
  <c r="L63" i="1"/>
  <c r="L65" i="1"/>
  <c r="L67" i="1"/>
  <c r="E80" i="1"/>
  <c r="E104" i="1"/>
  <c r="E62" i="1"/>
  <c r="E78" i="1"/>
  <c r="E102" i="1"/>
  <c r="E68" i="1"/>
  <c r="L69" i="1"/>
  <c r="E70" i="1"/>
  <c r="B4" i="3"/>
  <c r="L77" i="1"/>
  <c r="L68" i="1"/>
  <c r="L32" i="1"/>
  <c r="B20" i="2"/>
  <c r="B10" i="2" s="1"/>
  <c r="E236" i="1"/>
  <c r="T202" i="1"/>
  <c r="E226" i="1"/>
  <c r="E201" i="1"/>
  <c r="E51" i="1"/>
  <c r="E178" i="1"/>
  <c r="E163" i="1"/>
  <c r="E23" i="1"/>
  <c r="D12" i="4"/>
  <c r="T230" i="1"/>
  <c r="L85" i="1"/>
  <c r="E52" i="1"/>
  <c r="L53" i="1"/>
  <c r="E54" i="1"/>
  <c r="L55" i="1"/>
  <c r="E56" i="1"/>
  <c r="L22" i="1"/>
  <c r="L35" i="1"/>
  <c r="B5" i="3"/>
  <c r="L178" i="1"/>
  <c r="E154" i="1"/>
  <c r="K156" i="1"/>
  <c r="B8" i="3" s="1"/>
  <c r="T259" i="1"/>
  <c r="R259" i="1"/>
  <c r="E248" i="1"/>
  <c r="E250" i="1"/>
  <c r="E252" i="1"/>
  <c r="E254" i="1"/>
  <c r="E258" i="1"/>
  <c r="E256" i="1"/>
  <c r="E247" i="1"/>
  <c r="E249" i="1"/>
  <c r="E251" i="1"/>
  <c r="E253" i="1"/>
  <c r="E255" i="1"/>
  <c r="R244" i="1"/>
  <c r="E212" i="1"/>
  <c r="E210" i="1"/>
  <c r="E206" i="1"/>
  <c r="E228" i="1"/>
  <c r="E222" i="1"/>
  <c r="E220" i="1"/>
  <c r="E218" i="1"/>
  <c r="E216" i="1"/>
  <c r="E200" i="1"/>
  <c r="E195" i="1"/>
  <c r="E193" i="1"/>
  <c r="E191" i="1"/>
  <c r="E188" i="1"/>
  <c r="E186" i="1"/>
  <c r="E169" i="1"/>
  <c r="E171" i="1"/>
  <c r="E184" i="1"/>
  <c r="E182" i="1"/>
  <c r="E180" i="1"/>
  <c r="T165" i="1"/>
  <c r="T156" i="1"/>
  <c r="E130" i="1"/>
  <c r="E145" i="1"/>
  <c r="E147" i="1"/>
  <c r="E118" i="1"/>
  <c r="E120" i="1"/>
  <c r="E128" i="1"/>
  <c r="E126" i="1"/>
  <c r="E134" i="1"/>
  <c r="E151" i="1"/>
  <c r="E122" i="1"/>
  <c r="E138" i="1"/>
  <c r="E140" i="1"/>
  <c r="E142" i="1"/>
  <c r="E153" i="1"/>
  <c r="E144" i="1"/>
  <c r="E129" i="1"/>
  <c r="E146" i="1"/>
  <c r="E155" i="1"/>
  <c r="E119" i="1"/>
  <c r="E131" i="1"/>
  <c r="E148" i="1"/>
  <c r="E121" i="1"/>
  <c r="E125" i="1"/>
  <c r="E127" i="1"/>
  <c r="E133" i="1"/>
  <c r="E150" i="1"/>
  <c r="E152" i="1"/>
  <c r="E132" i="1"/>
  <c r="E149" i="1"/>
  <c r="E123" i="1"/>
  <c r="E137" i="1"/>
  <c r="E139" i="1"/>
  <c r="E143" i="1"/>
  <c r="H231" i="1"/>
  <c r="H260" i="1" s="1"/>
  <c r="T114" i="1"/>
  <c r="R114" i="1"/>
  <c r="E81" i="1"/>
  <c r="E83" i="1"/>
  <c r="E85" i="1"/>
  <c r="E101" i="1"/>
  <c r="E103" i="1"/>
  <c r="E105" i="1"/>
  <c r="E107" i="1"/>
  <c r="E109" i="1"/>
  <c r="E111" i="1"/>
  <c r="E113" i="1"/>
  <c r="E75" i="1"/>
  <c r="E77" i="1"/>
  <c r="E87" i="1"/>
  <c r="E89" i="1"/>
  <c r="E91" i="1"/>
  <c r="E93" i="1"/>
  <c r="E95" i="1"/>
  <c r="E97" i="1"/>
  <c r="T72" i="1"/>
  <c r="E6" i="1"/>
  <c r="E8" i="1"/>
  <c r="E10" i="1"/>
  <c r="E12" i="1"/>
  <c r="E14" i="1"/>
  <c r="E16" i="1"/>
  <c r="E18" i="1"/>
  <c r="E22" i="1"/>
  <c r="E25" i="1"/>
  <c r="E20" i="1"/>
  <c r="J12" i="4"/>
  <c r="D4" i="5"/>
  <c r="D3" i="5" s="1"/>
  <c r="H12" i="4"/>
  <c r="L37" i="1"/>
  <c r="L206" i="1"/>
  <c r="L207" i="1"/>
  <c r="L212" i="1"/>
  <c r="L214" i="1"/>
  <c r="L215" i="1"/>
  <c r="L218" i="1"/>
  <c r="L219" i="1"/>
  <c r="L222" i="1"/>
  <c r="L223" i="1"/>
  <c r="L228" i="1"/>
  <c r="L229" i="1"/>
  <c r="L93" i="1"/>
  <c r="L105" i="1"/>
  <c r="L75" i="1"/>
  <c r="L81" i="1"/>
  <c r="L89" i="1"/>
  <c r="L97" i="1"/>
  <c r="L101" i="1"/>
  <c r="L109" i="1"/>
  <c r="L79" i="1"/>
  <c r="L83" i="1"/>
  <c r="L87" i="1"/>
  <c r="L91" i="1"/>
  <c r="L95" i="1"/>
  <c r="L103" i="1"/>
  <c r="L107" i="1"/>
  <c r="L111" i="1"/>
  <c r="L171" i="1"/>
  <c r="L174" i="1"/>
  <c r="L175" i="1"/>
  <c r="L179" i="1"/>
  <c r="L182" i="1"/>
  <c r="L183" i="1"/>
  <c r="L186" i="1"/>
  <c r="L187" i="1"/>
  <c r="L191" i="1"/>
  <c r="L192" i="1"/>
  <c r="L195" i="1"/>
  <c r="L196" i="1"/>
  <c r="L169" i="1"/>
  <c r="L250" i="1"/>
  <c r="L254" i="1"/>
  <c r="L248" i="1"/>
  <c r="L252" i="1"/>
  <c r="L256" i="1"/>
  <c r="L247" i="1"/>
  <c r="L249" i="1"/>
  <c r="L251" i="1"/>
  <c r="L253" i="1"/>
  <c r="L255" i="1"/>
  <c r="L257" i="1"/>
  <c r="L51" i="1"/>
  <c r="L168" i="1"/>
  <c r="L170" i="1"/>
  <c r="L172" i="1"/>
  <c r="L173" i="1"/>
  <c r="L176" i="1"/>
  <c r="L177" i="1"/>
  <c r="L181" i="1"/>
  <c r="L184" i="1"/>
  <c r="L185" i="1"/>
  <c r="L188" i="1"/>
  <c r="L189" i="1"/>
  <c r="L193" i="1"/>
  <c r="L194" i="1"/>
  <c r="E29" i="1"/>
  <c r="E31" i="1"/>
  <c r="E33" i="1"/>
  <c r="L34" i="1"/>
  <c r="L23" i="1"/>
  <c r="L10" i="1"/>
  <c r="L6" i="1"/>
  <c r="L14" i="1"/>
  <c r="L8" i="1"/>
  <c r="L16" i="1"/>
  <c r="L7" i="1"/>
  <c r="L9" i="1"/>
  <c r="L11" i="1"/>
  <c r="L13" i="1"/>
  <c r="L15" i="1"/>
  <c r="L19" i="1"/>
  <c r="L17" i="1"/>
  <c r="L21" i="1"/>
  <c r="L76" i="1"/>
  <c r="E79" i="1"/>
  <c r="L80" i="1"/>
  <c r="L82" i="1"/>
  <c r="L84" i="1"/>
  <c r="L86" i="1"/>
  <c r="L88" i="1"/>
  <c r="L90" i="1"/>
  <c r="L92" i="1"/>
  <c r="L96" i="1"/>
  <c r="L98" i="1"/>
  <c r="L100" i="1"/>
  <c r="L102" i="1"/>
  <c r="L104" i="1"/>
  <c r="L106" i="1"/>
  <c r="L108" i="1"/>
  <c r="L110" i="1"/>
  <c r="L112" i="1"/>
  <c r="L36" i="1"/>
  <c r="E37" i="1"/>
  <c r="L38" i="1"/>
  <c r="E39" i="1"/>
  <c r="L40" i="1"/>
  <c r="L41" i="1"/>
  <c r="E42" i="1"/>
  <c r="L43" i="1"/>
  <c r="E44" i="1"/>
  <c r="E46" i="1"/>
  <c r="L47" i="1"/>
  <c r="E48" i="1"/>
  <c r="L49" i="1"/>
  <c r="E50" i="1"/>
  <c r="O231" i="1"/>
  <c r="O260" i="1" s="1"/>
  <c r="L210" i="1"/>
  <c r="L211" i="1"/>
  <c r="L216" i="1"/>
  <c r="L217" i="1"/>
  <c r="L220" i="1"/>
  <c r="L18" i="1"/>
  <c r="L20" i="1"/>
  <c r="L29" i="1"/>
  <c r="E30" i="1"/>
  <c r="L31" i="1"/>
  <c r="E32" i="1"/>
  <c r="L33" i="1"/>
  <c r="E34" i="1"/>
  <c r="E36" i="1"/>
  <c r="E38" i="1"/>
  <c r="E40" i="1"/>
  <c r="L42" i="1"/>
  <c r="E43" i="1"/>
  <c r="L44" i="1"/>
  <c r="E45" i="1"/>
  <c r="L46" i="1"/>
  <c r="E47" i="1"/>
  <c r="L48" i="1"/>
  <c r="E49" i="1"/>
  <c r="L50" i="1"/>
  <c r="L52" i="1"/>
  <c r="E53" i="1"/>
  <c r="L54" i="1"/>
  <c r="E55" i="1"/>
  <c r="L56" i="1"/>
  <c r="E57" i="1"/>
  <c r="L58" i="1"/>
  <c r="E59" i="1"/>
  <c r="L60" i="1"/>
  <c r="E61" i="1"/>
  <c r="L62" i="1"/>
  <c r="E63" i="1"/>
  <c r="E65" i="1"/>
  <c r="L66" i="1"/>
  <c r="E67" i="1"/>
  <c r="E69" i="1"/>
  <c r="E71" i="1"/>
  <c r="B3" i="3"/>
  <c r="C13" i="2"/>
  <c r="C3" i="2" s="1"/>
  <c r="R72" i="1"/>
  <c r="R118" i="1"/>
  <c r="R119" i="1"/>
  <c r="R120" i="1"/>
  <c r="R127" i="1"/>
  <c r="R128" i="1"/>
  <c r="R129" i="1"/>
  <c r="R153" i="1"/>
  <c r="B6" i="3"/>
  <c r="C17" i="2"/>
  <c r="C7" i="2" s="1"/>
  <c r="R165" i="1"/>
  <c r="L164" i="1"/>
  <c r="L162" i="1"/>
  <c r="L160" i="1"/>
  <c r="L159" i="1"/>
  <c r="L237" i="1"/>
  <c r="L234" i="1"/>
  <c r="R239" i="1"/>
  <c r="L238" i="1"/>
  <c r="L235" i="1"/>
  <c r="L25" i="1"/>
  <c r="B13" i="2"/>
  <c r="B3" i="2" s="1"/>
  <c r="D231" i="1"/>
  <c r="E230" i="1" s="1"/>
  <c r="R26" i="1"/>
  <c r="T26" i="1"/>
  <c r="B9" i="3"/>
  <c r="C14" i="2"/>
  <c r="C4" i="2" s="1"/>
  <c r="B7" i="3"/>
  <c r="C15" i="2"/>
  <c r="C5" i="2" s="1"/>
  <c r="L140" i="1"/>
  <c r="E141" i="1"/>
  <c r="L141" i="1"/>
  <c r="E173" i="1"/>
  <c r="E175" i="1"/>
  <c r="E177" i="1"/>
  <c r="E179" i="1"/>
  <c r="E181" i="1"/>
  <c r="E183" i="1"/>
  <c r="E185" i="1"/>
  <c r="E187" i="1"/>
  <c r="E189" i="1"/>
  <c r="E192" i="1"/>
  <c r="E194" i="1"/>
  <c r="E196" i="1"/>
  <c r="L201" i="1"/>
  <c r="R202" i="1"/>
  <c r="E207" i="1"/>
  <c r="E211" i="1"/>
  <c r="E214" i="1"/>
  <c r="E217" i="1"/>
  <c r="E219" i="1"/>
  <c r="E221" i="1"/>
  <c r="E223" i="1"/>
  <c r="L226" i="1"/>
  <c r="E227" i="1"/>
  <c r="E229" i="1"/>
  <c r="R234" i="1"/>
  <c r="L236" i="1"/>
  <c r="E237" i="1"/>
  <c r="L242" i="1"/>
  <c r="C18" i="2"/>
  <c r="C8" i="2" s="1"/>
  <c r="C19" i="2"/>
  <c r="C9" i="2" s="1"/>
  <c r="C20" i="2"/>
  <c r="C10" i="2" s="1"/>
  <c r="C12" i="4"/>
  <c r="E12" i="4"/>
  <c r="G12" i="4"/>
  <c r="I12" i="4"/>
  <c r="R197" i="1"/>
  <c r="L227" i="1"/>
  <c r="R230" i="1"/>
  <c r="E234" i="1"/>
  <c r="E235" i="1"/>
  <c r="E238" i="1"/>
  <c r="L143" i="1" l="1"/>
  <c r="L125" i="1"/>
  <c r="L131" i="1"/>
  <c r="L120" i="1"/>
  <c r="L145" i="1"/>
  <c r="L129" i="1"/>
  <c r="L122" i="1"/>
  <c r="L137" i="1"/>
  <c r="L152" i="1"/>
  <c r="L155" i="1"/>
  <c r="L149" i="1"/>
  <c r="K231" i="1"/>
  <c r="L156" i="1" s="1"/>
  <c r="L119" i="1"/>
  <c r="L147" i="1"/>
  <c r="L126" i="1"/>
  <c r="L133" i="1"/>
  <c r="L139" i="1"/>
  <c r="L150" i="1"/>
  <c r="C16" i="2"/>
  <c r="C6" i="2" s="1"/>
  <c r="L154" i="1"/>
  <c r="L118" i="1"/>
  <c r="L148" i="1"/>
  <c r="L124" i="1"/>
  <c r="L153" i="1"/>
  <c r="L127" i="1"/>
  <c r="L128" i="1"/>
  <c r="L142" i="1"/>
  <c r="L121" i="1"/>
  <c r="L123" i="1"/>
  <c r="L130" i="1"/>
  <c r="L132" i="1"/>
  <c r="L134" i="1"/>
  <c r="L138" i="1"/>
  <c r="L144" i="1"/>
  <c r="L146" i="1"/>
  <c r="L151" i="1"/>
  <c r="R156" i="1"/>
  <c r="E197" i="1"/>
  <c r="E114" i="1"/>
  <c r="D260" i="1"/>
  <c r="E202" i="1"/>
  <c r="E156" i="1"/>
  <c r="E165" i="1"/>
  <c r="E26" i="1"/>
  <c r="E72" i="1"/>
  <c r="L202" i="1" l="1"/>
  <c r="R231" i="1"/>
  <c r="L72" i="1"/>
  <c r="L230" i="1"/>
  <c r="L165" i="1"/>
  <c r="L197" i="1"/>
  <c r="K260" i="1"/>
  <c r="L114" i="1"/>
  <c r="L26" i="1"/>
</calcChain>
</file>

<file path=xl/sharedStrings.xml><?xml version="1.0" encoding="utf-8"?>
<sst xmlns="http://schemas.openxmlformats.org/spreadsheetml/2006/main" count="531" uniqueCount="337">
  <si>
    <t>% Change (Current from Previous)</t>
  </si>
  <si>
    <t>Difference</t>
  </si>
  <si>
    <t>S/N</t>
  </si>
  <si>
    <t>FUND</t>
  </si>
  <si>
    <t>FUND MANAGER</t>
  </si>
  <si>
    <t>NAV (N)</t>
  </si>
  <si>
    <t>% to Total</t>
  </si>
  <si>
    <t xml:space="preserve"> </t>
  </si>
  <si>
    <t>Offer Price (N)</t>
  </si>
  <si>
    <t>Unitholders</t>
  </si>
  <si>
    <t>Yield (WTD)</t>
  </si>
  <si>
    <t>Yield  (YTD)</t>
  </si>
  <si>
    <t>Bid Price (N)</t>
  </si>
  <si>
    <t>NAV (%)</t>
  </si>
  <si>
    <t>Unit Price (%)</t>
  </si>
  <si>
    <t>Uniholders</t>
  </si>
  <si>
    <t>Yield (%) WYD</t>
  </si>
  <si>
    <t>Yield (%) YTD</t>
  </si>
  <si>
    <t>EQUITY BASED FUNDS</t>
  </si>
  <si>
    <t>Afrinvest Equity Fund</t>
  </si>
  <si>
    <t>Afrinvest Asset Mgt Ltd.</t>
  </si>
  <si>
    <t>Anchoria Equity Fund</t>
  </si>
  <si>
    <t>Anchoria Asset Management Limited</t>
  </si>
  <si>
    <t>ARM Aggressive Growth Fund</t>
  </si>
  <si>
    <t>ARM Investment Managers Limited</t>
  </si>
  <si>
    <t>AXA Mansard Equity Income Fund</t>
  </si>
  <si>
    <t>AXA Mansard Investments Limited</t>
  </si>
  <si>
    <t>CardinalStone Equity Fund</t>
  </si>
  <si>
    <t>CardinalStone Asset Mgt. Limited</t>
  </si>
  <si>
    <t>Cowry Equity Fund</t>
  </si>
  <si>
    <t>Cowry Treasurers Limited</t>
  </si>
  <si>
    <t>FBN Nigeria Smart Beta Equity Fund</t>
  </si>
  <si>
    <t>FBNQuest Asset Management Limited</t>
  </si>
  <si>
    <t>Frontier Fund</t>
  </si>
  <si>
    <t>SCM Capital Limited</t>
  </si>
  <si>
    <t>Futureview Equity Fund</t>
  </si>
  <si>
    <t>Futureview Asset Management Limited</t>
  </si>
  <si>
    <t>Guaranty Trust Equity Income Fund</t>
  </si>
  <si>
    <t>Guaranty Trust Fund Managers</t>
  </si>
  <si>
    <t>Halo Equity Fund</t>
  </si>
  <si>
    <t>Halo Asset Management Limited</t>
  </si>
  <si>
    <t>Legacy Equity Fund</t>
  </si>
  <si>
    <t>FCMB Asset Management Limited</t>
  </si>
  <si>
    <t>Meristem Equity Market Fund</t>
  </si>
  <si>
    <t>Meristem Wealth Management Limited</t>
  </si>
  <si>
    <t>PACAM Equity Fund</t>
  </si>
  <si>
    <t>PAC Asset Management Limited</t>
  </si>
  <si>
    <t>Paramount Equity Fund</t>
  </si>
  <si>
    <t>Chapel Hill Denham Mgt. Limited</t>
  </si>
  <si>
    <t>Stanbic IBTC Aggressive Fund (Sub Fund)</t>
  </si>
  <si>
    <t>Stanbic IBTC Asset Mgt. Limited</t>
  </si>
  <si>
    <t>Stanbic IBTC Nigerian Equity Fund</t>
  </si>
  <si>
    <t>United Capital Equity Fund</t>
  </si>
  <si>
    <t>United Capital Asset Mgt. Ltd</t>
  </si>
  <si>
    <t>Zrosk Magna Equity Fund</t>
  </si>
  <si>
    <t>Zrosk Investment Management Limited</t>
  </si>
  <si>
    <t>Sub-Total</t>
  </si>
  <si>
    <t>MONEY MARKET FUNDS</t>
  </si>
  <si>
    <t>Afrinvest Plutus Fund</t>
  </si>
  <si>
    <t>AIICO Money Market Fund</t>
  </si>
  <si>
    <t>AIICO Capital Ltd</t>
  </si>
  <si>
    <t>Anchoria Money Market Fund</t>
  </si>
  <si>
    <t>ARM Money Market Fund</t>
  </si>
  <si>
    <t>AVA GAM Money Market Fund</t>
  </si>
  <si>
    <t>AVA Global Asset Managers Limited</t>
  </si>
  <si>
    <t>AXA Mansard Money Market Fund</t>
  </si>
  <si>
    <t>CardinalStone Money Market Fund</t>
  </si>
  <si>
    <t>Chapel Hill Denham Money Market Fund</t>
  </si>
  <si>
    <t>Comercio Partners Money Market Fund</t>
  </si>
  <si>
    <t>Comercio Partners Asset Management Limited</t>
  </si>
  <si>
    <t>Coral Money Market Fund</t>
  </si>
  <si>
    <t>FSDH Asset Management Ltd</t>
  </si>
  <si>
    <t>Cordros Money Market Fund</t>
  </si>
  <si>
    <t>Cordros Asset Management Limited</t>
  </si>
  <si>
    <t>Coronation Money Market Fund</t>
  </si>
  <si>
    <t>Coronation Asset Management Limited</t>
  </si>
  <si>
    <t>DLM Money Market Fund</t>
  </si>
  <si>
    <t>DLM Asset Management Limited</t>
  </si>
  <si>
    <t>EDC Money Market Fund Class A</t>
  </si>
  <si>
    <t>EDC Fund Management Limited</t>
  </si>
  <si>
    <t>EDC Money Market Fund Class B</t>
  </si>
  <si>
    <t>Emerging Africa Money Market Fund</t>
  </si>
  <si>
    <t>Emerging Africa Asset Management Limited</t>
  </si>
  <si>
    <t>FBN Money Market Fund</t>
  </si>
  <si>
    <t>First Asset Management Limited</t>
  </si>
  <si>
    <t>First Ally Money Market Fund</t>
  </si>
  <si>
    <t>First Ally Asset Management Limited</t>
  </si>
  <si>
    <t>FSL Money Market Fund</t>
  </si>
  <si>
    <t>FSL Asset Management Limited</t>
  </si>
  <si>
    <t>Fundvine Money Market Fund</t>
  </si>
  <si>
    <t>Fundvine Berkshire Asset Management Limited</t>
  </si>
  <si>
    <t>GDL Money Market Fund</t>
  </si>
  <si>
    <t>Growth &amp; Development Asset Management Limited</t>
  </si>
  <si>
    <t>Greenwich Plus Money Market Fund</t>
  </si>
  <si>
    <t>Greenwich Asset Management Limited</t>
  </si>
  <si>
    <t>GTI  Money Market Fund</t>
  </si>
  <si>
    <t>GTI Asset Management &amp; Trust Limited</t>
  </si>
  <si>
    <t>Guaranty Trust Investment Fund 724</t>
  </si>
  <si>
    <t>Guaranty Trust Money Market Fund</t>
  </si>
  <si>
    <t>Legacy Money Market Fund</t>
  </si>
  <si>
    <t>Mango Naira Money Market Fund</t>
  </si>
  <si>
    <t>Mango Asset Management Limited</t>
  </si>
  <si>
    <t>Meristem Money Market Fund</t>
  </si>
  <si>
    <t>Norrenberger Money Market Fund</t>
  </si>
  <si>
    <t>Norrenberger Investment &amp; Capital Mgt. Ltd.</t>
  </si>
  <si>
    <t>Nova Prime Money Market Fund</t>
  </si>
  <si>
    <t xml:space="preserve">Novambl Asset Management </t>
  </si>
  <si>
    <t>PACAM Money Market Fund</t>
  </si>
  <si>
    <t>Page Money Market Fund</t>
  </si>
  <si>
    <t>Page Asset Management Limited</t>
  </si>
  <si>
    <t>Parthian Money Market Fund</t>
  </si>
  <si>
    <t>Parthian Capital Limited</t>
  </si>
  <si>
    <t>RMBN Money Market Fund</t>
  </si>
  <si>
    <t>RMB Nigeria Asset Management Ltd.</t>
  </si>
  <si>
    <t>RT Briscoe Savings &amp; Investment Fund</t>
  </si>
  <si>
    <t>Stanbic IBTC Money Market Fund</t>
  </si>
  <si>
    <t>STL Money Market Fund</t>
  </si>
  <si>
    <t>STL Asset Management Limited</t>
  </si>
  <si>
    <t>Trustbanc Money Market Fund</t>
  </si>
  <si>
    <t>Trustbanc Asset Management Limited</t>
  </si>
  <si>
    <t>United Capital Money Market Fund</t>
  </si>
  <si>
    <t>ValuAlliance Money Market Fund</t>
  </si>
  <si>
    <t>ValuAlliance Asset Management Limited</t>
  </si>
  <si>
    <t>Vetiva Money Market Fund</t>
  </si>
  <si>
    <t>Vetiva Fund Managers</t>
  </si>
  <si>
    <t>Zedcrest Money Market Fund</t>
  </si>
  <si>
    <t>Zedcrest Investment Managers Limited</t>
  </si>
  <si>
    <t>Zenith Money Market Fund</t>
  </si>
  <si>
    <t>Zenith Asset Management Ltd</t>
  </si>
  <si>
    <t>BOND/FIXED INCOME FUNDS</t>
  </si>
  <si>
    <t>Anchoria Fixed Income Fund</t>
  </si>
  <si>
    <t>ARM Fixed Income Fund</t>
  </si>
  <si>
    <t>ARM Short Term Bond Fund</t>
  </si>
  <si>
    <t>AVA GAM Fixed Income Fund</t>
  </si>
  <si>
    <t>CardinalStone Fixed Income Alpha Fund</t>
  </si>
  <si>
    <t>CEAT Fixed Income Fund</t>
  </si>
  <si>
    <t>Capital Express Asset and Trust Limited</t>
  </si>
  <si>
    <t>CFG AM Fixed Income Naira Fund</t>
  </si>
  <si>
    <t>CFG Asset Management Limited</t>
  </si>
  <si>
    <t>Comercio Partners Fixed Income Fund</t>
  </si>
  <si>
    <t>Coral Income Fund</t>
  </si>
  <si>
    <t>Cordros Fixed Income Fund</t>
  </si>
  <si>
    <t>Coronation Fixed Income Fund</t>
  </si>
  <si>
    <t>Coronation Premium Fixed Income Fund</t>
  </si>
  <si>
    <t>Cowry Fixed Income Fund</t>
  </si>
  <si>
    <t>DLM Fixed Income Fund</t>
  </si>
  <si>
    <t>EDC Fixed Income Fund</t>
  </si>
  <si>
    <t>Emerging Africa Bond Fund</t>
  </si>
  <si>
    <t>FBN Bond Fund</t>
  </si>
  <si>
    <t>GDL Income Fund</t>
  </si>
  <si>
    <t>Guaranty Trust Fixed Income Fund</t>
  </si>
  <si>
    <t>Lead Fixed Income Fund</t>
  </si>
  <si>
    <t>Lead Asset Management Limited</t>
  </si>
  <si>
    <t>Legacy Debt Fund</t>
  </si>
  <si>
    <t>Meristem Fixed Income Fund</t>
  </si>
  <si>
    <t>Nigeria Bond Fund</t>
  </si>
  <si>
    <t>Nigeria International Debt Fund</t>
  </si>
  <si>
    <t>Norrenberger Turbo Fund (NTF)</t>
  </si>
  <si>
    <t>PACAM Fixed Income Fund</t>
  </si>
  <si>
    <t>Radix Horizon Fund</t>
  </si>
  <si>
    <t>Radix Capital Partners Limited</t>
  </si>
  <si>
    <t>SFS Fixed Income Fund</t>
  </si>
  <si>
    <t>SFS Capital Nigeria Ltd</t>
  </si>
  <si>
    <t>Stanbic IBTC Absolute Fund (Sub Fund)</t>
  </si>
  <si>
    <t>Stanbic IBTC Bond Fund</t>
  </si>
  <si>
    <t>Stanbic IBTC Conservative Fund (Sub Fund)</t>
  </si>
  <si>
    <t>Stanbic IBTC Enhanced Short-Term Fixed Income Fund</t>
  </si>
  <si>
    <t>Stanbic IBTC Guaranteed Investment Fund</t>
  </si>
  <si>
    <t>Trustbanc Fixed Income Fund</t>
  </si>
  <si>
    <t>United Capital Fixed Income Fund</t>
  </si>
  <si>
    <t>United Capital Stable Income Fund</t>
  </si>
  <si>
    <t>Utica Custodian Assured Fixed Income Fund</t>
  </si>
  <si>
    <t>Utica Capital Limited</t>
  </si>
  <si>
    <t>Zedcrest Fixed Income Fund</t>
  </si>
  <si>
    <t>Zenith Income Fund</t>
  </si>
  <si>
    <t>DOLLAR FUNDS</t>
  </si>
  <si>
    <t>EUROBONDS</t>
  </si>
  <si>
    <t>Afrinvest Dollar Fund</t>
  </si>
  <si>
    <t>AIICO Eurobond Fund</t>
  </si>
  <si>
    <t>ARM Eurobond Fund</t>
  </si>
  <si>
    <t>ARM Short-Term Eurobond Fund</t>
  </si>
  <si>
    <t>CardinalStone Dollar Fund</t>
  </si>
  <si>
    <t>Comercio Partners Dollar Fund</t>
  </si>
  <si>
    <t>Cowry Eurobond Fund</t>
  </si>
  <si>
    <t>EDC Dollar Fund</t>
  </si>
  <si>
    <t>Emerging Africa Eurobond Fund</t>
  </si>
  <si>
    <t>FBN Dollar Fund (Retail)</t>
  </si>
  <si>
    <t>FBN Specialized Dollar Fund</t>
  </si>
  <si>
    <t>FSL Eurobond Fund</t>
  </si>
  <si>
    <t>Futureview Dollar Fund</t>
  </si>
  <si>
    <t>Legacy USD Bond Fund</t>
  </si>
  <si>
    <t>Norrenberger Dollar Fund</t>
  </si>
  <si>
    <t>PACAM Eurobond Fund</t>
  </si>
  <si>
    <t>United Capital Nigerian Eurobond Fund</t>
  </si>
  <si>
    <t>FIXED INCOME</t>
  </si>
  <si>
    <t>AVA GAM Fixed Income Dollar Fund</t>
  </si>
  <si>
    <t>AXA Mansard Dollar Bond Fund</t>
  </si>
  <si>
    <t>CFG AM Fixed Income Dollar Fund</t>
  </si>
  <si>
    <t>Cordros Dollar Fund</t>
  </si>
  <si>
    <t>Coronation Dollar Fund</t>
  </si>
  <si>
    <t>FSDH Dollar Fund</t>
  </si>
  <si>
    <t>Greenwich Fixed Income Dollar Fund</t>
  </si>
  <si>
    <t>Guaranty Trust Dollar Fund</t>
  </si>
  <si>
    <t>Lead Dollar Fixed Income Fund</t>
  </si>
  <si>
    <t>Meristem Dollar Fund</t>
  </si>
  <si>
    <t>Nigeria Dollar Income Fund</t>
  </si>
  <si>
    <t>Nova Dollar Fixed Income Fund</t>
  </si>
  <si>
    <t>Parthian Dollar Fixed Income Fund</t>
  </si>
  <si>
    <t>Stanbic IBTC Dollar Fund</t>
  </si>
  <si>
    <t>STL Dollar Fund</t>
  </si>
  <si>
    <t>United Capital Global Fixed Income Fund</t>
  </si>
  <si>
    <t>RMBN Dollar Fixed Income Fund</t>
  </si>
  <si>
    <t>Vetiva USD Fixed Income Fund</t>
  </si>
  <si>
    <t>Zedcrest Dollar Fund</t>
  </si>
  <si>
    <t>REAL ESTATE INVESTMENT TRUSTS</t>
  </si>
  <si>
    <t>Housing Solution Fund</t>
  </si>
  <si>
    <t>Fundco Capital Managers Limited</t>
  </si>
  <si>
    <t>MOFI Real Estate Investment Fund</t>
  </si>
  <si>
    <t>Nigeria Real Estate Investment Trust</t>
  </si>
  <si>
    <t>Union Homes REITS</t>
  </si>
  <si>
    <t>SFS Real Estate Investment Trust Fund</t>
  </si>
  <si>
    <t>BALANCED FUNDS</t>
  </si>
  <si>
    <t>AIICO Balanced Fund</t>
  </si>
  <si>
    <t>Alpha Morgan Balanced Fund</t>
  </si>
  <si>
    <t>Alpha Morgan Capital Managers Limited</t>
  </si>
  <si>
    <t>ARM Discovery Balanced Fund</t>
  </si>
  <si>
    <t>Balanced Strategy Fund</t>
  </si>
  <si>
    <t>Capital Express Balanced Fund</t>
  </si>
  <si>
    <t>CardinalStone Balanced Fund</t>
  </si>
  <si>
    <t>Coral Balanced Fund</t>
  </si>
  <si>
    <t>Cordros Milestone Fund</t>
  </si>
  <si>
    <t>Coronation Balanced Fund</t>
  </si>
  <si>
    <t xml:space="preserve">Coronation Asset Management </t>
  </si>
  <si>
    <t>Cowry Balanced Fund</t>
  </si>
  <si>
    <t>EDC Balanced Fund</t>
  </si>
  <si>
    <t>Emerging Africa Balanced-Diversity Fund</t>
  </si>
  <si>
    <t>FBN Balanced Fund</t>
  </si>
  <si>
    <t>GDL Canary Growth Fund</t>
  </si>
  <si>
    <t>Greenwich Balanced Fund</t>
  </si>
  <si>
    <t>GTI Balanced Fund</t>
  </si>
  <si>
    <t>Guaranty Trust Balanced Fund</t>
  </si>
  <si>
    <t>Hillcrest Balanced Fund</t>
  </si>
  <si>
    <t>Hillcrest Capital Management Limited</t>
  </si>
  <si>
    <t>Lead Balanced Fund</t>
  </si>
  <si>
    <t>Nigeria Energy Sector Fund</t>
  </si>
  <si>
    <t>Nova Hybrid Balanced Fund</t>
  </si>
  <si>
    <t>PACAM Balanced Fund</t>
  </si>
  <si>
    <t>Stanbic IBTC Balanced Fund</t>
  </si>
  <si>
    <t>STL Balanced Fund</t>
  </si>
  <si>
    <t>The Nigeria Football Fund</t>
  </si>
  <si>
    <t>United Capital Balanced Fund</t>
  </si>
  <si>
    <t>United Capital Wealth for Women Fund</t>
  </si>
  <si>
    <t>ValuAlliance Value Fund</t>
  </si>
  <si>
    <t>ETHICAL FUNDS</t>
  </si>
  <si>
    <t>ESG Impact Fund</t>
  </si>
  <si>
    <t>Zenith Asset Management Ltd.</t>
  </si>
  <si>
    <t>Stanbic IBTC Ethical Fund</t>
  </si>
  <si>
    <t>SHARI'AH COMPLIANT FUNDS</t>
  </si>
  <si>
    <t>EQUITIES</t>
  </si>
  <si>
    <t>Lotus Halal Investment Fund</t>
  </si>
  <si>
    <t>Lotus Capital Limited</t>
  </si>
  <si>
    <t>Stanbic IBTC Imaan Fund</t>
  </si>
  <si>
    <t>ARM Sharia Compliant Fixed Income Fund</t>
  </si>
  <si>
    <t>CapitalTrust Halal Fixed Income Fund</t>
  </si>
  <si>
    <t>CapitalTrust Investments &amp; Asset Management Ltd.</t>
  </si>
  <si>
    <t>Cordros Halal Fixed Income Fund</t>
  </si>
  <si>
    <t>D'Namaz Halal Fixed Income Fund</t>
  </si>
  <si>
    <t>D'Namaz Capital Limited</t>
  </si>
  <si>
    <t>EDC Halal Fund</t>
  </si>
  <si>
    <t>Emerging Africa Halal Fund</t>
  </si>
  <si>
    <t>FBN Halal Fund</t>
  </si>
  <si>
    <t>FSDH Halal Fund</t>
  </si>
  <si>
    <t>Lotus Halal Fixed Income Fund</t>
  </si>
  <si>
    <t>Marble Halal Commodities Fund</t>
  </si>
  <si>
    <t xml:space="preserve">Marble Capital Limited </t>
  </si>
  <si>
    <t>Marble Halal Fixed Income Fund</t>
  </si>
  <si>
    <t>Norrenberger Islamic Fund</t>
  </si>
  <si>
    <t>Stanbic IBTC Shariah Fixed Income Fund</t>
  </si>
  <si>
    <t>United Capital Sukuk Fund</t>
  </si>
  <si>
    <t>BALANCED</t>
  </si>
  <si>
    <t>Afrinvest Halal Fund</t>
  </si>
  <si>
    <t>ARM Halal Balanced Fund</t>
  </si>
  <si>
    <t>Lotus Waqf (Endowment) Fund</t>
  </si>
  <si>
    <t>One17 Halal Fund</t>
  </si>
  <si>
    <t>One17 Capital Limited</t>
  </si>
  <si>
    <t>Mutual Funds Total</t>
  </si>
  <si>
    <t>SPECIALISED FUNDS</t>
  </si>
  <si>
    <t>ARM Specialized Dollar Fund</t>
  </si>
  <si>
    <t>Clean Energy Fund</t>
  </si>
  <si>
    <t>FBN Blended Dollar Fund</t>
  </si>
  <si>
    <t>FCMB-TLG Private Debt Fund</t>
  </si>
  <si>
    <t>United Capital Children Investment Fund</t>
  </si>
  <si>
    <t>INFRASTRUCTURE FUNDS</t>
  </si>
  <si>
    <t>Nigeria Infrastructure Debt Fund (NIDF)</t>
  </si>
  <si>
    <t>Chapel Hill Denham Management Limited</t>
  </si>
  <si>
    <t>United Capital Infrastructure Fund</t>
  </si>
  <si>
    <t>Infrastructure Funds Total</t>
  </si>
  <si>
    <t>EXCHANGE TRADED FUNDS</t>
  </si>
  <si>
    <t>Greenwich ALPHA ETF</t>
  </si>
  <si>
    <t>Lotus Halal ETF</t>
  </si>
  <si>
    <t>Meristem Growth ETF</t>
  </si>
  <si>
    <t>Meristem Value ETF</t>
  </si>
  <si>
    <t>New Gold ETF</t>
  </si>
  <si>
    <t>New Gold Managers (Proprietary) Ltd</t>
  </si>
  <si>
    <t>SIAML ETF 40</t>
  </si>
  <si>
    <t>Stanbic IBTC Asset Mgt.Limited</t>
  </si>
  <si>
    <t>Stanbic IBTC ETF 30 Fund</t>
  </si>
  <si>
    <t>VCG ETF</t>
  </si>
  <si>
    <t>Vetiva Fund Managers Limited</t>
  </si>
  <si>
    <t>VETBANK ETF</t>
  </si>
  <si>
    <t>Vetiva S &amp; P Nig. Sovereign Bond ETF</t>
  </si>
  <si>
    <t>VG 30 ETF</t>
  </si>
  <si>
    <t>VI ETF</t>
  </si>
  <si>
    <t>ETF Total</t>
  </si>
  <si>
    <t>Grand Total</t>
  </si>
  <si>
    <t>Note:</t>
  </si>
  <si>
    <t>FUNDS</t>
  </si>
  <si>
    <t>BONDS/FIXED INCOME FUNDS</t>
  </si>
  <si>
    <t>REAL ESTATE INVESTMENT TRUST</t>
  </si>
  <si>
    <t>SHARI'AH COMPLAINT FUNDS</t>
  </si>
  <si>
    <t>DATE</t>
  </si>
  <si>
    <t>TOTAL NAV</t>
  </si>
  <si>
    <t>ETFs AGGREGATE</t>
  </si>
  <si>
    <t>TOTAL</t>
  </si>
  <si>
    <t>MOVING AVERAGE:</t>
  </si>
  <si>
    <t>-</t>
  </si>
  <si>
    <t>EXCHANGE TRADED FUNDS (ETFs)</t>
  </si>
  <si>
    <t>UPDC Real Estate Investment Trust</t>
  </si>
  <si>
    <t>Samtl Mixed Income Fund</t>
  </si>
  <si>
    <t>Samtl Fund Managers Limited</t>
  </si>
  <si>
    <t>Zedcrest Equity Fund</t>
  </si>
  <si>
    <t>NAV, Unit Price and Yield as at Week Ended December 19, 2025</t>
  </si>
  <si>
    <t>Week Ended December 19, 2025</t>
  </si>
  <si>
    <t>NFEM RATE NG₦/US$ as at 24th December, 2025 = N1443.3767</t>
  </si>
  <si>
    <t>WEEKLY VALUATION REPORT OF COLLECTIVE INVESTMENT SCHEMES AS AT WEEK ENDED FRIDAY, DECEMBER 24, 2025</t>
  </si>
  <si>
    <t>NAV, Unit Price and Yield as at Week Ended December 24, 2025</t>
  </si>
  <si>
    <t>Week Ended December 24,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</si>
</sst>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-* #,##0.00_-;\-* #,##0.00_-;_-* &quot;-&quot;??_-;_-@_-"/>
    <numFmt numFmtId="164" formatCode="_(* #,##0.00_);_(* \(#,##0.00\);_(* &quot;-&quot;??_);_(@_)"/>
    <numFmt numFmtId="165" formatCode="_(* #,##0.000_);_(* \(#,##0.000\);_(* &quot;-&quot;??_);_(@_)"/>
    <numFmt numFmtId="166" formatCode="_-* #,##0.0000_-;\-* #,##0.0000_-;_-* &quot;-&quot;??_-;_-@_-"/>
    <numFmt numFmtId="167" formatCode="0.0%"/>
  </numFmts>
  <fonts count="52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b/>
      <sz val="11"/>
      <color theme="1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2"/>
      <name val="Arial Narrow"/>
      <family val="2"/>
    </font>
    <font>
      <sz val="11"/>
      <name val="Calibri"/>
      <family val="2"/>
      <scheme val="minor"/>
    </font>
    <font>
      <b/>
      <sz val="11"/>
      <name val="Arial Narrow"/>
      <family val="2"/>
    </font>
    <font>
      <sz val="11"/>
      <color theme="0"/>
      <name val="Calibri"/>
      <family val="2"/>
      <scheme val="minor"/>
    </font>
    <font>
      <b/>
      <sz val="11"/>
      <color theme="0"/>
      <name val="Arial Narrow"/>
      <family val="2"/>
    </font>
    <font>
      <sz val="11"/>
      <color theme="0"/>
      <name val="Arial Narrow"/>
      <family val="2"/>
    </font>
    <font>
      <sz val="10"/>
      <name val="Arial Narrow"/>
      <family val="2"/>
    </font>
    <font>
      <b/>
      <sz val="8"/>
      <color theme="0"/>
      <name val="Arial Narrow"/>
      <family val="2"/>
    </font>
    <font>
      <sz val="8"/>
      <color theme="0"/>
      <name val="Arial"/>
      <family val="2"/>
    </font>
    <font>
      <b/>
      <sz val="18"/>
      <color theme="0"/>
      <name val="Ebrima"/>
    </font>
    <font>
      <b/>
      <sz val="8"/>
      <color theme="1"/>
      <name val="Arial Narrow"/>
      <family val="2"/>
    </font>
    <font>
      <b/>
      <sz val="8"/>
      <color theme="4"/>
      <name val="Arial Narrow"/>
      <family val="2"/>
    </font>
    <font>
      <b/>
      <sz val="8"/>
      <name val="Arial Narrow"/>
      <family val="2"/>
    </font>
    <font>
      <sz val="8"/>
      <color theme="1"/>
      <name val="Arial Narrow"/>
      <family val="2"/>
    </font>
    <font>
      <b/>
      <sz val="10"/>
      <color theme="1"/>
      <name val="Arial Narrow"/>
      <family val="2"/>
    </font>
    <font>
      <sz val="8"/>
      <name val="Arial Narrow"/>
      <family val="2"/>
    </font>
    <font>
      <sz val="8"/>
      <color rgb="FF000000"/>
      <name val="Arial Narrow"/>
      <family val="2"/>
    </font>
    <font>
      <sz val="8"/>
      <color rgb="FFFF0000"/>
      <name val="Arial Narrow"/>
      <family val="2"/>
    </font>
    <font>
      <b/>
      <sz val="8"/>
      <color rgb="FFFF0000"/>
      <name val="Arial Narrow"/>
      <family val="2"/>
    </font>
    <font>
      <sz val="10"/>
      <color rgb="FF000000"/>
      <name val="Times New Roman"/>
      <family val="1"/>
    </font>
    <font>
      <b/>
      <sz val="9"/>
      <color theme="1"/>
      <name val="Arial Narrow"/>
      <family val="2"/>
    </font>
    <font>
      <b/>
      <sz val="12"/>
      <color rgb="FF000000"/>
      <name val="Times New Roman"/>
      <family val="1"/>
    </font>
    <font>
      <b/>
      <sz val="10"/>
      <name val="Arial Narrow"/>
      <family val="2"/>
    </font>
    <font>
      <sz val="8"/>
      <color indexed="8"/>
      <name val="Arial Narrow"/>
      <family val="2"/>
    </font>
    <font>
      <sz val="12"/>
      <color rgb="FF000000"/>
      <name val="Calibri"/>
      <family val="2"/>
      <scheme val="minor"/>
    </font>
    <font>
      <i/>
      <sz val="8"/>
      <name val="Arial Narrow"/>
      <family val="2"/>
    </font>
    <font>
      <b/>
      <sz val="6"/>
      <color theme="0"/>
      <name val="Times New Roman"/>
      <family val="1"/>
    </font>
    <font>
      <sz val="8"/>
      <color rgb="FF424242"/>
      <name val="Arial"/>
      <family val="2"/>
    </font>
    <font>
      <sz val="10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ptos"/>
      <charset val="134"/>
    </font>
    <font>
      <sz val="11"/>
      <color theme="1"/>
      <name val="Calibri"/>
      <family val="2"/>
      <scheme val="minor"/>
    </font>
    <font>
      <sz val="11"/>
      <color theme="1"/>
      <name val="Aptos"/>
      <charset val="134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10"/>
      <color theme="1"/>
      <name val="Futura Bk BT"/>
      <family val="2"/>
    </font>
    <font>
      <b/>
      <sz val="18"/>
      <color theme="3"/>
      <name val="Calibri Light"/>
      <family val="2"/>
      <scheme val="major"/>
    </font>
    <font>
      <sz val="11"/>
      <name val="Calibri"/>
      <family val="2"/>
      <scheme val="minor"/>
    </font>
    <font>
      <sz val="11"/>
      <name val="Calibri"/>
      <charset val="134"/>
      <scheme val="minor"/>
    </font>
    <font>
      <b/>
      <sz val="11"/>
      <color theme="0"/>
      <name val="Calibri"/>
      <family val="2"/>
      <scheme val="minor"/>
    </font>
    <font>
      <b/>
      <sz val="10"/>
      <color theme="0"/>
      <name val="Arial Narrow"/>
      <family val="2"/>
    </font>
    <font>
      <sz val="10"/>
      <color theme="0"/>
      <name val="Calibri"/>
      <family val="2"/>
      <scheme val="minor"/>
    </font>
    <font>
      <sz val="10"/>
      <color theme="0"/>
      <name val="Arial Narrow"/>
      <family val="2"/>
    </font>
    <font>
      <b/>
      <sz val="12"/>
      <color theme="0"/>
      <name val="Arial Narrow"/>
      <family val="2"/>
    </font>
    <font>
      <sz val="6"/>
      <color theme="0"/>
      <name val="Arial Narrow"/>
      <family val="2"/>
    </font>
    <font>
      <sz val="6"/>
      <color theme="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79985961485641044"/>
        <bgColor indexed="64"/>
      </patternFill>
    </fill>
    <fill>
      <patternFill patternType="solid">
        <fgColor theme="3" tint="0.7997985778374584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7985778374584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4" tint="0.7998290963469344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39979247413556324"/>
        <bgColor indexed="64"/>
      </patternFill>
    </fill>
    <fill>
      <patternFill patternType="solid">
        <fgColor theme="4" tint="0.39979247413556324"/>
        <bgColor indexed="64"/>
      </patternFill>
    </fill>
    <fill>
      <patternFill patternType="solid">
        <fgColor theme="5" tint="0.39979247413556324"/>
        <bgColor indexed="64"/>
      </patternFill>
    </fill>
    <fill>
      <patternFill patternType="solid">
        <fgColor theme="7" tint="0.39979247413556324"/>
        <bgColor indexed="64"/>
      </patternFill>
    </fill>
    <fill>
      <patternFill patternType="solid">
        <fgColor theme="8" tint="0.39979247413556324"/>
        <bgColor indexed="64"/>
      </patternFill>
    </fill>
    <fill>
      <patternFill patternType="solid">
        <fgColor theme="9" tint="0.39979247413556324"/>
        <bgColor indexed="64"/>
      </patternFill>
    </fill>
    <fill>
      <patternFill patternType="solid">
        <fgColor rgb="FFFFEB9C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1">
    <xf numFmtId="0" fontId="0" fillId="0" borderId="0"/>
    <xf numFmtId="43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5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164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164" fontId="38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39" fillId="21" borderId="0" applyNumberFormat="0" applyBorder="0" applyAlignment="0" applyProtection="0"/>
    <xf numFmtId="0" fontId="40" fillId="0" borderId="0"/>
    <xf numFmtId="0" fontId="37" fillId="0" borderId="0"/>
    <xf numFmtId="0" fontId="37" fillId="0" borderId="0"/>
    <xf numFmtId="0" fontId="41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37" fillId="0" borderId="0" applyFont="0" applyFill="0" applyBorder="0" applyAlignment="0" applyProtection="0"/>
    <xf numFmtId="0" fontId="42" fillId="0" borderId="0" applyNumberFormat="0" applyFill="0" applyBorder="0" applyAlignment="0" applyProtection="0"/>
  </cellStyleXfs>
  <cellXfs count="196">
    <xf numFmtId="0" fontId="0" fillId="0" borderId="0" xfId="0"/>
    <xf numFmtId="0" fontId="2" fillId="0" borderId="1" xfId="0" applyFont="1" applyBorder="1" applyAlignment="1">
      <alignment horizontal="right"/>
    </xf>
    <xf numFmtId="16" fontId="3" fillId="2" borderId="1" xfId="0" applyNumberFormat="1" applyFont="1" applyFill="1" applyBorder="1"/>
    <xf numFmtId="0" fontId="3" fillId="0" borderId="1" xfId="0" applyFont="1" applyBorder="1" applyAlignment="1">
      <alignment horizontal="right"/>
    </xf>
    <xf numFmtId="4" fontId="4" fillId="2" borderId="1" xfId="0" applyNumberFormat="1" applyFont="1" applyFill="1" applyBorder="1" applyAlignment="1">
      <alignment horizontal="right"/>
    </xf>
    <xf numFmtId="4" fontId="4" fillId="2" borderId="1" xfId="0" applyNumberFormat="1" applyFont="1" applyFill="1" applyBorder="1"/>
    <xf numFmtId="4" fontId="5" fillId="2" borderId="1" xfId="0" applyNumberFormat="1" applyFont="1" applyFill="1" applyBorder="1"/>
    <xf numFmtId="43" fontId="4" fillId="2" borderId="1" xfId="1" applyFont="1" applyFill="1" applyBorder="1" applyAlignment="1">
      <alignment horizontal="right" vertical="top" wrapText="1"/>
    </xf>
    <xf numFmtId="0" fontId="6" fillId="3" borderId="1" xfId="0" applyFont="1" applyFill="1" applyBorder="1" applyAlignment="1">
      <alignment horizontal="right"/>
    </xf>
    <xf numFmtId="164" fontId="6" fillId="3" borderId="1" xfId="0" applyNumberFormat="1" applyFont="1" applyFill="1" applyBorder="1"/>
    <xf numFmtId="0" fontId="5" fillId="0" borderId="0" xfId="0" applyFont="1"/>
    <xf numFmtId="43" fontId="5" fillId="0" borderId="0" xfId="1" applyFont="1"/>
    <xf numFmtId="0" fontId="2" fillId="4" borderId="1" xfId="0" applyFont="1" applyFill="1" applyBorder="1" applyAlignment="1">
      <alignment horizontal="right"/>
    </xf>
    <xf numFmtId="164" fontId="2" fillId="4" borderId="1" xfId="0" applyNumberFormat="1" applyFont="1" applyFill="1" applyBorder="1"/>
    <xf numFmtId="43" fontId="2" fillId="4" borderId="1" xfId="1" applyFont="1" applyFill="1" applyBorder="1"/>
    <xf numFmtId="0" fontId="7" fillId="0" borderId="0" xfId="0" applyFont="1"/>
    <xf numFmtId="0" fontId="8" fillId="0" borderId="1" xfId="0" applyFont="1" applyBorder="1" applyAlignment="1">
      <alignment horizontal="right"/>
    </xf>
    <xf numFmtId="43" fontId="4" fillId="0" borderId="1" xfId="1" applyFont="1" applyBorder="1"/>
    <xf numFmtId="43" fontId="7" fillId="0" borderId="0" xfId="1" applyFont="1"/>
    <xf numFmtId="164" fontId="7" fillId="0" borderId="0" xfId="0" applyNumberFormat="1" applyFont="1"/>
    <xf numFmtId="0" fontId="9" fillId="0" borderId="0" xfId="0" applyFont="1"/>
    <xf numFmtId="4" fontId="11" fillId="2" borderId="0" xfId="0" applyNumberFormat="1" applyFont="1" applyFill="1"/>
    <xf numFmtId="43" fontId="11" fillId="2" borderId="0" xfId="1" applyFont="1" applyFill="1" applyBorder="1" applyAlignment="1">
      <alignment horizontal="right" vertical="top" wrapText="1"/>
    </xf>
    <xf numFmtId="4" fontId="11" fillId="2" borderId="0" xfId="0" applyNumberFormat="1" applyFont="1" applyFill="1" applyAlignment="1">
      <alignment horizontal="right"/>
    </xf>
    <xf numFmtId="0" fontId="10" fillId="0" borderId="0" xfId="0" applyFont="1" applyAlignment="1">
      <alignment horizontal="right"/>
    </xf>
    <xf numFmtId="0" fontId="5" fillId="2" borderId="0" xfId="0" applyFont="1" applyFill="1" applyAlignment="1">
      <alignment wrapText="1"/>
    </xf>
    <xf numFmtId="43" fontId="14" fillId="0" borderId="0" xfId="1" applyFont="1" applyBorder="1"/>
    <xf numFmtId="4" fontId="14" fillId="2" borderId="0" xfId="0" applyNumberFormat="1" applyFont="1" applyFill="1"/>
    <xf numFmtId="0" fontId="13" fillId="0" borderId="0" xfId="0" applyFont="1" applyAlignment="1">
      <alignment horizontal="right"/>
    </xf>
    <xf numFmtId="4" fontId="14" fillId="2" borderId="0" xfId="0" applyNumberFormat="1" applyFont="1" applyFill="1" applyAlignment="1">
      <alignment horizontal="right"/>
    </xf>
    <xf numFmtId="43" fontId="14" fillId="2" borderId="0" xfId="1" applyFont="1" applyFill="1" applyBorder="1" applyAlignment="1">
      <alignment horizontal="right" vertical="top" wrapText="1"/>
    </xf>
    <xf numFmtId="0" fontId="5" fillId="6" borderId="1" xfId="0" applyFont="1" applyFill="1" applyBorder="1"/>
    <xf numFmtId="0" fontId="16" fillId="7" borderId="1" xfId="0" applyFont="1" applyFill="1" applyBorder="1"/>
    <xf numFmtId="0" fontId="17" fillId="7" borderId="1" xfId="0" applyFont="1" applyFill="1" applyBorder="1"/>
    <xf numFmtId="0" fontId="18" fillId="3" borderId="1" xfId="0" applyFont="1" applyFill="1" applyBorder="1" applyAlignment="1">
      <alignment horizontal="center" vertical="top" wrapText="1"/>
    </xf>
    <xf numFmtId="0" fontId="18" fillId="3" borderId="1" xfId="0" applyFont="1" applyFill="1" applyBorder="1" applyAlignment="1">
      <alignment vertical="top" wrapText="1"/>
    </xf>
    <xf numFmtId="0" fontId="16" fillId="3" borderId="1" xfId="0" applyFont="1" applyFill="1" applyBorder="1" applyAlignment="1">
      <alignment vertical="top" wrapText="1"/>
    </xf>
    <xf numFmtId="0" fontId="16" fillId="3" borderId="1" xfId="0" applyFont="1" applyFill="1" applyBorder="1" applyAlignment="1">
      <alignment horizontal="center" vertical="top"/>
    </xf>
    <xf numFmtId="0" fontId="16" fillId="3" borderId="1" xfId="0" applyFont="1" applyFill="1" applyBorder="1" applyAlignment="1">
      <alignment horizontal="center" vertical="top" wrapText="1"/>
    </xf>
    <xf numFmtId="0" fontId="5" fillId="0" borderId="1" xfId="0" applyFont="1" applyBorder="1"/>
    <xf numFmtId="4" fontId="21" fillId="2" borderId="1" xfId="0" applyNumberFormat="1" applyFont="1" applyFill="1" applyBorder="1"/>
    <xf numFmtId="10" fontId="21" fillId="7" borderId="1" xfId="2" applyNumberFormat="1" applyFont="1" applyFill="1" applyBorder="1" applyAlignment="1">
      <alignment horizontal="center"/>
    </xf>
    <xf numFmtId="43" fontId="21" fillId="9" borderId="1" xfId="1" applyFont="1" applyFill="1" applyBorder="1" applyAlignment="1">
      <alignment horizontal="center"/>
    </xf>
    <xf numFmtId="0" fontId="22" fillId="0" borderId="0" xfId="0" applyFont="1"/>
    <xf numFmtId="43" fontId="19" fillId="9" borderId="1" xfId="1" applyFont="1" applyFill="1" applyBorder="1" applyAlignment="1">
      <alignment horizontal="center"/>
    </xf>
    <xf numFmtId="43" fontId="21" fillId="2" borderId="1" xfId="1" applyFont="1" applyFill="1" applyBorder="1"/>
    <xf numFmtId="43" fontId="21" fillId="2" borderId="1" xfId="10" applyFont="1" applyFill="1" applyBorder="1"/>
    <xf numFmtId="4" fontId="22" fillId="0" borderId="0" xfId="0" applyNumberFormat="1" applyFont="1"/>
    <xf numFmtId="4" fontId="21" fillId="2" borderId="1" xfId="0" applyNumberFormat="1" applyFont="1" applyFill="1" applyBorder="1" applyAlignment="1">
      <alignment horizontal="right"/>
    </xf>
    <xf numFmtId="0" fontId="19" fillId="0" borderId="1" xfId="0" applyFont="1" applyBorder="1"/>
    <xf numFmtId="0" fontId="19" fillId="2" borderId="1" xfId="0" applyFont="1" applyFill="1" applyBorder="1"/>
    <xf numFmtId="0" fontId="18" fillId="2" borderId="1" xfId="0" applyFont="1" applyFill="1" applyBorder="1" applyAlignment="1">
      <alignment horizontal="right"/>
    </xf>
    <xf numFmtId="43" fontId="18" fillId="2" borderId="1" xfId="1" applyFont="1" applyFill="1" applyBorder="1" applyAlignment="1">
      <alignment horizontal="right" vertical="top" wrapText="1"/>
    </xf>
    <xf numFmtId="10" fontId="24" fillId="7" borderId="1" xfId="2" applyNumberFormat="1" applyFont="1" applyFill="1" applyBorder="1" applyAlignment="1">
      <alignment horizontal="center" vertical="top" wrapText="1"/>
    </xf>
    <xf numFmtId="10" fontId="21" fillId="2" borderId="1" xfId="2" applyNumberFormat="1" applyFont="1" applyFill="1" applyBorder="1" applyAlignment="1">
      <alignment horizontal="center" vertical="top" wrapText="1"/>
    </xf>
    <xf numFmtId="4" fontId="21" fillId="2" borderId="1" xfId="1" applyNumberFormat="1" applyFont="1" applyFill="1" applyBorder="1" applyAlignment="1">
      <alignment vertical="top" wrapText="1"/>
    </xf>
    <xf numFmtId="43" fontId="18" fillId="9" borderId="1" xfId="1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wrapText="1"/>
    </xf>
    <xf numFmtId="43" fontId="21" fillId="2" borderId="1" xfId="10" applyFont="1" applyFill="1" applyBorder="1" applyAlignment="1">
      <alignment horizontal="right"/>
    </xf>
    <xf numFmtId="4" fontId="21" fillId="2" borderId="1" xfId="1" applyNumberFormat="1" applyFont="1" applyFill="1" applyBorder="1" applyAlignment="1">
      <alignment horizontal="right"/>
    </xf>
    <xf numFmtId="43" fontId="21" fillId="9" borderId="1" xfId="1" applyFont="1" applyFill="1" applyBorder="1" applyAlignment="1">
      <alignment horizontal="center" wrapText="1"/>
    </xf>
    <xf numFmtId="43" fontId="21" fillId="2" borderId="1" xfId="1" applyFont="1" applyFill="1" applyBorder="1" applyAlignment="1">
      <alignment horizontal="right"/>
    </xf>
    <xf numFmtId="43" fontId="21" fillId="2" borderId="1" xfId="10" applyFont="1" applyFill="1" applyBorder="1" applyAlignment="1">
      <alignment horizontal="right" wrapText="1"/>
    </xf>
    <xf numFmtId="43" fontId="16" fillId="3" borderId="1" xfId="1" applyFont="1" applyFill="1" applyBorder="1" applyAlignment="1">
      <alignment horizontal="center" vertical="top"/>
    </xf>
    <xf numFmtId="10" fontId="21" fillId="9" borderId="1" xfId="2" applyNumberFormat="1" applyFont="1" applyFill="1" applyBorder="1" applyAlignment="1">
      <alignment horizontal="center"/>
    </xf>
    <xf numFmtId="10" fontId="19" fillId="9" borderId="1" xfId="2" applyNumberFormat="1" applyFont="1" applyFill="1" applyBorder="1" applyAlignment="1">
      <alignment horizontal="center"/>
    </xf>
    <xf numFmtId="10" fontId="21" fillId="9" borderId="1" xfId="2" applyNumberFormat="1" applyFont="1" applyFill="1" applyBorder="1" applyAlignment="1">
      <alignment horizontal="center" vertical="top" wrapText="1"/>
    </xf>
    <xf numFmtId="10" fontId="21" fillId="9" borderId="1" xfId="2" applyNumberFormat="1" applyFont="1" applyFill="1" applyBorder="1" applyAlignment="1">
      <alignment horizontal="center" wrapText="1"/>
    </xf>
    <xf numFmtId="10" fontId="21" fillId="7" borderId="1" xfId="2" applyNumberFormat="1" applyFont="1" applyFill="1" applyBorder="1" applyAlignment="1">
      <alignment horizontal="center" wrapText="1"/>
    </xf>
    <xf numFmtId="10" fontId="21" fillId="3" borderId="1" xfId="2" applyNumberFormat="1" applyFont="1" applyFill="1" applyBorder="1" applyAlignment="1">
      <alignment horizontal="center" vertical="top" wrapText="1"/>
    </xf>
    <xf numFmtId="10" fontId="19" fillId="3" borderId="1" xfId="2" applyNumberFormat="1" applyFont="1" applyFill="1" applyBorder="1" applyAlignment="1">
      <alignment horizontal="center" vertical="top" wrapText="1"/>
    </xf>
    <xf numFmtId="10" fontId="19" fillId="3" borderId="1" xfId="1" applyNumberFormat="1" applyFont="1" applyFill="1" applyBorder="1" applyAlignment="1">
      <alignment horizontal="center" vertical="top" wrapText="1"/>
    </xf>
    <xf numFmtId="10" fontId="25" fillId="10" borderId="0" xfId="0" applyNumberFormat="1" applyFont="1" applyFill="1" applyAlignment="1">
      <alignment horizontal="right" vertical="center" wrapText="1"/>
    </xf>
    <xf numFmtId="43" fontId="18" fillId="2" borderId="1" xfId="1" applyFont="1" applyFill="1" applyBorder="1" applyAlignment="1">
      <alignment horizontal="right"/>
    </xf>
    <xf numFmtId="2" fontId="21" fillId="2" borderId="1" xfId="0" applyNumberFormat="1" applyFont="1" applyFill="1" applyBorder="1"/>
    <xf numFmtId="43" fontId="21" fillId="2" borderId="1" xfId="10" applyFont="1" applyFill="1" applyBorder="1" applyAlignment="1">
      <alignment wrapText="1"/>
    </xf>
    <xf numFmtId="43" fontId="21" fillId="11" borderId="1" xfId="1" applyFont="1" applyFill="1" applyBorder="1" applyAlignment="1">
      <alignment horizontal="center"/>
    </xf>
    <xf numFmtId="10" fontId="21" fillId="9" borderId="1" xfId="1" applyNumberFormat="1" applyFont="1" applyFill="1" applyBorder="1" applyAlignment="1">
      <alignment horizontal="center"/>
    </xf>
    <xf numFmtId="10" fontId="21" fillId="11" borderId="1" xfId="2" applyNumberFormat="1" applyFont="1" applyFill="1" applyBorder="1" applyAlignment="1">
      <alignment horizontal="center"/>
    </xf>
    <xf numFmtId="4" fontId="0" fillId="0" borderId="0" xfId="0" applyNumberFormat="1"/>
    <xf numFmtId="43" fontId="22" fillId="0" borderId="0" xfId="1" applyFont="1"/>
    <xf numFmtId="2" fontId="0" fillId="0" borderId="0" xfId="0" applyNumberFormat="1"/>
    <xf numFmtId="165" fontId="0" fillId="0" borderId="0" xfId="0" applyNumberFormat="1"/>
    <xf numFmtId="4" fontId="27" fillId="10" borderId="0" xfId="0" applyNumberFormat="1" applyFont="1" applyFill="1" applyAlignment="1">
      <alignment horizontal="right" vertical="center" wrapText="1"/>
    </xf>
    <xf numFmtId="0" fontId="21" fillId="0" borderId="1" xfId="0" applyFont="1" applyBorder="1"/>
    <xf numFmtId="0" fontId="18" fillId="0" borderId="1" xfId="0" applyFont="1" applyBorder="1" applyAlignment="1">
      <alignment horizontal="right"/>
    </xf>
    <xf numFmtId="4" fontId="29" fillId="0" borderId="1" xfId="0" applyNumberFormat="1" applyFont="1" applyBorder="1"/>
    <xf numFmtId="0" fontId="23" fillId="2" borderId="1" xfId="0" applyFont="1" applyFill="1" applyBorder="1"/>
    <xf numFmtId="4" fontId="21" fillId="2" borderId="1" xfId="1" applyNumberFormat="1" applyFont="1" applyFill="1" applyBorder="1" applyAlignment="1">
      <alignment horizontal="right" vertical="top" wrapText="1"/>
    </xf>
    <xf numFmtId="4" fontId="21" fillId="9" borderId="1" xfId="1" applyNumberFormat="1" applyFont="1" applyFill="1" applyBorder="1" applyAlignment="1">
      <alignment horizontal="center"/>
    </xf>
    <xf numFmtId="4" fontId="21" fillId="9" borderId="1" xfId="1" applyNumberFormat="1" applyFont="1" applyFill="1" applyBorder="1" applyAlignment="1">
      <alignment horizontal="center" vertical="top" wrapText="1"/>
    </xf>
    <xf numFmtId="166" fontId="14" fillId="0" borderId="0" xfId="1" applyNumberFormat="1" applyFont="1"/>
    <xf numFmtId="4" fontId="30" fillId="0" borderId="0" xfId="0" applyNumberFormat="1" applyFont="1"/>
    <xf numFmtId="43" fontId="18" fillId="2" borderId="1" xfId="1" applyFont="1" applyFill="1" applyBorder="1"/>
    <xf numFmtId="164" fontId="21" fillId="2" borderId="1" xfId="0" applyNumberFormat="1" applyFont="1" applyFill="1" applyBorder="1"/>
    <xf numFmtId="4" fontId="21" fillId="2" borderId="1" xfId="0" applyNumberFormat="1" applyFont="1" applyFill="1" applyBorder="1" applyAlignment="1">
      <alignment horizontal="right" wrapText="1"/>
    </xf>
    <xf numFmtId="4" fontId="21" fillId="2" borderId="1" xfId="10" applyNumberFormat="1" applyFont="1" applyFill="1" applyBorder="1" applyAlignment="1">
      <alignment horizontal="right"/>
    </xf>
    <xf numFmtId="4" fontId="21" fillId="2" borderId="1" xfId="10" applyNumberFormat="1" applyFont="1" applyFill="1" applyBorder="1" applyAlignment="1">
      <alignment horizontal="right" wrapText="1"/>
    </xf>
    <xf numFmtId="4" fontId="18" fillId="9" borderId="1" xfId="1" applyNumberFormat="1" applyFont="1" applyFill="1" applyBorder="1" applyAlignment="1">
      <alignment horizontal="right" vertical="top" wrapText="1"/>
    </xf>
    <xf numFmtId="0" fontId="21" fillId="14" borderId="1" xfId="0" applyFont="1" applyFill="1" applyBorder="1" applyAlignment="1">
      <alignment horizontal="right" vertical="center"/>
    </xf>
    <xf numFmtId="0" fontId="18" fillId="14" borderId="1" xfId="0" applyFont="1" applyFill="1" applyBorder="1" applyAlignment="1">
      <alignment horizontal="right" vertical="center"/>
    </xf>
    <xf numFmtId="43" fontId="18" fillId="14" borderId="1" xfId="1" applyFont="1" applyFill="1" applyBorder="1" applyAlignment="1">
      <alignment horizontal="right" vertical="center" wrapText="1"/>
    </xf>
    <xf numFmtId="10" fontId="21" fillId="14" borderId="1" xfId="1" applyNumberFormat="1" applyFont="1" applyFill="1" applyBorder="1" applyAlignment="1">
      <alignment horizontal="right" vertical="center" wrapText="1"/>
    </xf>
    <xf numFmtId="4" fontId="21" fillId="14" borderId="1" xfId="1" applyNumberFormat="1" applyFont="1" applyFill="1" applyBorder="1" applyAlignment="1">
      <alignment horizontal="right" vertical="center" wrapText="1"/>
    </xf>
    <xf numFmtId="43" fontId="18" fillId="14" borderId="1" xfId="1" applyFont="1" applyFill="1" applyBorder="1" applyAlignment="1">
      <alignment horizontal="right" vertical="top" wrapText="1"/>
    </xf>
    <xf numFmtId="4" fontId="21" fillId="2" borderId="1" xfId="10" applyNumberFormat="1" applyFont="1" applyFill="1" applyBorder="1" applyAlignment="1">
      <alignment horizontal="right" vertical="top" wrapText="1"/>
    </xf>
    <xf numFmtId="43" fontId="31" fillId="14" borderId="1" xfId="1" applyFont="1" applyFill="1" applyBorder="1" applyAlignment="1">
      <alignment horizontal="right" vertical="top" wrapText="1"/>
    </xf>
    <xf numFmtId="4" fontId="21" fillId="14" borderId="1" xfId="1" applyNumberFormat="1" applyFont="1" applyFill="1" applyBorder="1" applyAlignment="1">
      <alignment horizontal="right" vertical="top" wrapText="1"/>
    </xf>
    <xf numFmtId="43" fontId="21" fillId="2" borderId="1" xfId="10" applyFont="1" applyFill="1" applyBorder="1" applyAlignment="1">
      <alignment horizontal="right" vertical="top" wrapText="1"/>
    </xf>
    <xf numFmtId="10" fontId="21" fillId="7" borderId="1" xfId="2" applyNumberFormat="1" applyFont="1" applyFill="1" applyBorder="1" applyAlignment="1">
      <alignment horizontal="center" vertical="top" wrapText="1"/>
    </xf>
    <xf numFmtId="43" fontId="21" fillId="9" borderId="1" xfId="1" applyFont="1" applyFill="1" applyBorder="1" applyAlignment="1">
      <alignment horizontal="center" vertical="top" wrapText="1"/>
    </xf>
    <xf numFmtId="43" fontId="21" fillId="2" borderId="1" xfId="1" applyFont="1" applyFill="1" applyBorder="1" applyAlignment="1">
      <alignment horizontal="right" vertical="top" wrapText="1"/>
    </xf>
    <xf numFmtId="164" fontId="21" fillId="9" borderId="1" xfId="0" applyNumberFormat="1" applyFont="1" applyFill="1" applyBorder="1" applyAlignment="1">
      <alignment horizontal="center"/>
    </xf>
    <xf numFmtId="9" fontId="21" fillId="14" borderId="1" xfId="2" applyFont="1" applyFill="1" applyBorder="1" applyAlignment="1">
      <alignment horizontal="center" vertical="center" wrapText="1"/>
    </xf>
    <xf numFmtId="4" fontId="21" fillId="14" borderId="1" xfId="1" applyNumberFormat="1" applyFont="1" applyFill="1" applyBorder="1" applyAlignment="1">
      <alignment horizontal="center" vertical="center" wrapText="1"/>
    </xf>
    <xf numFmtId="4" fontId="21" fillId="14" borderId="1" xfId="1" applyNumberFormat="1" applyFont="1" applyFill="1" applyBorder="1" applyAlignment="1">
      <alignment horizontal="center" vertical="top" wrapText="1"/>
    </xf>
    <xf numFmtId="10" fontId="21" fillId="3" borderId="1" xfId="1" applyNumberFormat="1" applyFont="1" applyFill="1" applyBorder="1" applyAlignment="1">
      <alignment horizontal="center" vertical="top" wrapText="1"/>
    </xf>
    <xf numFmtId="43" fontId="0" fillId="0" borderId="0" xfId="1" applyFont="1"/>
    <xf numFmtId="10" fontId="19" fillId="14" borderId="1" xfId="2" applyNumberFormat="1" applyFont="1" applyFill="1" applyBorder="1" applyAlignment="1">
      <alignment horizontal="center" vertical="top" wrapText="1"/>
    </xf>
    <xf numFmtId="167" fontId="19" fillId="14" borderId="1" xfId="2" applyNumberFormat="1" applyFont="1" applyFill="1" applyBorder="1" applyAlignment="1">
      <alignment horizontal="center" vertical="top" wrapText="1"/>
    </xf>
    <xf numFmtId="10" fontId="19" fillId="14" borderId="1" xfId="1" applyNumberFormat="1" applyFont="1" applyFill="1" applyBorder="1" applyAlignment="1">
      <alignment horizontal="center" vertical="top" wrapText="1"/>
    </xf>
    <xf numFmtId="0" fontId="21" fillId="14" borderId="1" xfId="0" applyFont="1" applyFill="1" applyBorder="1" applyAlignment="1">
      <alignment horizontal="right"/>
    </xf>
    <xf numFmtId="0" fontId="18" fillId="14" borderId="1" xfId="0" applyFont="1" applyFill="1" applyBorder="1" applyAlignment="1">
      <alignment horizontal="right"/>
    </xf>
    <xf numFmtId="0" fontId="21" fillId="15" borderId="1" xfId="0" applyFont="1" applyFill="1" applyBorder="1" applyAlignment="1">
      <alignment horizontal="right" vertical="top" wrapText="1"/>
    </xf>
    <xf numFmtId="0" fontId="28" fillId="15" borderId="1" xfId="0" applyFont="1" applyFill="1" applyBorder="1" applyAlignment="1">
      <alignment horizontal="right" vertical="top" wrapText="1"/>
    </xf>
    <xf numFmtId="43" fontId="28" fillId="15" borderId="1" xfId="1" applyFont="1" applyFill="1" applyBorder="1" applyAlignment="1">
      <alignment horizontal="right" vertical="top" wrapText="1"/>
    </xf>
    <xf numFmtId="43" fontId="12" fillId="15" borderId="1" xfId="1" applyFont="1" applyFill="1" applyBorder="1" applyAlignment="1">
      <alignment horizontal="right" vertical="top" wrapText="1"/>
    </xf>
    <xf numFmtId="4" fontId="12" fillId="15" borderId="1" xfId="0" applyNumberFormat="1" applyFont="1" applyFill="1" applyBorder="1" applyAlignment="1">
      <alignment horizontal="right"/>
    </xf>
    <xf numFmtId="0" fontId="32" fillId="5" borderId="1" xfId="0" applyFont="1" applyFill="1" applyBorder="1" applyAlignment="1">
      <alignment horizontal="right" vertical="center"/>
    </xf>
    <xf numFmtId="0" fontId="32" fillId="5" borderId="1" xfId="0" applyFont="1" applyFill="1" applyBorder="1" applyAlignment="1">
      <alignment horizontal="left" vertical="center"/>
    </xf>
    <xf numFmtId="0" fontId="9" fillId="5" borderId="1" xfId="0" applyFont="1" applyFill="1" applyBorder="1"/>
    <xf numFmtId="0" fontId="33" fillId="0" borderId="0" xfId="0" applyFont="1"/>
    <xf numFmtId="0" fontId="34" fillId="0" borderId="0" xfId="0" applyFont="1"/>
    <xf numFmtId="164" fontId="0" fillId="0" borderId="0" xfId="0" applyNumberFormat="1"/>
    <xf numFmtId="0" fontId="35" fillId="0" borderId="0" xfId="0" applyFont="1"/>
    <xf numFmtId="0" fontId="23" fillId="2" borderId="0" xfId="0" applyFont="1" applyFill="1" applyAlignment="1">
      <alignment wrapText="1"/>
    </xf>
    <xf numFmtId="164" fontId="35" fillId="0" borderId="0" xfId="16" applyFont="1" applyBorder="1"/>
    <xf numFmtId="2" fontId="35" fillId="0" borderId="0" xfId="0" applyNumberFormat="1" applyFont="1"/>
    <xf numFmtId="9" fontId="12" fillId="15" borderId="1" xfId="2" applyFont="1" applyFill="1" applyBorder="1" applyAlignment="1">
      <alignment horizontal="center"/>
    </xf>
    <xf numFmtId="4" fontId="12" fillId="15" borderId="1" xfId="0" applyNumberFormat="1" applyFont="1" applyFill="1" applyBorder="1" applyAlignment="1">
      <alignment horizontal="center"/>
    </xf>
    <xf numFmtId="10" fontId="35" fillId="0" borderId="0" xfId="2" applyNumberFormat="1" applyFont="1" applyBorder="1"/>
    <xf numFmtId="10" fontId="36" fillId="0" borderId="0" xfId="2" applyNumberFormat="1" applyFont="1" applyBorder="1"/>
    <xf numFmtId="10" fontId="0" fillId="0" borderId="0" xfId="2" applyNumberFormat="1" applyFont="1"/>
    <xf numFmtId="10" fontId="12" fillId="15" borderId="1" xfId="2" applyNumberFormat="1" applyFont="1" applyFill="1" applyBorder="1" applyAlignment="1">
      <alignment horizontal="center" vertical="top" wrapText="1"/>
    </xf>
    <xf numFmtId="167" fontId="12" fillId="15" borderId="1" xfId="2" applyNumberFormat="1" applyFont="1" applyFill="1" applyBorder="1" applyAlignment="1">
      <alignment horizontal="center" vertical="top" wrapText="1"/>
    </xf>
    <xf numFmtId="167" fontId="21" fillId="15" borderId="1" xfId="2" applyNumberFormat="1" applyFont="1" applyFill="1" applyBorder="1" applyAlignment="1">
      <alignment horizontal="center" vertical="top" wrapText="1"/>
    </xf>
    <xf numFmtId="164" fontId="2" fillId="4" borderId="1" xfId="0" quotePrefix="1" applyNumberFormat="1" applyFont="1" applyFill="1" applyBorder="1" applyAlignment="1">
      <alignment horizontal="center"/>
    </xf>
    <xf numFmtId="0" fontId="43" fillId="0" borderId="0" xfId="0" applyFont="1"/>
    <xf numFmtId="4" fontId="19" fillId="0" borderId="0" xfId="0" applyNumberFormat="1" applyFont="1"/>
    <xf numFmtId="0" fontId="44" fillId="0" borderId="0" xfId="0" applyFont="1"/>
    <xf numFmtId="10" fontId="19" fillId="7" borderId="1" xfId="2" applyNumberFormat="1" applyFont="1" applyFill="1" applyBorder="1" applyAlignment="1">
      <alignment horizontal="center"/>
    </xf>
    <xf numFmtId="2" fontId="19" fillId="2" borderId="1" xfId="0" applyNumberFormat="1" applyFont="1" applyFill="1" applyBorder="1"/>
    <xf numFmtId="4" fontId="19" fillId="2" borderId="1" xfId="0" applyNumberFormat="1" applyFont="1" applyFill="1" applyBorder="1"/>
    <xf numFmtId="0" fontId="1" fillId="0" borderId="0" xfId="0" applyFont="1"/>
    <xf numFmtId="2" fontId="22" fillId="0" borderId="0" xfId="0" applyNumberFormat="1" applyFont="1"/>
    <xf numFmtId="0" fontId="21" fillId="2" borderId="1" xfId="0" applyFont="1" applyFill="1" applyBorder="1" applyAlignment="1">
      <alignment wrapText="1"/>
    </xf>
    <xf numFmtId="0" fontId="21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right"/>
    </xf>
    <xf numFmtId="4" fontId="4" fillId="2" borderId="0" xfId="0" applyNumberFormat="1" applyFont="1" applyFill="1"/>
    <xf numFmtId="0" fontId="21" fillId="0" borderId="1" xfId="0" applyFont="1" applyBorder="1" applyAlignment="1">
      <alignment horizontal="center"/>
    </xf>
    <xf numFmtId="4" fontId="21" fillId="2" borderId="1" xfId="0" applyNumberFormat="1" applyFont="1" applyFill="1" applyBorder="1" applyAlignment="1">
      <alignment wrapText="1"/>
    </xf>
    <xf numFmtId="4" fontId="21" fillId="2" borderId="1" xfId="44" applyNumberFormat="1" applyFont="1" applyFill="1" applyBorder="1" applyAlignment="1">
      <alignment wrapText="1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/>
    </xf>
    <xf numFmtId="49" fontId="21" fillId="2" borderId="1" xfId="0" applyNumberFormat="1" applyFont="1" applyFill="1" applyBorder="1" applyAlignment="1">
      <alignment wrapText="1"/>
    </xf>
    <xf numFmtId="4" fontId="21" fillId="0" borderId="1" xfId="0" applyNumberFormat="1" applyFont="1" applyBorder="1" applyAlignment="1">
      <alignment wrapText="1"/>
    </xf>
    <xf numFmtId="0" fontId="21" fillId="2" borderId="1" xfId="0" applyFont="1" applyFill="1" applyBorder="1" applyAlignment="1">
      <alignment horizontal="left" wrapText="1"/>
    </xf>
    <xf numFmtId="0" fontId="46" fillId="0" borderId="0" xfId="0" applyFont="1" applyAlignment="1">
      <alignment horizontal="right"/>
    </xf>
    <xf numFmtId="16" fontId="46" fillId="2" borderId="0" xfId="0" applyNumberFormat="1" applyFont="1" applyFill="1" applyAlignment="1">
      <alignment horizontal="center" wrapText="1"/>
    </xf>
    <xf numFmtId="0" fontId="47" fillId="0" borderId="0" xfId="0" applyFont="1"/>
    <xf numFmtId="0" fontId="46" fillId="0" borderId="0" xfId="0" applyFont="1" applyAlignment="1">
      <alignment horizontal="right" wrapText="1"/>
    </xf>
    <xf numFmtId="4" fontId="48" fillId="2" borderId="0" xfId="0" applyNumberFormat="1" applyFont="1" applyFill="1"/>
    <xf numFmtId="4" fontId="48" fillId="2" borderId="0" xfId="0" applyNumberFormat="1" applyFont="1" applyFill="1" applyAlignment="1">
      <alignment horizontal="right"/>
    </xf>
    <xf numFmtId="43" fontId="48" fillId="2" borderId="0" xfId="1" applyFont="1" applyFill="1" applyBorder="1" applyAlignment="1">
      <alignment horizontal="right" vertical="top" wrapText="1"/>
    </xf>
    <xf numFmtId="0" fontId="13" fillId="0" borderId="0" xfId="0" applyFont="1" applyAlignment="1">
      <alignment horizontal="right" wrapText="1"/>
    </xf>
    <xf numFmtId="0" fontId="49" fillId="2" borderId="0" xfId="0" applyFont="1" applyFill="1" applyAlignment="1">
      <alignment horizontal="right"/>
    </xf>
    <xf numFmtId="16" fontId="10" fillId="2" borderId="0" xfId="0" applyNumberFormat="1" applyFont="1" applyFill="1"/>
    <xf numFmtId="0" fontId="9" fillId="2" borderId="0" xfId="0" applyFont="1" applyFill="1"/>
    <xf numFmtId="0" fontId="10" fillId="2" borderId="0" xfId="0" applyFont="1" applyFill="1" applyAlignment="1">
      <alignment horizontal="right"/>
    </xf>
    <xf numFmtId="43" fontId="9" fillId="2" borderId="0" xfId="1" applyFont="1" applyFill="1" applyBorder="1"/>
    <xf numFmtId="0" fontId="45" fillId="0" borderId="0" xfId="0" applyFont="1"/>
    <xf numFmtId="16" fontId="50" fillId="2" borderId="0" xfId="0" applyNumberFormat="1" applyFont="1" applyFill="1"/>
    <xf numFmtId="43" fontId="51" fillId="0" borderId="0" xfId="1" applyFont="1"/>
    <xf numFmtId="164" fontId="51" fillId="0" borderId="0" xfId="0" applyNumberFormat="1" applyFont="1"/>
    <xf numFmtId="4" fontId="51" fillId="0" borderId="0" xfId="0" applyNumberFormat="1" applyFont="1"/>
    <xf numFmtId="0" fontId="6" fillId="8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 wrapText="1"/>
    </xf>
    <xf numFmtId="0" fontId="28" fillId="13" borderId="1" xfId="0" applyFont="1" applyFill="1" applyBorder="1" applyAlignment="1">
      <alignment horizontal="center" wrapText="1"/>
    </xf>
    <xf numFmtId="0" fontId="28" fillId="8" borderId="1" xfId="0" applyFont="1" applyFill="1" applyBorder="1" applyAlignment="1">
      <alignment horizontal="center"/>
    </xf>
    <xf numFmtId="0" fontId="26" fillId="12" borderId="1" xfId="0" applyFont="1" applyFill="1" applyBorder="1" applyAlignment="1">
      <alignment horizontal="center"/>
    </xf>
    <xf numFmtId="0" fontId="20" fillId="8" borderId="1" xfId="0" applyFont="1" applyFill="1" applyBorder="1" applyAlignment="1">
      <alignment horizontal="center"/>
    </xf>
    <xf numFmtId="0" fontId="19" fillId="2" borderId="1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center"/>
    </xf>
    <xf numFmtId="0" fontId="16" fillId="7" borderId="1" xfId="0" applyFont="1" applyFill="1" applyBorder="1" applyAlignment="1">
      <alignment horizontal="center" vertical="top" wrapText="1"/>
    </xf>
    <xf numFmtId="0" fontId="12" fillId="2" borderId="0" xfId="0" applyFont="1" applyFill="1" applyAlignment="1">
      <alignment horizontal="center" wrapText="1"/>
    </xf>
  </cellXfs>
  <cellStyles count="61">
    <cellStyle name="60% - Accent1 2" xfId="3"/>
    <cellStyle name="60% - Accent2 2" xfId="4"/>
    <cellStyle name="60% - Accent3 2" xfId="5"/>
    <cellStyle name="60% - Accent4 2" xfId="6"/>
    <cellStyle name="60% - Accent5 2" xfId="7"/>
    <cellStyle name="60% - Accent6 2" xfId="8"/>
    <cellStyle name="Comma" xfId="1" builtinId="3"/>
    <cellStyle name="Comma 10" xfId="9"/>
    <cellStyle name="Comma 10 13" xfId="10"/>
    <cellStyle name="Comma 10 13 2" xfId="11"/>
    <cellStyle name="Comma 11" xfId="12"/>
    <cellStyle name="Comma 14" xfId="13"/>
    <cellStyle name="Comma 15" xfId="14"/>
    <cellStyle name="Comma 15 2" xfId="15"/>
    <cellStyle name="Comma 2" xfId="16"/>
    <cellStyle name="Comma 2 2" xfId="17"/>
    <cellStyle name="Comma 2 2 2" xfId="18"/>
    <cellStyle name="Comma 2 3" xfId="19"/>
    <cellStyle name="Comma 3" xfId="20"/>
    <cellStyle name="Comma 3 2" xfId="21"/>
    <cellStyle name="Comma 3 2 2" xfId="22"/>
    <cellStyle name="Comma 3 2 2 2" xfId="23"/>
    <cellStyle name="Comma 3 2 3" xfId="24"/>
    <cellStyle name="Comma 4" xfId="25"/>
    <cellStyle name="Comma 5" xfId="26"/>
    <cellStyle name="Comma 6" xfId="27"/>
    <cellStyle name="Comma 7" xfId="28"/>
    <cellStyle name="Comma 7 2" xfId="29"/>
    <cellStyle name="Comma 8" xfId="30"/>
    <cellStyle name="Comma 9" xfId="31"/>
    <cellStyle name="Comma 9 2" xfId="32"/>
    <cellStyle name="Neutral 2" xfId="33"/>
    <cellStyle name="Normal" xfId="0" builtinId="0"/>
    <cellStyle name="Normal 2" xfId="34"/>
    <cellStyle name="Normal 2 2" xfId="35"/>
    <cellStyle name="Normal 2 2 2" xfId="36"/>
    <cellStyle name="Normal 27 2" xfId="37"/>
    <cellStyle name="Normal 3" xfId="38"/>
    <cellStyle name="Normal 3 2" xfId="39"/>
    <cellStyle name="Normal 4" xfId="40"/>
    <cellStyle name="Normal 4 2" xfId="41"/>
    <cellStyle name="Normal 5" xfId="42"/>
    <cellStyle name="Normal 5 2" xfId="43"/>
    <cellStyle name="Normal 6" xfId="44"/>
    <cellStyle name="Normal 6 2" xfId="45"/>
    <cellStyle name="Normal 6 2 2" xfId="46"/>
    <cellStyle name="Percent" xfId="2" builtinId="5"/>
    <cellStyle name="Percent 13" xfId="47"/>
    <cellStyle name="Percent 13 2" xfId="48"/>
    <cellStyle name="Percent 2" xfId="49"/>
    <cellStyle name="Percent 2 2" xfId="50"/>
    <cellStyle name="Percent 2 2 2" xfId="51"/>
    <cellStyle name="Percent 2 3" xfId="52"/>
    <cellStyle name="Percent 3" xfId="53"/>
    <cellStyle name="Percent 3 2" xfId="54"/>
    <cellStyle name="Percent 4" xfId="55"/>
    <cellStyle name="Percent 4 2" xfId="56"/>
    <cellStyle name="Percent 5" xfId="57"/>
    <cellStyle name="Percent 6" xfId="58"/>
    <cellStyle name="Percent 7" xfId="59"/>
    <cellStyle name="Title 2" xfId="6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800" b="1" i="0" u="none" strike="noStrike" kern="1200" spc="100" baseline="0">
                <a:solidFill>
                  <a:schemeClr val="dk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GB" sz="1800">
                <a:solidFill>
                  <a:schemeClr val="dk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NAV BY CLASS OF FUNDS (N'Bn)</a:t>
            </a:r>
            <a:endParaRPr lang="en-GB" sz="1800">
              <a:solidFill>
                <a:sysClr val="windowText" lastClr="000000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overlay val="0"/>
      <c:spPr>
        <a:solidFill>
          <a:schemeClr val="lt1"/>
        </a:solidFill>
        <a:ln w="12700" cap="flat" cmpd="sng" algn="ctr">
          <a:solidFill>
            <a:schemeClr val="accent3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800" b="1" i="0" u="none" strike="noStrike" kern="1200" spc="100" baseline="0">
              <a:solidFill>
                <a:schemeClr val="dk1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5.0352501734696999E-2"/>
          <c:y val="0.12704985666184501"/>
          <c:w val="0.94540908679518498"/>
          <c:h val="0.733271950705028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'NAV Comparison'!$B$2</c:f>
              <c:strCache>
                <c:ptCount val="1"/>
                <c:pt idx="0">
                  <c:v>Week Ended December 19, 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Comparison'!$B$3:$B$10</c:f>
              <c:numCache>
                <c:formatCode>#,##0.00</c:formatCode>
                <c:ptCount val="8"/>
                <c:pt idx="0">
                  <c:v>79.735701358927486</c:v>
                </c:pt>
                <c:pt idx="1">
                  <c:v>4678.0501099592366</c:v>
                </c:pt>
                <c:pt idx="2">
                  <c:v>238.34022525366325</c:v>
                </c:pt>
                <c:pt idx="3">
                  <c:v>1954.2625274940337</c:v>
                </c:pt>
                <c:pt idx="4">
                  <c:v>482.35253333453676</c:v>
                </c:pt>
                <c:pt idx="5" formatCode="_(* #,##0.00_);_(* \(#,##0.00\);_(* &quot;-&quot;??_);_(@_)">
                  <c:v>83.857951344086956</c:v>
                </c:pt>
                <c:pt idx="6">
                  <c:v>8.3228212168900004</c:v>
                </c:pt>
                <c:pt idx="7">
                  <c:v>78.263241502671121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B84-485B-B2FA-123DA4A4CFB3}"/>
            </c:ext>
          </c:extLst>
        </c:ser>
        <c:ser>
          <c:idx val="1"/>
          <c:order val="1"/>
          <c:tx>
            <c:strRef>
              <c:f>'NAV Comparison'!$C$2</c:f>
              <c:strCache>
                <c:ptCount val="1"/>
                <c:pt idx="0">
                  <c:v>Week Ended December 24, 2025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solidFill>
                <a:schemeClr val="lt1"/>
              </a:solidFill>
              <a:ln w="12700" cap="flat" cmpd="sng" algn="ctr">
                <a:solidFill>
                  <a:schemeClr val="accent6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/>
              <a:lstStyle/>
              <a:p>
                <a:pPr>
                  <a:defRPr lang="en-US"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'NAV Comparison'!$A$3:$A$10</c:f>
              <c:strCache>
                <c:ptCount val="8"/>
                <c:pt idx="0">
                  <c:v>EQUITY BASED FUNDS</c:v>
                </c:pt>
                <c:pt idx="1">
                  <c:v>MONEY MARKET FUNDS</c:v>
                </c:pt>
                <c:pt idx="2">
                  <c:v>BONDS/FIXED INCOME FUNDS</c:v>
                </c:pt>
                <c:pt idx="3">
                  <c:v>DOLLAR FUNDS</c:v>
                </c:pt>
                <c:pt idx="4">
                  <c:v>REAL ESTATE INVESTMENT TRUST</c:v>
                </c:pt>
                <c:pt idx="5">
                  <c:v>BALANCED FUNDS</c:v>
                </c:pt>
                <c:pt idx="6">
                  <c:v>ETHICAL FUNDS</c:v>
                </c:pt>
                <c:pt idx="7">
                  <c:v>SHARI'AH COMPLAINT FUNDS</c:v>
                </c:pt>
              </c:strCache>
            </c:strRef>
          </c:cat>
          <c:val>
            <c:numRef>
              <c:f>'NAV Comparison'!$C$3:$C$10</c:f>
              <c:numCache>
                <c:formatCode>#,##0.00</c:formatCode>
                <c:ptCount val="8"/>
                <c:pt idx="0">
                  <c:v>79.641660217847488</c:v>
                </c:pt>
                <c:pt idx="1">
                  <c:v>4744.967555037585</c:v>
                </c:pt>
                <c:pt idx="2">
                  <c:v>237.25874210780859</c:v>
                </c:pt>
                <c:pt idx="3">
                  <c:v>1955.6987547865324</c:v>
                </c:pt>
                <c:pt idx="4">
                  <c:v>483.05535330730521</c:v>
                </c:pt>
                <c:pt idx="5" formatCode="_(* #,##0.00_);_(* \(#,##0.00\);_(* &quot;-&quot;??_);_(@_)">
                  <c:v>83.513673347384341</c:v>
                </c:pt>
                <c:pt idx="6">
                  <c:v>8.1791709521100007</c:v>
                </c:pt>
                <c:pt idx="7">
                  <c:v>80.120118418338848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B84-485B-B2FA-123DA4A4CFB3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45978400"/>
        <c:axId val="255697712"/>
      </c:barChart>
      <c:catAx>
        <c:axId val="1459784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255697712"/>
        <c:crosses val="autoZero"/>
        <c:auto val="1"/>
        <c:lblAlgn val="ctr"/>
        <c:lblOffset val="100"/>
        <c:noMultiLvlLbl val="0"/>
      </c:catAx>
      <c:valAx>
        <c:axId val="255697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tx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endParaRPr lang="en-US"/>
          </a:p>
        </c:txPr>
        <c:crossAx val="1459784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200" b="0" i="0" u="none" strike="noStrike" kern="1200" baseline="0">
              <a:solidFill>
                <a:schemeClr val="tx1"/>
              </a:solidFill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>
      <a:noFill/>
    </a:ln>
    <a:effectLst/>
  </c:spPr>
  <c:txPr>
    <a:bodyPr/>
    <a:lstStyle/>
    <a:p>
      <a:pPr>
        <a:defRPr lang="en-US">
          <a:latin typeface="Tahoma" panose="020B0604030504040204" pitchFamily="34" charset="0"/>
          <a:ea typeface="Tahoma" panose="020B0604030504040204" pitchFamily="34" charset="0"/>
          <a:cs typeface="Tahoma" panose="020B060403050404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200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PERCENTAGE MARKET</a:t>
            </a:r>
            <a:r>
              <a:rPr lang="en-US" sz="20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 SHARE OF FUNDS BY CLASS</a:t>
            </a:r>
          </a:p>
          <a:p>
            <a:pPr>
              <a:defRPr lang="en-US" sz="2000" b="0" i="0" u="none" strike="noStrike" kern="1200" spc="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defRPr>
            </a:pPr>
            <a:r>
              <a:rPr lang="en-US" sz="1600" baseline="0">
                <a:solidFill>
                  <a:schemeClr val="lt1"/>
                </a:solidFill>
                <a:latin typeface="Tahoma" panose="020B0604030504040204" pitchFamily="34" charset="0"/>
                <a:ea typeface="Tahoma" panose="020B0604030504040204" pitchFamily="34" charset="0"/>
                <a:cs typeface="Tahoma" panose="020B0604030504040204" pitchFamily="34" charset="0"/>
              </a:rPr>
              <a:t>AS AT 24TH DECEMBER, 2025</a:t>
            </a:r>
            <a:endParaRPr lang="en-US" sz="1600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endParaRPr>
          </a:p>
        </c:rich>
      </c:tx>
      <c:layout>
        <c:manualLayout>
          <c:xMode val="edge"/>
          <c:yMode val="edge"/>
          <c:x val="0.25382304706685366"/>
          <c:y val="1.8702749868806573E-2"/>
        </c:manualLayout>
      </c:layout>
      <c:overlay val="0"/>
      <c:spPr>
        <a:solidFill>
          <a:schemeClr val="dk1"/>
        </a:solidFill>
        <a:ln w="12700" cap="flat" cmpd="sng" algn="ctr">
          <a:solidFill>
            <a:schemeClr val="dk1">
              <a:shade val="15000"/>
            </a:schemeClr>
          </a:solidFill>
          <a:prstDash val="solid"/>
          <a:miter lim="800000"/>
        </a:ln>
        <a:effectLst/>
      </c:spPr>
    </c:title>
    <c:autoTitleDeleted val="0"/>
    <c:view3D>
      <c:rotX val="30"/>
      <c:rotY val="235"/>
      <c:depthPercent val="100"/>
      <c:rAngAx val="0"/>
    </c:view3D>
    <c:floor>
      <c:thickness val="0"/>
      <c:spPr>
        <a:noFill/>
        <a:ln>
          <a:noFill/>
        </a:ln>
        <a:effectLst/>
      </c:spPr>
    </c:floor>
    <c:sideWall>
      <c:thickness val="0"/>
      <c:spPr>
        <a:noFill/>
        <a:ln>
          <a:noFill/>
        </a:ln>
        <a:effectLst/>
      </c:spPr>
    </c:sideWall>
    <c:backWall>
      <c:thickness val="0"/>
      <c:spPr>
        <a:noFill/>
        <a:ln>
          <a:noFill/>
        </a:ln>
        <a:effectLst/>
      </c:spPr>
    </c:backWall>
    <c:plotArea>
      <c:layout>
        <c:manualLayout>
          <c:layoutTarget val="inner"/>
          <c:xMode val="edge"/>
          <c:yMode val="edge"/>
          <c:x val="0.15552536576715401"/>
          <c:y val="0.147427288479518"/>
          <c:w val="0.84316500743410205"/>
          <c:h val="0.81423920364184199"/>
        </c:manualLayout>
      </c:layout>
      <c:pie3DChart>
        <c:varyColors val="1"/>
        <c:ser>
          <c:idx val="0"/>
          <c:order val="0"/>
          <c:tx>
            <c:strRef>
              <c:f>'Market Share'!$B$1</c:f>
              <c:strCache>
                <c:ptCount val="1"/>
                <c:pt idx="0">
                  <c:v>24-Dec</c:v>
                </c:pt>
              </c:strCache>
            </c:strRef>
          </c:tx>
          <c:explosion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1CD-4238-805E-79E3D03273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1CD-4238-805E-79E3D03273AE}"/>
              </c:ext>
            </c:extLst>
          </c:dPt>
          <c:dPt>
            <c:idx val="2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1CD-4238-805E-79E3D03273AE}"/>
              </c:ext>
            </c:extLst>
          </c:dPt>
          <c:dPt>
            <c:idx val="3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1CD-4238-805E-79E3D03273AE}"/>
              </c:ext>
            </c:extLst>
          </c:dPt>
          <c:dPt>
            <c:idx val="4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1CD-4238-805E-79E3D03273AE}"/>
              </c:ext>
            </c:extLst>
          </c:dPt>
          <c:dPt>
            <c:idx val="5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1CD-4238-805E-79E3D03273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1CD-4238-805E-79E3D03273AE}"/>
              </c:ext>
            </c:extLst>
          </c:dPt>
          <c:dPt>
            <c:idx val="7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 w="25400">
                <a:solidFill>
                  <a:schemeClr val="lt1"/>
                </a:solidFill>
              </a:ln>
              <a:effectLst/>
              <a:scene3d>
                <a:camera prst="orthographicFront"/>
                <a:lightRig rig="threePt" dir="t"/>
              </a:scene3d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1CD-4238-805E-79E3D03273AE}"/>
              </c:ext>
            </c:extLst>
          </c:dPt>
          <c:dLbls>
            <c:dLbl>
              <c:idx val="0"/>
              <c:layout>
                <c:manualLayout>
                  <c:x val="-4.31242058258033E-2"/>
                  <c:y val="0.11941221286673299"/>
                </c:manualLayout>
              </c:layout>
              <c:numFmt formatCode="0.00%" sourceLinked="0"/>
              <c:spPr>
                <a:gradFill rotWithShape="1">
                  <a:gsLst>
                    <a:gs pos="0">
                      <a:schemeClr val="dk1">
                        <a:satMod val="103000"/>
                        <a:lumMod val="102000"/>
                        <a:tint val="94000"/>
                      </a:schemeClr>
                    </a:gs>
                    <a:gs pos="50000">
                      <a:schemeClr val="dk1">
                        <a:satMod val="110000"/>
                        <a:lumMod val="100000"/>
                        <a:shade val="100000"/>
                      </a:schemeClr>
                    </a:gs>
                    <a:gs pos="100000">
                      <a:schemeClr val="dk1">
                        <a:lumMod val="99000"/>
                        <a:satMod val="120000"/>
                        <a:shade val="78000"/>
                      </a:schemeClr>
                    </a:gs>
                  </a:gsLst>
                  <a:lin ang="5400000" scaled="0"/>
                </a:gradFill>
                <a:ln w="6350" cap="flat" cmpd="sng" algn="ctr">
                  <a:solidFill>
                    <a:schemeClr val="dk1"/>
                  </a:solidFill>
                  <a:prstDash val="solid"/>
                  <a:miter lim="800000"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lang="en-US" sz="1100" b="0" i="0" u="none" strike="noStrike" kern="1200" baseline="0">
                      <a:solidFill>
                        <a:schemeClr val="lt1"/>
                      </a:solidFill>
                      <a:latin typeface="Tahoma" panose="020B0604030504040204" pitchFamily="34" charset="0"/>
                      <a:ea typeface="Tahoma" panose="020B0604030504040204" pitchFamily="34" charset="0"/>
                      <a:cs typeface="Tahoma" panose="020B0604030504040204" pitchFamily="34" charset="0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9.4479132889269804E-2"/>
                      <c:h val="7.407629741261130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C1CD-4238-805E-79E3D03273AE}"/>
                </c:ext>
              </c:extLst>
            </c:dLbl>
            <c:dLbl>
              <c:idx val="1"/>
              <c:layout>
                <c:manualLayout>
                  <c:x val="-8.3929154372232501E-2"/>
                  <c:y val="5.523740886099379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1CD-4238-805E-79E3D03273AE}"/>
                </c:ext>
              </c:extLst>
            </c:dLbl>
            <c:dLbl>
              <c:idx val="2"/>
              <c:layout>
                <c:manualLayout>
                  <c:x val="-2.43329415803131E-2"/>
                  <c:y val="-9.75631346843399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1CD-4238-805E-79E3D03273AE}"/>
                </c:ext>
              </c:extLst>
            </c:dLbl>
            <c:dLbl>
              <c:idx val="3"/>
              <c:layout>
                <c:manualLayout>
                  <c:x val="-1.82320668832372E-2"/>
                  <c:y val="3.176145796708879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1CD-4238-805E-79E3D03273AE}"/>
                </c:ext>
              </c:extLst>
            </c:dLbl>
            <c:dLbl>
              <c:idx val="4"/>
              <c:layout>
                <c:manualLayout>
                  <c:x val="-2.2105334402515699E-2"/>
                  <c:y val="-0.10218920639283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1CD-4238-805E-79E3D03273AE}"/>
                </c:ext>
              </c:extLst>
            </c:dLbl>
            <c:dLbl>
              <c:idx val="5"/>
              <c:layout>
                <c:manualLayout>
                  <c:x val="0.118609777194861"/>
                  <c:y val="-0.134291330027987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1CD-4238-805E-79E3D03273AE}"/>
                </c:ext>
              </c:extLst>
            </c:dLbl>
            <c:dLbl>
              <c:idx val="6"/>
              <c:layout>
                <c:manualLayout>
                  <c:x val="0.10044016500962"/>
                  <c:y val="9.2134339331788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1CD-4238-805E-79E3D03273AE}"/>
                </c:ext>
              </c:extLst>
            </c:dLbl>
            <c:dLbl>
              <c:idx val="7"/>
              <c:layout>
                <c:manualLayout>
                  <c:x val="-0.23297582723395899"/>
                  <c:y val="-0.3286625827229129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1CD-4238-805E-79E3D03273AE}"/>
                </c:ext>
              </c:extLst>
            </c:dLbl>
            <c:numFmt formatCode="0.00%" sourceLinked="0"/>
            <c:spPr>
              <a:gradFill rotWithShape="1">
                <a:gsLst>
                  <a:gs pos="0">
                    <a:schemeClr val="dk1">
                      <a:satMod val="103000"/>
                      <a:lumMod val="102000"/>
                      <a:tint val="94000"/>
                    </a:schemeClr>
                  </a:gs>
                  <a:gs pos="50000">
                    <a:schemeClr val="dk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dk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dk1"/>
                </a:solidFill>
                <a:prstDash val="solid"/>
                <a:miter lim="800000"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1100" b="0" i="0" u="none" strike="noStrike" kern="1200" baseline="0">
                    <a:solidFill>
                      <a:schemeClr val="lt1"/>
                    </a:solidFill>
                    <a:latin typeface="Tahoma" panose="020B0604030504040204" pitchFamily="34" charset="0"/>
                    <a:ea typeface="Tahoma" panose="020B0604030504040204" pitchFamily="34" charset="0"/>
                    <a:cs typeface="Tahoma" panose="020B060403050404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25400" cap="flat" cmpd="sng" algn="ctr">
                  <a:solidFill>
                    <a:schemeClr val="tx1"/>
                  </a:solidFill>
                  <a:prstDash val="solid"/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'Market Share'!$A$2:$A$9</c:f>
              <c:strCache>
                <c:ptCount val="8"/>
                <c:pt idx="0">
                  <c:v>ETHICAL FUNDS</c:v>
                </c:pt>
                <c:pt idx="1">
                  <c:v>EQUITY BASED FUNDS</c:v>
                </c:pt>
                <c:pt idx="2">
                  <c:v>SHARI'AH COMPLAINT FUNDS</c:v>
                </c:pt>
                <c:pt idx="3">
                  <c:v>BALANCED FUNDS</c:v>
                </c:pt>
                <c:pt idx="4">
                  <c:v>REAL ESTATE INVESTMENT TRUST</c:v>
                </c:pt>
                <c:pt idx="5">
                  <c:v>BONDS/FIXED INCOME FUNDS</c:v>
                </c:pt>
                <c:pt idx="6">
                  <c:v>DOLLAR FUNDS</c:v>
                </c:pt>
                <c:pt idx="7">
                  <c:v>MONEY MARKET FUNDS</c:v>
                </c:pt>
              </c:strCache>
            </c:strRef>
          </c:cat>
          <c:val>
            <c:numRef>
              <c:f>'Market Share'!$B$2:$B$9</c:f>
              <c:numCache>
                <c:formatCode>#,##0.00</c:formatCode>
                <c:ptCount val="8"/>
                <c:pt idx="0">
                  <c:v>8179170952.1100006</c:v>
                </c:pt>
                <c:pt idx="1">
                  <c:v>79641660217.847488</c:v>
                </c:pt>
                <c:pt idx="2" formatCode="_(* #,##0.00_);_(* \(#,##0.00\);_(* &quot;-&quot;??_);_(@_)">
                  <c:v>80120118418.338852</c:v>
                </c:pt>
                <c:pt idx="3">
                  <c:v>83513673347.384338</c:v>
                </c:pt>
                <c:pt idx="4">
                  <c:v>483055353307.30524</c:v>
                </c:pt>
                <c:pt idx="5">
                  <c:v>237258742107.80859</c:v>
                </c:pt>
                <c:pt idx="6">
                  <c:v>1955698754786.5325</c:v>
                </c:pt>
                <c:pt idx="7">
                  <c:v>4744967555037.585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1CD-4238-805E-79E3D03273AE}"/>
            </c:ext>
          </c:extLst>
        </c:ser>
        <c:dLbls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pattFill prst="pct40">
      <a:fgClr>
        <a:schemeClr val="accent1"/>
      </a:fgClr>
      <a:bgClr>
        <a:schemeClr val="bg1"/>
      </a:bgClr>
    </a:patt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  <a:effectLst>
      <a:outerShdw blurRad="50800" dist="50800" dir="5400000" algn="ctr" rotWithShape="0">
        <a:schemeClr val="accent3">
          <a:lumMod val="20000"/>
          <a:lumOff val="80000"/>
        </a:schemeClr>
      </a:outerShdw>
    </a:effectLst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n-US" sz="1600" b="1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solidFill>
                  <a:schemeClr val="bg1"/>
                </a:solidFill>
              </a:rPr>
              <a:t>8-WEEK MOVEMENT IN TOTAL NAV (N'Bn)</a:t>
            </a:r>
          </a:p>
        </c:rich>
      </c:tx>
      <c:layout>
        <c:manualLayout>
          <c:xMode val="edge"/>
          <c:yMode val="edge"/>
          <c:x val="0.259825017515738"/>
          <c:y val="1.568627838475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n-US" sz="1600" b="1" i="0" u="none" strike="noStrike" kern="1200" cap="all" spc="120" normalizeH="0" baseline="0">
              <a:solidFill>
                <a:schemeClr val="bg1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NAV'!$A$3</c:f>
              <c:strCache>
                <c:ptCount val="1"/>
                <c:pt idx="0">
                  <c:v>TOTAL NAV</c:v>
                </c:pt>
              </c:strCache>
            </c:strRef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diamond"/>
            <c:size val="6"/>
            <c:spPr>
              <a:solidFill>
                <a:schemeClr val="accent1"/>
              </a:solidFill>
              <a:ln w="9525">
                <a:solidFill>
                  <a:schemeClr val="accent1"/>
                </a:solidFill>
                <a:round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1"/>
                </a:solidFill>
                <a:prstDash val="sysDash"/>
              </a:ln>
              <a:effectLst/>
            </c:spPr>
            <c:trendlineType val="linear"/>
            <c:dispRSqr val="0"/>
            <c:dispEq val="0"/>
          </c:trendline>
          <c:cat>
            <c:numRef>
              <c:f>'8-Week Movement in NAV'!$B$2:$I$2</c:f>
              <c:numCache>
                <c:formatCode>d\-mmm</c:formatCode>
                <c:ptCount val="8"/>
                <c:pt idx="0">
                  <c:v>45968</c:v>
                </c:pt>
                <c:pt idx="1">
                  <c:v>45975</c:v>
                </c:pt>
                <c:pt idx="2">
                  <c:v>45982</c:v>
                </c:pt>
                <c:pt idx="3">
                  <c:v>45989</c:v>
                </c:pt>
                <c:pt idx="4">
                  <c:v>45996</c:v>
                </c:pt>
                <c:pt idx="5">
                  <c:v>46003</c:v>
                </c:pt>
                <c:pt idx="6">
                  <c:v>46010</c:v>
                </c:pt>
                <c:pt idx="7">
                  <c:v>46015</c:v>
                </c:pt>
              </c:numCache>
            </c:numRef>
          </c:cat>
          <c:val>
            <c:numRef>
              <c:f>'8-Week Movement in NAV'!$B$3:$I$3</c:f>
              <c:numCache>
                <c:formatCode>_(* #,##0.00_);_(* \(#,##0.00\);_(* "-"??_);_(@_)</c:formatCode>
                <c:ptCount val="8"/>
                <c:pt idx="0">
                  <c:v>7157.322477516268</c:v>
                </c:pt>
                <c:pt idx="1">
                  <c:v>7224.9660672128502</c:v>
                </c:pt>
                <c:pt idx="2">
                  <c:v>7259.9310118544208</c:v>
                </c:pt>
                <c:pt idx="3">
                  <c:v>7416.5411604761439</c:v>
                </c:pt>
                <c:pt idx="4">
                  <c:v>7473.2757425151976</c:v>
                </c:pt>
                <c:pt idx="5">
                  <c:v>7522.4259502457116</c:v>
                </c:pt>
                <c:pt idx="6">
                  <c:v>7603.1851114640458</c:v>
                </c:pt>
                <c:pt idx="7">
                  <c:v>7672.435028174913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B9-45FC-8D31-ECB21A7F50F4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27975552"/>
        <c:axId val="328105904"/>
      </c:lineChart>
      <c:dateAx>
        <c:axId val="327975552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800" b="0" i="0" u="none" strike="noStrike" kern="1200" cap="all" spc="120" normalizeH="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105904"/>
        <c:crosses val="autoZero"/>
        <c:auto val="1"/>
        <c:lblOffset val="100"/>
        <c:baseTimeUnit val="days"/>
      </c:dateAx>
      <c:valAx>
        <c:axId val="328105904"/>
        <c:scaling>
          <c:orientation val="minMax"/>
        </c:scaling>
        <c:delete val="0"/>
        <c:axPos val="l"/>
        <c:numFmt formatCode="_(* #,##0.00_);_(* \(#,##0.00\);_(* &quot;-&quot;??_);_(@_)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dk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bg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97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tx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def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</a:rPr>
              <a:t>8-WEEK MOVEMENT IN </a:t>
            </a:r>
            <a:r>
              <a:rPr lang="en-US" sz="1600"/>
              <a:t>AGGREGATE </a:t>
            </a:r>
            <a:r>
              <a:rPr lang="en-US" sz="1600" b="1" i="0" u="none" strike="noStrike" kern="1200" spc="100" baseline="0">
                <a:solidFill>
                  <a:sysClr val="window" lastClr="FFFFFF">
                    <a:lumMod val="95000"/>
                  </a:sys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ETFs </a:t>
            </a:r>
            <a:r>
              <a:rPr lang="en-US" sz="1600" b="1" i="0" u="none" strike="noStrike" kern="1200" cap="all" spc="120" normalizeH="0" baseline="0">
                <a:solidFill>
                  <a:schemeClr val="bg1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</a:rPr>
              <a:t>(N'Bn)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 lang="en-US" sz="1600" b="1" i="0" u="none" strike="noStrike" kern="1200" spc="100" baseline="0">
              <a:solidFill>
                <a:sysClr val="window" lastClr="FFFFFF">
                  <a:lumMod val="95000"/>
                </a:sysClr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'8-Week Movement in ETFs'!$A$3</c:f>
              <c:strCache>
                <c:ptCount val="1"/>
                <c:pt idx="0">
                  <c:v>ETFs AGGREGATE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lang="en-US"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'8-Week Movement in ETFs'!$B$2:$I$2</c:f>
              <c:numCache>
                <c:formatCode>d\-mmm</c:formatCode>
                <c:ptCount val="8"/>
                <c:pt idx="0">
                  <c:v>45968</c:v>
                </c:pt>
                <c:pt idx="1">
                  <c:v>45975</c:v>
                </c:pt>
                <c:pt idx="2">
                  <c:v>45982</c:v>
                </c:pt>
                <c:pt idx="3">
                  <c:v>45989</c:v>
                </c:pt>
                <c:pt idx="4">
                  <c:v>45996</c:v>
                </c:pt>
                <c:pt idx="5">
                  <c:v>46003</c:v>
                </c:pt>
                <c:pt idx="6">
                  <c:v>46010</c:v>
                </c:pt>
                <c:pt idx="7">
                  <c:v>46015</c:v>
                </c:pt>
              </c:numCache>
            </c:numRef>
          </c:cat>
          <c:val>
            <c:numRef>
              <c:f>'8-Week Movement in ETFs'!$B$3:$I$3</c:f>
              <c:numCache>
                <c:formatCode>_(* #,##0.00_);_(* \(#,##0.00\);_(* "-"??_);_(@_)</c:formatCode>
                <c:ptCount val="8"/>
                <c:pt idx="0">
                  <c:v>17.390304867240001</c:v>
                </c:pt>
                <c:pt idx="1">
                  <c:v>17.29912062779</c:v>
                </c:pt>
                <c:pt idx="2">
                  <c:v>16.915814556049998</c:v>
                </c:pt>
                <c:pt idx="3">
                  <c:v>16.97292700869</c:v>
                </c:pt>
                <c:pt idx="4">
                  <c:v>17.413222879320003</c:v>
                </c:pt>
                <c:pt idx="5">
                  <c:v>17.682838809310002</c:v>
                </c:pt>
                <c:pt idx="6">
                  <c:v>17.94056485019</c:v>
                </c:pt>
                <c:pt idx="7">
                  <c:v>18.082167415780003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29-4D76-8B47-F198EF18C28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328047144"/>
        <c:axId val="327973656"/>
      </c:lineChart>
      <c:dateAx>
        <c:axId val="328047144"/>
        <c:scaling>
          <c:orientation val="minMax"/>
        </c:scaling>
        <c:delete val="0"/>
        <c:axPos val="b"/>
        <c:numFmt formatCode="d\-mmm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lt1">
                <a:lumMod val="95000"/>
                <a:alpha val="1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7973656"/>
        <c:crosses val="autoZero"/>
        <c:auto val="1"/>
        <c:lblOffset val="100"/>
        <c:baseTimeUnit val="days"/>
      </c:dateAx>
      <c:valAx>
        <c:axId val="327973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28047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 lang="en-US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3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b="0" i="0" u="none" strike="noStrike" kern="1200" baseline="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33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15240</xdr:colOff>
      <xdr:row>22</xdr:row>
      <xdr:rowOff>142875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15</xdr:col>
      <xdr:colOff>191846</xdr:colOff>
      <xdr:row>32</xdr:row>
      <xdr:rowOff>44823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588819</xdr:colOff>
      <xdr:row>19</xdr:row>
      <xdr:rowOff>8659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434339</xdr:colOff>
      <xdr:row>18</xdr:row>
      <xdr:rowOff>19050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0000"/>
  </sheetPr>
  <dimension ref="A1:AB268"/>
  <sheetViews>
    <sheetView tabSelected="1" zoomScale="130" zoomScaleNormal="130" workbookViewId="0">
      <pane ySplit="3" topLeftCell="A4" activePane="bottomLeft" state="frozen"/>
      <selection pane="bottomLeft" activeCell="A4" sqref="A4"/>
    </sheetView>
  </sheetViews>
  <sheetFormatPr defaultColWidth="9" defaultRowHeight="14.5"/>
  <cols>
    <col min="1" max="1" width="6" customWidth="1"/>
    <col min="2" max="2" width="39.08984375" customWidth="1"/>
    <col min="3" max="3" width="36.08984375" customWidth="1"/>
    <col min="4" max="4" width="21" customWidth="1"/>
    <col min="8" max="8" width="11.453125" customWidth="1"/>
    <col min="11" max="11" width="20.54296875" customWidth="1"/>
    <col min="13" max="14" width="10.08984375" customWidth="1"/>
    <col min="15" max="15" width="10.54296875" customWidth="1"/>
    <col min="16" max="16" width="8.36328125" customWidth="1"/>
    <col min="17" max="17" width="9.08984375" customWidth="1"/>
    <col min="20" max="20" width="9.36328125" customWidth="1"/>
    <col min="24" max="24" width="18.90625" customWidth="1"/>
    <col min="25" max="25" width="11.36328125" customWidth="1"/>
    <col min="26" max="27" width="17.36328125" customWidth="1"/>
  </cols>
  <sheetData>
    <row r="1" spans="1:25" ht="26">
      <c r="A1" s="193" t="s">
        <v>334</v>
      </c>
      <c r="B1" s="193"/>
      <c r="C1" s="193"/>
      <c r="D1" s="193"/>
      <c r="E1" s="193"/>
      <c r="F1" s="193"/>
      <c r="G1" s="193"/>
      <c r="H1" s="193"/>
      <c r="I1" s="193"/>
      <c r="J1" s="193"/>
      <c r="K1" s="193"/>
      <c r="L1" s="193"/>
      <c r="M1" s="193"/>
      <c r="N1" s="193"/>
      <c r="O1" s="193"/>
      <c r="P1" s="193"/>
      <c r="Q1" s="193"/>
      <c r="R1" s="193"/>
      <c r="S1" s="193"/>
      <c r="T1" s="193"/>
      <c r="U1" s="193"/>
      <c r="V1" s="193"/>
    </row>
    <row r="2" spans="1:25" ht="14.4" customHeight="1">
      <c r="A2" s="31"/>
      <c r="B2" s="32"/>
      <c r="C2" s="33"/>
      <c r="D2" s="194" t="s">
        <v>331</v>
      </c>
      <c r="E2" s="194"/>
      <c r="F2" s="194"/>
      <c r="G2" s="194"/>
      <c r="H2" s="194"/>
      <c r="I2" s="194"/>
      <c r="J2" s="194"/>
      <c r="K2" s="194" t="s">
        <v>335</v>
      </c>
      <c r="L2" s="194"/>
      <c r="M2" s="194"/>
      <c r="N2" s="194"/>
      <c r="O2" s="194"/>
      <c r="P2" s="194"/>
      <c r="Q2" s="194"/>
      <c r="R2" s="194" t="s">
        <v>0</v>
      </c>
      <c r="S2" s="194"/>
      <c r="T2" s="194"/>
      <c r="U2" s="194" t="s">
        <v>1</v>
      </c>
      <c r="V2" s="194"/>
    </row>
    <row r="3" spans="1:25">
      <c r="A3" s="34" t="s">
        <v>2</v>
      </c>
      <c r="B3" s="35" t="s">
        <v>3</v>
      </c>
      <c r="C3" s="36" t="s">
        <v>4</v>
      </c>
      <c r="D3" s="37" t="s">
        <v>5</v>
      </c>
      <c r="E3" s="38" t="s">
        <v>6</v>
      </c>
      <c r="F3" s="38" t="s">
        <v>7</v>
      </c>
      <c r="G3" s="38" t="s">
        <v>8</v>
      </c>
      <c r="H3" s="38" t="s">
        <v>9</v>
      </c>
      <c r="I3" s="38" t="s">
        <v>10</v>
      </c>
      <c r="J3" s="38" t="s">
        <v>11</v>
      </c>
      <c r="K3" s="63" t="s">
        <v>5</v>
      </c>
      <c r="L3" s="38" t="s">
        <v>6</v>
      </c>
      <c r="M3" s="38" t="s">
        <v>12</v>
      </c>
      <c r="N3" s="38" t="s">
        <v>8</v>
      </c>
      <c r="O3" s="38" t="s">
        <v>9</v>
      </c>
      <c r="P3" s="38" t="s">
        <v>10</v>
      </c>
      <c r="Q3" s="38" t="s">
        <v>11</v>
      </c>
      <c r="R3" s="37" t="s">
        <v>13</v>
      </c>
      <c r="S3" s="38" t="s">
        <v>14</v>
      </c>
      <c r="T3" s="38" t="s">
        <v>15</v>
      </c>
      <c r="U3" s="38" t="s">
        <v>16</v>
      </c>
      <c r="V3" s="38" t="s">
        <v>17</v>
      </c>
    </row>
    <row r="4" spans="1:25" ht="5.25" customHeight="1">
      <c r="A4" s="39"/>
      <c r="B4" s="192"/>
      <c r="C4" s="192"/>
      <c r="D4" s="192"/>
      <c r="E4" s="192"/>
      <c r="F4" s="192"/>
      <c r="G4" s="192"/>
      <c r="H4" s="192"/>
      <c r="I4" s="192"/>
      <c r="J4" s="192"/>
      <c r="K4" s="192"/>
      <c r="L4" s="192"/>
      <c r="M4" s="192"/>
      <c r="N4" s="192"/>
      <c r="O4" s="192"/>
      <c r="P4" s="192"/>
      <c r="Q4" s="192"/>
      <c r="R4" s="192"/>
      <c r="S4" s="192"/>
      <c r="T4" s="192"/>
      <c r="U4" s="192"/>
      <c r="V4" s="192"/>
    </row>
    <row r="5" spans="1:25" ht="15" customHeight="1">
      <c r="A5" s="191" t="s">
        <v>18</v>
      </c>
      <c r="B5" s="191"/>
      <c r="C5" s="191"/>
      <c r="D5" s="191"/>
      <c r="E5" s="191"/>
      <c r="F5" s="191"/>
      <c r="G5" s="191"/>
      <c r="H5" s="191"/>
      <c r="I5" s="191"/>
      <c r="J5" s="191"/>
      <c r="K5" s="191"/>
      <c r="L5" s="191"/>
      <c r="M5" s="191"/>
      <c r="N5" s="191"/>
      <c r="O5" s="191"/>
      <c r="P5" s="191"/>
      <c r="Q5" s="191"/>
      <c r="R5" s="191"/>
      <c r="S5" s="191"/>
      <c r="T5" s="191"/>
      <c r="U5" s="191"/>
      <c r="V5" s="191"/>
    </row>
    <row r="6" spans="1:25">
      <c r="A6" s="156">
        <v>1</v>
      </c>
      <c r="B6" s="160" t="s">
        <v>19</v>
      </c>
      <c r="C6" s="155" t="s">
        <v>20</v>
      </c>
      <c r="D6" s="152">
        <v>4431168617.1000004</v>
      </c>
      <c r="E6" s="150">
        <f t="shared" ref="E6:E24" si="0">(D6/$D$26)</f>
        <v>5.5573206751555977E-2</v>
      </c>
      <c r="F6" s="152">
        <v>611.48490000000004</v>
      </c>
      <c r="G6" s="152">
        <v>617.76549999999997</v>
      </c>
      <c r="H6" s="44">
        <v>1695</v>
      </c>
      <c r="I6" s="65">
        <v>2.06E-2</v>
      </c>
      <c r="J6" s="65">
        <v>0.5383</v>
      </c>
      <c r="K6" s="152">
        <v>4471934794.9200001</v>
      </c>
      <c r="L6" s="150">
        <f t="shared" ref="L6:L25" si="1">(K6/$K$26)</f>
        <v>5.6150697796702273E-2</v>
      </c>
      <c r="M6" s="152">
        <v>615.06679999999994</v>
      </c>
      <c r="N6" s="152">
        <v>621.24159999999995</v>
      </c>
      <c r="O6" s="44">
        <v>1695</v>
      </c>
      <c r="P6" s="65">
        <v>5.8999999999999999E-3</v>
      </c>
      <c r="Q6" s="65">
        <v>0.54730000000000001</v>
      </c>
      <c r="R6" s="70">
        <f>((K6-D6)/D6)</f>
        <v>9.1998705855340073E-3</v>
      </c>
      <c r="S6" s="70">
        <f>((N6-G6)/G6)</f>
        <v>5.6268924049659198E-3</v>
      </c>
      <c r="T6" s="70">
        <f>((O6-H6)/H6)</f>
        <v>0</v>
      </c>
      <c r="U6" s="70">
        <f>P6-I6</f>
        <v>-1.4700000000000001E-2</v>
      </c>
      <c r="V6" s="71">
        <f>Q6-J6</f>
        <v>9.000000000000008E-3</v>
      </c>
      <c r="W6" s="153"/>
    </row>
    <row r="7" spans="1:25">
      <c r="A7" s="156">
        <v>2</v>
      </c>
      <c r="B7" s="160" t="s">
        <v>21</v>
      </c>
      <c r="C7" s="155" t="s">
        <v>22</v>
      </c>
      <c r="D7" s="40">
        <v>1008548342.75</v>
      </c>
      <c r="E7" s="41">
        <f t="shared" si="0"/>
        <v>1.2648642020593192E-2</v>
      </c>
      <c r="F7" s="40">
        <v>405.57530000000003</v>
      </c>
      <c r="G7" s="40">
        <v>410.2987</v>
      </c>
      <c r="H7" s="42">
        <v>625</v>
      </c>
      <c r="I7" s="64">
        <v>4.2040000000000003E-3</v>
      </c>
      <c r="J7" s="64">
        <v>0.57499999999999996</v>
      </c>
      <c r="K7" s="40">
        <v>1137010899.3199999</v>
      </c>
      <c r="L7" s="41">
        <f t="shared" si="1"/>
        <v>1.4276584594166945E-2</v>
      </c>
      <c r="M7" s="40">
        <v>406.7534</v>
      </c>
      <c r="N7" s="40">
        <v>411.666</v>
      </c>
      <c r="O7" s="42">
        <v>625</v>
      </c>
      <c r="P7" s="64">
        <v>-3.862E-3</v>
      </c>
      <c r="Q7" s="64">
        <v>0.5796</v>
      </c>
      <c r="R7" s="69">
        <f t="shared" ref="R7:R26" si="2">((K7-D7)/D7)</f>
        <v>0.12737372233414435</v>
      </c>
      <c r="S7" s="69">
        <f t="shared" ref="S7:S26" si="3">((N7-G7)/G7)</f>
        <v>3.3324502368640217E-3</v>
      </c>
      <c r="T7" s="69">
        <f t="shared" ref="T7:T26" si="4">((O7-H7)/H7)</f>
        <v>0</v>
      </c>
      <c r="U7" s="70">
        <f t="shared" ref="U7:U26" si="5">P7-I7</f>
        <v>-8.0660000000000003E-3</v>
      </c>
      <c r="V7" s="71">
        <f t="shared" ref="V7:V26" si="6">Q7-J7</f>
        <v>4.6000000000000485E-3</v>
      </c>
    </row>
    <row r="8" spans="1:25">
      <c r="A8" s="156">
        <v>3</v>
      </c>
      <c r="B8" s="160" t="s">
        <v>23</v>
      </c>
      <c r="C8" s="155" t="s">
        <v>24</v>
      </c>
      <c r="D8" s="40">
        <v>7354081021.1099997</v>
      </c>
      <c r="E8" s="41">
        <f t="shared" si="0"/>
        <v>9.2230718433212983E-2</v>
      </c>
      <c r="F8" s="40">
        <v>52.3033</v>
      </c>
      <c r="G8" s="43">
        <v>53.880299999999998</v>
      </c>
      <c r="H8" s="44">
        <v>8454</v>
      </c>
      <c r="I8" s="65">
        <v>0.31090000000000001</v>
      </c>
      <c r="J8" s="65">
        <v>0.4914</v>
      </c>
      <c r="K8" s="40">
        <v>7419751248.0699997</v>
      </c>
      <c r="L8" s="41">
        <f t="shared" si="1"/>
        <v>9.316419607243763E-2</v>
      </c>
      <c r="M8" s="40">
        <v>52.3917</v>
      </c>
      <c r="N8" s="43">
        <v>53.971400000000003</v>
      </c>
      <c r="O8" s="44">
        <v>8454</v>
      </c>
      <c r="P8" s="65">
        <v>8.8200000000000001E-2</v>
      </c>
      <c r="Q8" s="65">
        <v>0.48430000000000001</v>
      </c>
      <c r="R8" s="69">
        <f t="shared" si="2"/>
        <v>8.9297665842261818E-3</v>
      </c>
      <c r="S8" s="69">
        <f t="shared" si="3"/>
        <v>1.6907849436622365E-3</v>
      </c>
      <c r="T8" s="69">
        <f t="shared" si="4"/>
        <v>0</v>
      </c>
      <c r="U8" s="70">
        <f t="shared" si="5"/>
        <v>-0.22270000000000001</v>
      </c>
      <c r="V8" s="71">
        <f t="shared" si="6"/>
        <v>-7.0999999999999952E-3</v>
      </c>
      <c r="X8" s="72"/>
      <c r="Y8" s="72"/>
    </row>
    <row r="9" spans="1:25">
      <c r="A9" s="156">
        <v>4</v>
      </c>
      <c r="B9" s="160" t="s">
        <v>25</v>
      </c>
      <c r="C9" s="155" t="s">
        <v>26</v>
      </c>
      <c r="D9" s="40">
        <v>884060571.39999998</v>
      </c>
      <c r="E9" s="41">
        <f t="shared" si="0"/>
        <v>1.1087386908662558E-2</v>
      </c>
      <c r="F9" s="40">
        <v>252.19739999999999</v>
      </c>
      <c r="G9" s="40">
        <v>252.19739999999999</v>
      </c>
      <c r="H9" s="42">
        <v>2268</v>
      </c>
      <c r="I9" s="64">
        <v>-1.4E-3</v>
      </c>
      <c r="J9" s="64">
        <v>0.30609999999999998</v>
      </c>
      <c r="K9" s="40">
        <v>885234431.51999998</v>
      </c>
      <c r="L9" s="41">
        <f t="shared" si="1"/>
        <v>1.1115218204876412E-2</v>
      </c>
      <c r="M9" s="40">
        <v>249.58009999999999</v>
      </c>
      <c r="N9" s="40">
        <v>249.58009999999999</v>
      </c>
      <c r="O9" s="42">
        <v>2270</v>
      </c>
      <c r="P9" s="64">
        <v>-1.04E-2</v>
      </c>
      <c r="Q9" s="64">
        <v>0.29420000000000002</v>
      </c>
      <c r="R9" s="69">
        <f t="shared" si="2"/>
        <v>1.3278050825647361E-3</v>
      </c>
      <c r="S9" s="69">
        <f t="shared" si="3"/>
        <v>-1.0377981692118952E-2</v>
      </c>
      <c r="T9" s="69">
        <f t="shared" si="4"/>
        <v>8.8183421516754845E-4</v>
      </c>
      <c r="U9" s="70">
        <f t="shared" si="5"/>
        <v>-8.9999999999999993E-3</v>
      </c>
      <c r="V9" s="71">
        <f t="shared" si="6"/>
        <v>-1.1899999999999966E-2</v>
      </c>
    </row>
    <row r="10" spans="1:25">
      <c r="A10" s="156">
        <v>5</v>
      </c>
      <c r="B10" s="160" t="s">
        <v>27</v>
      </c>
      <c r="C10" s="155" t="s">
        <v>28</v>
      </c>
      <c r="D10" s="40">
        <v>2515524507.3499999</v>
      </c>
      <c r="E10" s="41">
        <f t="shared" si="0"/>
        <v>3.1548283447416531E-2</v>
      </c>
      <c r="F10" s="40">
        <v>1.7977000000000001</v>
      </c>
      <c r="G10" s="40">
        <v>1.821</v>
      </c>
      <c r="H10" s="42">
        <v>1043</v>
      </c>
      <c r="I10" s="64">
        <v>4.1399999999999999E-2</v>
      </c>
      <c r="J10" s="64">
        <v>0.51800000000000002</v>
      </c>
      <c r="K10" s="40">
        <v>2640739775.5599999</v>
      </c>
      <c r="L10" s="41">
        <f t="shared" si="1"/>
        <v>3.3157769041186023E-2</v>
      </c>
      <c r="M10" s="40">
        <v>1.8188</v>
      </c>
      <c r="N10" s="40">
        <v>1.841</v>
      </c>
      <c r="O10" s="42">
        <v>1064</v>
      </c>
      <c r="P10" s="64">
        <v>1.14E-2</v>
      </c>
      <c r="Q10" s="64">
        <v>0.53449999999999998</v>
      </c>
      <c r="R10" s="69">
        <f t="shared" si="2"/>
        <v>4.9777001911187536E-2</v>
      </c>
      <c r="S10" s="69">
        <f t="shared" si="3"/>
        <v>1.0982976386600779E-2</v>
      </c>
      <c r="T10" s="69">
        <f t="shared" si="4"/>
        <v>2.0134228187919462E-2</v>
      </c>
      <c r="U10" s="70">
        <f t="shared" si="5"/>
        <v>-0.03</v>
      </c>
      <c r="V10" s="71">
        <f t="shared" si="6"/>
        <v>1.6499999999999959E-2</v>
      </c>
    </row>
    <row r="11" spans="1:25">
      <c r="A11" s="156">
        <v>6</v>
      </c>
      <c r="B11" s="160" t="s">
        <v>29</v>
      </c>
      <c r="C11" s="155" t="s">
        <v>30</v>
      </c>
      <c r="D11" s="45">
        <v>278036794.31999999</v>
      </c>
      <c r="E11" s="41">
        <f t="shared" si="0"/>
        <v>3.4869799798766055E-3</v>
      </c>
      <c r="F11" s="40">
        <v>212.85130000000001</v>
      </c>
      <c r="G11" s="40">
        <v>214.19200000000001</v>
      </c>
      <c r="H11" s="44">
        <v>112</v>
      </c>
      <c r="I11" s="65">
        <v>5.8799999999999998E-4</v>
      </c>
      <c r="J11" s="65">
        <v>0.28079999999999999</v>
      </c>
      <c r="K11" s="45">
        <v>295621167.04000002</v>
      </c>
      <c r="L11" s="41">
        <f t="shared" si="1"/>
        <v>3.7118910659493269E-3</v>
      </c>
      <c r="M11" s="40">
        <v>212.29230000000001</v>
      </c>
      <c r="N11" s="40">
        <v>213.5437</v>
      </c>
      <c r="O11" s="44">
        <v>114</v>
      </c>
      <c r="P11" s="65">
        <v>-3.88E-4</v>
      </c>
      <c r="Q11" s="65">
        <v>0.2802</v>
      </c>
      <c r="R11" s="69">
        <f t="shared" si="2"/>
        <v>6.3244768603401835E-2</v>
      </c>
      <c r="S11" s="69">
        <f t="shared" si="3"/>
        <v>-3.0267236871592126E-3</v>
      </c>
      <c r="T11" s="69">
        <f t="shared" si="4"/>
        <v>1.7857142857142856E-2</v>
      </c>
      <c r="U11" s="70">
        <f t="shared" si="5"/>
        <v>-9.7599999999999998E-4</v>
      </c>
      <c r="V11" s="71">
        <f t="shared" si="6"/>
        <v>-5.9999999999998943E-4</v>
      </c>
    </row>
    <row r="12" spans="1:25">
      <c r="A12" s="156">
        <v>7</v>
      </c>
      <c r="B12" s="160" t="s">
        <v>31</v>
      </c>
      <c r="C12" s="155" t="s">
        <v>32</v>
      </c>
      <c r="D12" s="40">
        <v>2724266978.1799998</v>
      </c>
      <c r="E12" s="41">
        <f t="shared" si="0"/>
        <v>3.4166213273986348E-2</v>
      </c>
      <c r="F12" s="40">
        <v>439.26</v>
      </c>
      <c r="G12" s="40">
        <v>445.48</v>
      </c>
      <c r="H12" s="44">
        <v>1866</v>
      </c>
      <c r="I12" s="65">
        <v>1.15E-2</v>
      </c>
      <c r="J12" s="65">
        <v>0.52739999999999998</v>
      </c>
      <c r="K12" s="40">
        <v>2740526115.8400002</v>
      </c>
      <c r="L12" s="41">
        <f t="shared" si="1"/>
        <v>3.4410710529435388E-2</v>
      </c>
      <c r="M12" s="40">
        <v>440.62</v>
      </c>
      <c r="N12" s="40">
        <v>446.85</v>
      </c>
      <c r="O12" s="44">
        <v>1874</v>
      </c>
      <c r="P12" s="65">
        <v>3.0999999999999999E-3</v>
      </c>
      <c r="Q12" s="65">
        <v>0.53159999999999996</v>
      </c>
      <c r="R12" s="69">
        <f t="shared" si="2"/>
        <v>5.9682614773910892E-3</v>
      </c>
      <c r="S12" s="69">
        <f t="shared" si="3"/>
        <v>3.0753344706833182E-3</v>
      </c>
      <c r="T12" s="69">
        <f t="shared" si="4"/>
        <v>4.2872454448017148E-3</v>
      </c>
      <c r="U12" s="70">
        <f t="shared" si="5"/>
        <v>-8.3999999999999995E-3</v>
      </c>
      <c r="V12" s="71">
        <f t="shared" si="6"/>
        <v>4.1999999999999815E-3</v>
      </c>
    </row>
    <row r="13" spans="1:25">
      <c r="A13" s="156">
        <v>8</v>
      </c>
      <c r="B13" s="160" t="s">
        <v>33</v>
      </c>
      <c r="C13" s="155" t="s">
        <v>34</v>
      </c>
      <c r="D13" s="46">
        <v>498795733.00999999</v>
      </c>
      <c r="E13" s="41">
        <f t="shared" si="0"/>
        <v>6.2556135395948715E-3</v>
      </c>
      <c r="F13" s="40">
        <v>249.13</v>
      </c>
      <c r="G13" s="40">
        <v>259.8</v>
      </c>
      <c r="H13" s="42">
        <v>2469</v>
      </c>
      <c r="I13" s="64">
        <v>-8.0000000000000004E-4</v>
      </c>
      <c r="J13" s="64">
        <v>0.14480000000000001</v>
      </c>
      <c r="K13" s="46">
        <v>498695301.75999999</v>
      </c>
      <c r="L13" s="41">
        <f t="shared" si="1"/>
        <v>6.2617391500364994E-3</v>
      </c>
      <c r="M13" s="40">
        <v>249.58</v>
      </c>
      <c r="N13" s="40">
        <v>260.32</v>
      </c>
      <c r="O13" s="42">
        <v>2469</v>
      </c>
      <c r="P13" s="64">
        <v>-8.0000000000000004E-4</v>
      </c>
      <c r="Q13" s="64">
        <v>0.14480000000000001</v>
      </c>
      <c r="R13" s="69">
        <f t="shared" si="2"/>
        <v>-2.0134745218036284E-4</v>
      </c>
      <c r="S13" s="69">
        <f t="shared" si="3"/>
        <v>2.0015396458813771E-3</v>
      </c>
      <c r="T13" s="69">
        <f t="shared" si="4"/>
        <v>0</v>
      </c>
      <c r="U13" s="70">
        <f t="shared" si="5"/>
        <v>0</v>
      </c>
      <c r="V13" s="71">
        <f t="shared" si="6"/>
        <v>0</v>
      </c>
    </row>
    <row r="14" spans="1:25">
      <c r="A14" s="156">
        <v>9</v>
      </c>
      <c r="B14" s="160" t="s">
        <v>35</v>
      </c>
      <c r="C14" s="155" t="s">
        <v>36</v>
      </c>
      <c r="D14" s="45">
        <v>88465949.217500001</v>
      </c>
      <c r="E14" s="41">
        <f t="shared" si="0"/>
        <v>1.1094898233762766E-3</v>
      </c>
      <c r="F14" s="40">
        <v>314.65530000000001</v>
      </c>
      <c r="G14" s="40">
        <v>322.83479999999997</v>
      </c>
      <c r="H14" s="42">
        <v>29</v>
      </c>
      <c r="I14" s="64">
        <v>3.0000000000000001E-3</v>
      </c>
      <c r="J14" s="64">
        <v>0.4199</v>
      </c>
      <c r="K14" s="45">
        <v>88166558.6875</v>
      </c>
      <c r="L14" s="41">
        <f t="shared" si="1"/>
        <v>1.1070406926015099E-3</v>
      </c>
      <c r="M14" s="40">
        <v>313.6019</v>
      </c>
      <c r="N14" s="40">
        <v>321.73239999999998</v>
      </c>
      <c r="O14" s="42">
        <v>29</v>
      </c>
      <c r="P14" s="64">
        <v>-3.3999999999999998E-3</v>
      </c>
      <c r="Q14" s="64">
        <v>0.41510000000000002</v>
      </c>
      <c r="R14" s="69">
        <f t="shared" si="2"/>
        <v>-3.3842459460184811E-3</v>
      </c>
      <c r="S14" s="69">
        <f t="shared" si="3"/>
        <v>-3.4147495870952846E-3</v>
      </c>
      <c r="T14" s="69">
        <f t="shared" si="4"/>
        <v>0</v>
      </c>
      <c r="U14" s="70">
        <f t="shared" si="5"/>
        <v>-6.3999999999999994E-3</v>
      </c>
      <c r="V14" s="71">
        <f t="shared" si="6"/>
        <v>-4.799999999999971E-3</v>
      </c>
    </row>
    <row r="15" spans="1:25" ht="14.25" customHeight="1">
      <c r="A15" s="156">
        <v>10</v>
      </c>
      <c r="B15" s="160" t="s">
        <v>37</v>
      </c>
      <c r="C15" s="155" t="s">
        <v>38</v>
      </c>
      <c r="D15" s="46">
        <v>3033775444.8400002</v>
      </c>
      <c r="E15" s="41">
        <f t="shared" si="0"/>
        <v>3.8047893141161013E-2</v>
      </c>
      <c r="F15" s="40">
        <v>3.9574009999999999</v>
      </c>
      <c r="G15" s="40">
        <v>3.9921530000000001</v>
      </c>
      <c r="H15" s="42">
        <v>3070</v>
      </c>
      <c r="I15" s="64">
        <v>2.3699999999999999E-2</v>
      </c>
      <c r="J15" s="64">
        <v>0.88929999999999998</v>
      </c>
      <c r="K15" s="46">
        <v>3189135944.5799999</v>
      </c>
      <c r="L15" s="41">
        <f t="shared" si="1"/>
        <v>4.0043564333749573E-2</v>
      </c>
      <c r="M15" s="40">
        <v>3.9822000000000002</v>
      </c>
      <c r="N15" s="40">
        <v>4.0171999999999999</v>
      </c>
      <c r="O15" s="42">
        <v>3130</v>
      </c>
      <c r="P15" s="64">
        <v>6.3E-3</v>
      </c>
      <c r="Q15" s="64">
        <v>0.90110000000000001</v>
      </c>
      <c r="R15" s="69">
        <f t="shared" si="2"/>
        <v>5.1210283214680512E-2</v>
      </c>
      <c r="S15" s="69">
        <f t="shared" si="3"/>
        <v>6.274058133543434E-3</v>
      </c>
      <c r="T15" s="69">
        <f t="shared" si="4"/>
        <v>1.9543973941368076E-2</v>
      </c>
      <c r="U15" s="70">
        <f t="shared" si="5"/>
        <v>-1.7399999999999999E-2</v>
      </c>
      <c r="V15" s="71">
        <f t="shared" si="6"/>
        <v>1.1800000000000033E-2</v>
      </c>
    </row>
    <row r="16" spans="1:25" ht="14.25" customHeight="1">
      <c r="A16" s="162">
        <v>11</v>
      </c>
      <c r="B16" s="160" t="s">
        <v>39</v>
      </c>
      <c r="C16" s="155" t="s">
        <v>40</v>
      </c>
      <c r="D16" s="46">
        <v>113357101.62</v>
      </c>
      <c r="E16" s="41">
        <f t="shared" si="0"/>
        <v>1.4216605571665689E-3</v>
      </c>
      <c r="F16" s="40">
        <v>26.64</v>
      </c>
      <c r="G16" s="40">
        <v>27.14</v>
      </c>
      <c r="H16" s="42">
        <v>78</v>
      </c>
      <c r="I16" s="64">
        <v>-5.3E-3</v>
      </c>
      <c r="J16" s="64">
        <v>1.66</v>
      </c>
      <c r="K16" s="46">
        <v>114924437.11</v>
      </c>
      <c r="L16" s="41">
        <f t="shared" si="1"/>
        <v>1.4430191032638183E-3</v>
      </c>
      <c r="M16" s="40">
        <v>26.65</v>
      </c>
      <c r="N16" s="40">
        <v>27.15</v>
      </c>
      <c r="O16" s="42">
        <v>78</v>
      </c>
      <c r="P16" s="64">
        <v>-1.1000000000000001E-3</v>
      </c>
      <c r="Q16" s="64">
        <v>1.68</v>
      </c>
      <c r="R16" s="69">
        <f t="shared" ref="R16" si="7">((K16-D16)/D16)</f>
        <v>1.3826531091577098E-2</v>
      </c>
      <c r="S16" s="69">
        <f t="shared" ref="S16" si="8">((N16-G16)/G16)</f>
        <v>3.68459837877598E-4</v>
      </c>
      <c r="T16" s="69">
        <f t="shared" ref="T16" si="9">((O16-H16)/H16)</f>
        <v>0</v>
      </c>
      <c r="U16" s="70">
        <f t="shared" ref="U16" si="10">P16-I16</f>
        <v>4.1999999999999997E-3</v>
      </c>
      <c r="V16" s="71">
        <f t="shared" ref="V16" si="11">Q16-J16</f>
        <v>2.0000000000000018E-2</v>
      </c>
    </row>
    <row r="17" spans="1:22">
      <c r="A17" s="156">
        <v>12</v>
      </c>
      <c r="B17" s="160" t="s">
        <v>41</v>
      </c>
      <c r="C17" s="155" t="s">
        <v>42</v>
      </c>
      <c r="D17" s="47">
        <v>2645978728.1199999</v>
      </c>
      <c r="E17" s="41">
        <f t="shared" si="0"/>
        <v>3.3184366388265885E-2</v>
      </c>
      <c r="F17" s="40">
        <v>5.5</v>
      </c>
      <c r="G17" s="40">
        <v>5.62</v>
      </c>
      <c r="H17" s="42">
        <v>3702</v>
      </c>
      <c r="I17" s="64">
        <v>5.2400000000000002E-2</v>
      </c>
      <c r="J17" s="64">
        <v>0.51270000000000004</v>
      </c>
      <c r="K17" s="47">
        <v>2637687304.5799999</v>
      </c>
      <c r="L17" s="41">
        <f t="shared" si="1"/>
        <v>3.3119441475290855E-2</v>
      </c>
      <c r="M17" s="40">
        <v>5.48</v>
      </c>
      <c r="N17" s="40">
        <v>5.6</v>
      </c>
      <c r="O17" s="42">
        <v>3709</v>
      </c>
      <c r="P17" s="64">
        <v>5.2400000000000002E-2</v>
      </c>
      <c r="Q17" s="64">
        <v>0.51270000000000004</v>
      </c>
      <c r="R17" s="69">
        <f t="shared" si="2"/>
        <v>-3.1335941789264192E-3</v>
      </c>
      <c r="S17" s="69">
        <f t="shared" si="3"/>
        <v>-3.5587188612100466E-3</v>
      </c>
      <c r="T17" s="69">
        <f t="shared" si="4"/>
        <v>1.8908698001080498E-3</v>
      </c>
      <c r="U17" s="70">
        <f t="shared" si="5"/>
        <v>0</v>
      </c>
      <c r="V17" s="71">
        <f t="shared" si="6"/>
        <v>0</v>
      </c>
    </row>
    <row r="18" spans="1:22">
      <c r="A18" s="156">
        <v>13</v>
      </c>
      <c r="B18" s="160" t="s">
        <v>43</v>
      </c>
      <c r="C18" s="155" t="s">
        <v>44</v>
      </c>
      <c r="D18" s="40">
        <v>4029196092</v>
      </c>
      <c r="E18" s="41">
        <f t="shared" si="0"/>
        <v>5.0531895039873216E-2</v>
      </c>
      <c r="F18" s="40">
        <v>33.696475999999997</v>
      </c>
      <c r="G18" s="40">
        <v>33.817030000000003</v>
      </c>
      <c r="H18" s="42">
        <v>979</v>
      </c>
      <c r="I18" s="64">
        <v>2.6200000000000001E-2</v>
      </c>
      <c r="J18" s="64">
        <v>0.43240000000000001</v>
      </c>
      <c r="K18" s="40">
        <v>3516776118.7600002</v>
      </c>
      <c r="L18" s="41">
        <f t="shared" si="1"/>
        <v>4.4157493818441265E-2</v>
      </c>
      <c r="M18" s="40">
        <v>33.75</v>
      </c>
      <c r="N18" s="40">
        <v>33.89</v>
      </c>
      <c r="O18" s="42">
        <v>972</v>
      </c>
      <c r="P18" s="64">
        <v>1.5E-3</v>
      </c>
      <c r="Q18" s="64">
        <v>0.43240000000000001</v>
      </c>
      <c r="R18" s="69">
        <f t="shared" si="2"/>
        <v>-0.1271767274512684</v>
      </c>
      <c r="S18" s="69">
        <f t="shared" si="3"/>
        <v>2.1577885461851018E-3</v>
      </c>
      <c r="T18" s="69">
        <f t="shared" si="4"/>
        <v>-7.1501532175689483E-3</v>
      </c>
      <c r="U18" s="70">
        <f t="shared" si="5"/>
        <v>-2.47E-2</v>
      </c>
      <c r="V18" s="71">
        <f t="shared" si="6"/>
        <v>0</v>
      </c>
    </row>
    <row r="19" spans="1:22">
      <c r="A19" s="156">
        <v>14</v>
      </c>
      <c r="B19" s="160" t="s">
        <v>45</v>
      </c>
      <c r="C19" s="155" t="s">
        <v>46</v>
      </c>
      <c r="D19" s="40">
        <v>181559256.72999999</v>
      </c>
      <c r="E19" s="41">
        <f t="shared" si="0"/>
        <v>2.2770133533123048E-3</v>
      </c>
      <c r="F19" s="40">
        <v>1.95</v>
      </c>
      <c r="G19" s="40">
        <v>2.0299999999999998</v>
      </c>
      <c r="H19" s="42">
        <v>26</v>
      </c>
      <c r="I19" s="64">
        <v>-1.44E-2</v>
      </c>
      <c r="J19" s="64">
        <v>0.39989999999999998</v>
      </c>
      <c r="K19" s="40">
        <v>191545922.72999999</v>
      </c>
      <c r="L19" s="41">
        <f t="shared" si="1"/>
        <v>2.4050970585753188E-3</v>
      </c>
      <c r="M19" s="40">
        <v>2.0582729999999998</v>
      </c>
      <c r="N19" s="40">
        <v>2.1341000000000001</v>
      </c>
      <c r="O19" s="42">
        <v>26</v>
      </c>
      <c r="P19" s="64">
        <v>8.7999999999999995E-2</v>
      </c>
      <c r="Q19" s="64">
        <v>0.48070000000000002</v>
      </c>
      <c r="R19" s="69">
        <f t="shared" si="2"/>
        <v>5.5004994952426743E-2</v>
      </c>
      <c r="S19" s="69">
        <f t="shared" si="3"/>
        <v>5.1280788177340053E-2</v>
      </c>
      <c r="T19" s="69">
        <f t="shared" si="4"/>
        <v>0</v>
      </c>
      <c r="U19" s="70">
        <f t="shared" si="5"/>
        <v>0.10239999999999999</v>
      </c>
      <c r="V19" s="71">
        <f t="shared" si="6"/>
        <v>8.0800000000000038E-2</v>
      </c>
    </row>
    <row r="20" spans="1:22">
      <c r="A20" s="156">
        <v>15</v>
      </c>
      <c r="B20" s="160" t="s">
        <v>47</v>
      </c>
      <c r="C20" s="155" t="s">
        <v>48</v>
      </c>
      <c r="D20" s="148">
        <v>7827052087.2799997</v>
      </c>
      <c r="E20" s="41">
        <f t="shared" si="0"/>
        <v>9.8162453629733526E-2</v>
      </c>
      <c r="F20" s="40">
        <v>50.03</v>
      </c>
      <c r="G20" s="40">
        <v>50.5</v>
      </c>
      <c r="H20" s="42">
        <v>8944</v>
      </c>
      <c r="I20" s="64">
        <v>7.1000000000000004E-3</v>
      </c>
      <c r="J20" s="64">
        <v>0.64290000000000003</v>
      </c>
      <c r="K20" s="148">
        <v>7446879966.2600002</v>
      </c>
      <c r="L20" s="41">
        <f t="shared" si="1"/>
        <v>9.3504830837154926E-2</v>
      </c>
      <c r="M20" s="40">
        <v>50.04</v>
      </c>
      <c r="N20" s="40">
        <v>50.32</v>
      </c>
      <c r="O20" s="42">
        <v>8944</v>
      </c>
      <c r="P20" s="64">
        <v>1.4E-3</v>
      </c>
      <c r="Q20" s="64">
        <v>0.64429999999999998</v>
      </c>
      <c r="R20" s="69">
        <f t="shared" si="2"/>
        <v>-4.8571558842419066E-2</v>
      </c>
      <c r="S20" s="69">
        <f t="shared" si="3"/>
        <v>-3.5643564356435588E-3</v>
      </c>
      <c r="T20" s="69">
        <f t="shared" si="4"/>
        <v>0</v>
      </c>
      <c r="U20" s="70">
        <f t="shared" si="5"/>
        <v>-5.7000000000000002E-3</v>
      </c>
      <c r="V20" s="71">
        <f t="shared" si="6"/>
        <v>1.3999999999999568E-3</v>
      </c>
    </row>
    <row r="21" spans="1:22" ht="12.75" customHeight="1">
      <c r="A21" s="156">
        <v>16</v>
      </c>
      <c r="B21" s="160" t="s">
        <v>49</v>
      </c>
      <c r="C21" s="155" t="s">
        <v>50</v>
      </c>
      <c r="D21" s="40">
        <v>1629263467.3900001</v>
      </c>
      <c r="E21" s="41">
        <f t="shared" si="0"/>
        <v>2.0433299508534165E-2</v>
      </c>
      <c r="F21" s="40">
        <v>12420.25</v>
      </c>
      <c r="G21" s="40">
        <v>12579.84</v>
      </c>
      <c r="H21" s="42">
        <v>33</v>
      </c>
      <c r="I21" s="64">
        <v>1.0500000000000001E-2</v>
      </c>
      <c r="J21" s="64">
        <v>0.55100000000000005</v>
      </c>
      <c r="K21" s="40">
        <v>1630413977.48</v>
      </c>
      <c r="L21" s="41">
        <f t="shared" si="1"/>
        <v>2.0471873301237741E-2</v>
      </c>
      <c r="M21" s="40">
        <v>12434.55</v>
      </c>
      <c r="N21" s="40">
        <v>12594.42</v>
      </c>
      <c r="O21" s="42">
        <v>33</v>
      </c>
      <c r="P21" s="64">
        <v>1.1999999999999999E-3</v>
      </c>
      <c r="Q21" s="64">
        <v>0.55279999999999996</v>
      </c>
      <c r="R21" s="69">
        <f t="shared" si="2"/>
        <v>7.0615349391156155E-4</v>
      </c>
      <c r="S21" s="69">
        <f t="shared" si="3"/>
        <v>1.1589972527472469E-3</v>
      </c>
      <c r="T21" s="69">
        <f t="shared" si="4"/>
        <v>0</v>
      </c>
      <c r="U21" s="70">
        <f t="shared" si="5"/>
        <v>-9.300000000000001E-3</v>
      </c>
      <c r="V21" s="71">
        <f t="shared" si="6"/>
        <v>1.7999999999999128E-3</v>
      </c>
    </row>
    <row r="22" spans="1:22">
      <c r="A22" s="156">
        <v>17</v>
      </c>
      <c r="B22" s="160" t="s">
        <v>51</v>
      </c>
      <c r="C22" s="155" t="s">
        <v>50</v>
      </c>
      <c r="D22" s="40">
        <v>24325269239.07</v>
      </c>
      <c r="E22" s="41">
        <f t="shared" si="0"/>
        <v>0.30507374770017565</v>
      </c>
      <c r="F22" s="40">
        <v>41791.81</v>
      </c>
      <c r="G22" s="40">
        <v>42372.13</v>
      </c>
      <c r="H22" s="42">
        <v>20094</v>
      </c>
      <c r="I22" s="64">
        <v>1.41E-2</v>
      </c>
      <c r="J22" s="64">
        <v>0.64859999999999995</v>
      </c>
      <c r="K22" s="40">
        <v>24624734059.779999</v>
      </c>
      <c r="L22" s="41">
        <f t="shared" si="1"/>
        <v>0.30919413272429069</v>
      </c>
      <c r="M22" s="40">
        <v>41850.99</v>
      </c>
      <c r="N22" s="40">
        <v>42425.9</v>
      </c>
      <c r="O22" s="42">
        <v>20197</v>
      </c>
      <c r="P22" s="64">
        <v>1.2999999999999999E-3</v>
      </c>
      <c r="Q22" s="64">
        <v>0.65069999999999995</v>
      </c>
      <c r="R22" s="69">
        <f t="shared" si="2"/>
        <v>1.2310853284575944E-2</v>
      </c>
      <c r="S22" s="69">
        <f t="shared" si="3"/>
        <v>1.2689945018106023E-3</v>
      </c>
      <c r="T22" s="69">
        <f t="shared" si="4"/>
        <v>5.1259082313128293E-3</v>
      </c>
      <c r="U22" s="70">
        <f t="shared" si="5"/>
        <v>-1.2799999999999999E-2</v>
      </c>
      <c r="V22" s="71">
        <f t="shared" si="6"/>
        <v>2.0999999999999908E-3</v>
      </c>
    </row>
    <row r="23" spans="1:22">
      <c r="A23" s="162">
        <v>18</v>
      </c>
      <c r="B23" s="155" t="s">
        <v>52</v>
      </c>
      <c r="C23" s="155" t="s">
        <v>53</v>
      </c>
      <c r="D23" s="40">
        <v>6393605700.2700005</v>
      </c>
      <c r="E23" s="41">
        <f t="shared" si="0"/>
        <v>8.0184981022357937E-2</v>
      </c>
      <c r="F23" s="40">
        <v>1.9063000000000001</v>
      </c>
      <c r="G23" s="48">
        <v>1.9261999999999999</v>
      </c>
      <c r="H23" s="42">
        <v>6697</v>
      </c>
      <c r="I23" s="64">
        <v>3.8E-3</v>
      </c>
      <c r="J23" s="64">
        <v>0.4632</v>
      </c>
      <c r="K23" s="40">
        <v>6410365662.3599997</v>
      </c>
      <c r="L23" s="41">
        <f t="shared" si="1"/>
        <v>8.0490105867022765E-2</v>
      </c>
      <c r="M23" s="40">
        <v>1.9103000000000001</v>
      </c>
      <c r="N23" s="48">
        <v>1.9300999999999999</v>
      </c>
      <c r="O23" s="42">
        <v>6462</v>
      </c>
      <c r="P23" s="64">
        <v>2E-3</v>
      </c>
      <c r="Q23" s="64">
        <v>0.46579999999999999</v>
      </c>
      <c r="R23" s="69">
        <f t="shared" ref="R23:R24" si="12">((K23-D23)/D23)</f>
        <v>2.6213631049051759E-3</v>
      </c>
      <c r="S23" s="69">
        <f t="shared" ref="S23:S24" si="13">((N23-G23)/G23)</f>
        <v>2.0247118679264952E-3</v>
      </c>
      <c r="T23" s="69">
        <f t="shared" ref="T23:T24" si="14">((O23-H23)/H23)</f>
        <v>-3.5090338957742273E-2</v>
      </c>
      <c r="U23" s="70">
        <f t="shared" ref="U23:U24" si="15">P23-I23</f>
        <v>-1.8E-3</v>
      </c>
      <c r="V23" s="71">
        <f t="shared" ref="V23:V24" si="16">Q23-J23</f>
        <v>2.5999999999999912E-3</v>
      </c>
    </row>
    <row r="24" spans="1:22">
      <c r="A24" s="162">
        <v>19</v>
      </c>
      <c r="B24" s="160" t="s">
        <v>330</v>
      </c>
      <c r="C24" s="155" t="s">
        <v>126</v>
      </c>
      <c r="D24" s="40">
        <v>68702453.939999998</v>
      </c>
      <c r="E24" s="41">
        <f t="shared" si="0"/>
        <v>8.6162726067634727E-4</v>
      </c>
      <c r="F24" s="40">
        <v>1.01</v>
      </c>
      <c r="G24" s="48">
        <v>1.03</v>
      </c>
      <c r="H24" s="42">
        <v>48</v>
      </c>
      <c r="I24" s="64">
        <v>1.55E-2</v>
      </c>
      <c r="J24" s="64">
        <v>1.46E-2</v>
      </c>
      <c r="K24" s="40">
        <v>95389505.430000007</v>
      </c>
      <c r="L24" s="41">
        <f t="shared" si="1"/>
        <v>1.1977337635739476E-3</v>
      </c>
      <c r="M24" s="40">
        <v>1.01</v>
      </c>
      <c r="N24" s="48">
        <v>1.02</v>
      </c>
      <c r="O24" s="42">
        <v>63</v>
      </c>
      <c r="P24" s="64">
        <v>-8.3000000000000001E-3</v>
      </c>
      <c r="Q24" s="64">
        <v>6.0000000000000001E-3</v>
      </c>
      <c r="R24" s="69">
        <f t="shared" si="12"/>
        <v>0.38844393408868111</v>
      </c>
      <c r="S24" s="69">
        <f t="shared" si="13"/>
        <v>-9.7087378640776777E-3</v>
      </c>
      <c r="T24" s="69">
        <f t="shared" si="14"/>
        <v>0.3125</v>
      </c>
      <c r="U24" s="70">
        <f t="shared" si="15"/>
        <v>-2.3800000000000002E-2</v>
      </c>
      <c r="V24" s="71">
        <f t="shared" si="16"/>
        <v>-8.6E-3</v>
      </c>
    </row>
    <row r="25" spans="1:22">
      <c r="A25" s="156">
        <v>20</v>
      </c>
      <c r="B25" s="155" t="s">
        <v>54</v>
      </c>
      <c r="C25" s="155" t="s">
        <v>55</v>
      </c>
      <c r="D25" s="40">
        <v>9704993273.2299995</v>
      </c>
      <c r="E25" s="41">
        <f>(D25/$D$26)</f>
        <v>0.12171452822046813</v>
      </c>
      <c r="F25" s="40">
        <v>212.9</v>
      </c>
      <c r="G25" s="48">
        <v>216.53</v>
      </c>
      <c r="H25" s="42">
        <v>77</v>
      </c>
      <c r="I25" s="64">
        <v>8.9999999999999998E-4</v>
      </c>
      <c r="J25" s="64">
        <v>0.74939999999999996</v>
      </c>
      <c r="K25" s="40">
        <v>9606127026.0599995</v>
      </c>
      <c r="L25" s="41">
        <f t="shared" si="1"/>
        <v>0.1206168605700072</v>
      </c>
      <c r="M25" s="40">
        <v>211.82</v>
      </c>
      <c r="N25" s="48">
        <v>215.45</v>
      </c>
      <c r="O25" s="42">
        <v>77</v>
      </c>
      <c r="P25" s="64">
        <v>-5.0000000000000001E-3</v>
      </c>
      <c r="Q25" s="64">
        <v>0.74070000000000003</v>
      </c>
      <c r="R25" s="69">
        <f t="shared" si="2"/>
        <v>-1.0187152570492774E-2</v>
      </c>
      <c r="S25" s="69">
        <f t="shared" si="3"/>
        <v>-4.9877615111070641E-3</v>
      </c>
      <c r="T25" s="69">
        <f t="shared" si="4"/>
        <v>0</v>
      </c>
      <c r="U25" s="70">
        <f t="shared" si="5"/>
        <v>-5.8999999999999999E-3</v>
      </c>
      <c r="V25" s="71">
        <f t="shared" si="6"/>
        <v>-8.69999999999993E-3</v>
      </c>
    </row>
    <row r="26" spans="1:22">
      <c r="A26" s="49"/>
      <c r="B26" s="50"/>
      <c r="C26" s="51" t="s">
        <v>56</v>
      </c>
      <c r="D26" s="52">
        <f>SUM(D6:D25)</f>
        <v>79735701358.92749</v>
      </c>
      <c r="E26" s="53">
        <f>(D26/$D$231)</f>
        <v>1.0487144557180698E-2</v>
      </c>
      <c r="F26" s="54"/>
      <c r="G26" s="55"/>
      <c r="H26" s="56">
        <f>SUM(H6:H25)</f>
        <v>62309</v>
      </c>
      <c r="I26" s="66"/>
      <c r="J26" s="42">
        <v>0</v>
      </c>
      <c r="K26" s="52">
        <f>SUM(K6:K25)</f>
        <v>79641660217.847488</v>
      </c>
      <c r="L26" s="53">
        <f>(K26/$K$231)</f>
        <v>1.0380232602216289E-2</v>
      </c>
      <c r="M26" s="54"/>
      <c r="N26" s="55"/>
      <c r="O26" s="56">
        <f>SUM(O6:O25)</f>
        <v>62285</v>
      </c>
      <c r="P26" s="66"/>
      <c r="Q26" s="56"/>
      <c r="R26" s="69">
        <f t="shared" si="2"/>
        <v>-1.1794107216374619E-3</v>
      </c>
      <c r="S26" s="69" t="e">
        <f t="shared" si="3"/>
        <v>#DIV/0!</v>
      </c>
      <c r="T26" s="69">
        <f t="shared" si="4"/>
        <v>-3.8517710122133237E-4</v>
      </c>
      <c r="U26" s="70">
        <f t="shared" si="5"/>
        <v>0</v>
      </c>
      <c r="V26" s="71">
        <f t="shared" si="6"/>
        <v>0</v>
      </c>
    </row>
    <row r="27" spans="1:22" ht="4.5" customHeight="1">
      <c r="A27" s="49"/>
      <c r="B27" s="187"/>
      <c r="C27" s="187"/>
      <c r="D27" s="187"/>
      <c r="E27" s="187"/>
      <c r="F27" s="187"/>
      <c r="G27" s="187"/>
      <c r="H27" s="187"/>
      <c r="I27" s="187"/>
      <c r="J27" s="187"/>
      <c r="K27" s="187"/>
      <c r="L27" s="187"/>
      <c r="M27" s="187"/>
      <c r="N27" s="187"/>
      <c r="O27" s="187"/>
      <c r="P27" s="187"/>
      <c r="Q27" s="187"/>
      <c r="R27" s="187"/>
      <c r="S27" s="187"/>
      <c r="T27" s="187"/>
      <c r="U27" s="187"/>
      <c r="V27" s="187"/>
    </row>
    <row r="28" spans="1:22" ht="15" customHeight="1">
      <c r="A28" s="191" t="s">
        <v>57</v>
      </c>
      <c r="B28" s="191"/>
      <c r="C28" s="191"/>
      <c r="D28" s="191"/>
      <c r="E28" s="191"/>
      <c r="F28" s="191"/>
      <c r="G28" s="191"/>
      <c r="H28" s="191"/>
      <c r="I28" s="191"/>
      <c r="J28" s="191"/>
      <c r="K28" s="191"/>
      <c r="L28" s="191"/>
      <c r="M28" s="191"/>
      <c r="N28" s="191"/>
      <c r="O28" s="191"/>
      <c r="P28" s="191"/>
      <c r="Q28" s="191"/>
      <c r="R28" s="191"/>
      <c r="S28" s="191"/>
      <c r="T28" s="191"/>
      <c r="U28" s="191"/>
      <c r="V28" s="191"/>
    </row>
    <row r="29" spans="1:22">
      <c r="A29" s="159">
        <v>21</v>
      </c>
      <c r="B29" s="160" t="s">
        <v>58</v>
      </c>
      <c r="C29" s="155" t="s">
        <v>20</v>
      </c>
      <c r="D29" s="58">
        <v>5654084456.0799999</v>
      </c>
      <c r="E29" s="41">
        <f t="shared" ref="E29:E34" si="17">(D29/$K$72)</f>
        <v>1.1915960205201475E-3</v>
      </c>
      <c r="F29" s="48">
        <v>100</v>
      </c>
      <c r="G29" s="48">
        <v>100</v>
      </c>
      <c r="H29" s="42">
        <v>879</v>
      </c>
      <c r="I29" s="64">
        <v>0.15079999999999999</v>
      </c>
      <c r="J29" s="64">
        <v>0.15079999999999999</v>
      </c>
      <c r="K29" s="58">
        <v>5544693543.7200003</v>
      </c>
      <c r="L29" s="41">
        <f t="shared" ref="L29:L34" si="18">(K29/$K$72)</f>
        <v>1.168541929824867E-3</v>
      </c>
      <c r="M29" s="48">
        <v>100</v>
      </c>
      <c r="N29" s="48">
        <v>100</v>
      </c>
      <c r="O29" s="42">
        <v>879</v>
      </c>
      <c r="P29" s="64">
        <v>0.1578</v>
      </c>
      <c r="Q29" s="64">
        <v>0.1578</v>
      </c>
      <c r="R29" s="69">
        <f>((K29-D29)/D29)</f>
        <v>-1.9347237065475465E-2</v>
      </c>
      <c r="S29" s="69">
        <f>((N29-G29)/G29)</f>
        <v>0</v>
      </c>
      <c r="T29" s="69">
        <f>((O29-H29)/H29)</f>
        <v>0</v>
      </c>
      <c r="U29" s="69">
        <f>P29-I29</f>
        <v>7.0000000000000062E-3</v>
      </c>
      <c r="V29" s="116">
        <f>Q29-J29</f>
        <v>7.0000000000000062E-3</v>
      </c>
    </row>
    <row r="30" spans="1:22">
      <c r="A30" s="159">
        <v>22</v>
      </c>
      <c r="B30" s="160" t="s">
        <v>59</v>
      </c>
      <c r="C30" s="155" t="s">
        <v>60</v>
      </c>
      <c r="D30" s="58">
        <v>32040051143.84</v>
      </c>
      <c r="E30" s="41">
        <f t="shared" si="17"/>
        <v>6.7524278664085006E-3</v>
      </c>
      <c r="F30" s="48">
        <v>100</v>
      </c>
      <c r="G30" s="48">
        <v>100</v>
      </c>
      <c r="H30" s="42">
        <v>3835</v>
      </c>
      <c r="I30" s="64">
        <v>0.18593499999999999</v>
      </c>
      <c r="J30" s="64">
        <v>0.18593499999999999</v>
      </c>
      <c r="K30" s="58">
        <v>32558616842.720001</v>
      </c>
      <c r="L30" s="41">
        <f t="shared" si="18"/>
        <v>6.8617153784652392E-3</v>
      </c>
      <c r="M30" s="48">
        <v>100</v>
      </c>
      <c r="N30" s="48">
        <v>100</v>
      </c>
      <c r="O30" s="42">
        <v>3884</v>
      </c>
      <c r="P30" s="64">
        <v>0.186441</v>
      </c>
      <c r="Q30" s="64">
        <v>0.186441</v>
      </c>
      <c r="R30" s="69">
        <f t="shared" ref="R30:R72" si="19">((K30-D30)/D30)</f>
        <v>1.6184921071191866E-2</v>
      </c>
      <c r="S30" s="69">
        <f t="shared" ref="S30:S72" si="20">((N30-G30)/G30)</f>
        <v>0</v>
      </c>
      <c r="T30" s="69">
        <f t="shared" ref="T30:T72" si="21">((O30-H30)/H30)</f>
        <v>1.2777053455019557E-2</v>
      </c>
      <c r="U30" s="70">
        <f t="shared" ref="U30:U72" si="22">P30-I30</f>
        <v>5.0600000000000644E-4</v>
      </c>
      <c r="V30" s="71">
        <f t="shared" ref="V30:V72" si="23">Q30-J30</f>
        <v>5.0600000000000644E-4</v>
      </c>
    </row>
    <row r="31" spans="1:22">
      <c r="A31" s="159">
        <v>23</v>
      </c>
      <c r="B31" s="160" t="s">
        <v>61</v>
      </c>
      <c r="C31" s="155" t="s">
        <v>22</v>
      </c>
      <c r="D31" s="58">
        <v>2851489852.75</v>
      </c>
      <c r="E31" s="41">
        <f t="shared" si="17"/>
        <v>6.0095033731530194E-4</v>
      </c>
      <c r="F31" s="48">
        <v>100</v>
      </c>
      <c r="G31" s="48">
        <v>100</v>
      </c>
      <c r="H31" s="42">
        <v>2304</v>
      </c>
      <c r="I31" s="64">
        <v>0.17560000000000001</v>
      </c>
      <c r="J31" s="64">
        <v>0.17560000000000001</v>
      </c>
      <c r="K31" s="58">
        <v>2870031041.29</v>
      </c>
      <c r="L31" s="41">
        <f t="shared" si="18"/>
        <v>6.0485788532799916E-4</v>
      </c>
      <c r="M31" s="48">
        <v>100</v>
      </c>
      <c r="N31" s="48">
        <v>100</v>
      </c>
      <c r="O31" s="42">
        <v>2311</v>
      </c>
      <c r="P31" s="64">
        <v>0.18379999999999999</v>
      </c>
      <c r="Q31" s="64">
        <v>0.18379999999999999</v>
      </c>
      <c r="R31" s="69">
        <f t="shared" si="19"/>
        <v>6.5022810872424073E-3</v>
      </c>
      <c r="S31" s="69">
        <f t="shared" si="20"/>
        <v>0</v>
      </c>
      <c r="T31" s="69">
        <f t="shared" si="21"/>
        <v>3.0381944444444445E-3</v>
      </c>
      <c r="U31" s="70">
        <f t="shared" si="22"/>
        <v>8.1999999999999851E-3</v>
      </c>
      <c r="V31" s="71">
        <f t="shared" si="23"/>
        <v>8.1999999999999851E-3</v>
      </c>
    </row>
    <row r="32" spans="1:22">
      <c r="A32" s="159">
        <v>24</v>
      </c>
      <c r="B32" s="160" t="s">
        <v>62</v>
      </c>
      <c r="C32" s="155" t="s">
        <v>24</v>
      </c>
      <c r="D32" s="58">
        <v>325316704736.03003</v>
      </c>
      <c r="E32" s="41">
        <f t="shared" si="17"/>
        <v>6.8560364420332309E-2</v>
      </c>
      <c r="F32" s="48">
        <v>1</v>
      </c>
      <c r="G32" s="48">
        <v>1</v>
      </c>
      <c r="H32" s="42">
        <v>77975</v>
      </c>
      <c r="I32" s="64">
        <v>0.1804</v>
      </c>
      <c r="J32" s="64">
        <v>0.1804</v>
      </c>
      <c r="K32" s="58">
        <v>337737351357.10999</v>
      </c>
      <c r="L32" s="41">
        <f t="shared" si="18"/>
        <v>7.117801069019844E-2</v>
      </c>
      <c r="M32" s="48">
        <v>1</v>
      </c>
      <c r="N32" s="48">
        <v>1</v>
      </c>
      <c r="O32" s="42">
        <v>77975</v>
      </c>
      <c r="P32" s="64">
        <v>0.18029999999999999</v>
      </c>
      <c r="Q32" s="64">
        <v>0.18029999999999999</v>
      </c>
      <c r="R32" s="69">
        <f t="shared" si="19"/>
        <v>3.8180168556540536E-2</v>
      </c>
      <c r="S32" s="69">
        <f t="shared" si="20"/>
        <v>0</v>
      </c>
      <c r="T32" s="69">
        <f t="shared" si="21"/>
        <v>0</v>
      </c>
      <c r="U32" s="70">
        <f t="shared" si="22"/>
        <v>-1.0000000000001674E-4</v>
      </c>
      <c r="V32" s="71">
        <f t="shared" si="23"/>
        <v>-1.0000000000001674E-4</v>
      </c>
    </row>
    <row r="33" spans="1:22">
      <c r="A33" s="159">
        <v>25</v>
      </c>
      <c r="B33" s="160" t="s">
        <v>63</v>
      </c>
      <c r="C33" s="155" t="s">
        <v>64</v>
      </c>
      <c r="D33" s="58">
        <v>1703433477.8199999</v>
      </c>
      <c r="E33" s="41">
        <f t="shared" si="17"/>
        <v>3.5899791896606699E-4</v>
      </c>
      <c r="F33" s="48">
        <v>1</v>
      </c>
      <c r="G33" s="48">
        <v>1</v>
      </c>
      <c r="H33" s="42">
        <v>300</v>
      </c>
      <c r="I33" s="64">
        <v>0.16220000000000001</v>
      </c>
      <c r="J33" s="64">
        <v>0.16220000000000001</v>
      </c>
      <c r="K33" s="58">
        <v>1703433477.8199999</v>
      </c>
      <c r="L33" s="41">
        <f t="shared" si="18"/>
        <v>3.5899791896606699E-4</v>
      </c>
      <c r="M33" s="48">
        <v>1</v>
      </c>
      <c r="N33" s="48">
        <v>1</v>
      </c>
      <c r="O33" s="42">
        <v>300</v>
      </c>
      <c r="P33" s="64">
        <v>0.16439999999999999</v>
      </c>
      <c r="Q33" s="64">
        <v>0.16439999999999999</v>
      </c>
      <c r="R33" s="69">
        <f t="shared" si="19"/>
        <v>0</v>
      </c>
      <c r="S33" s="69">
        <f t="shared" si="20"/>
        <v>0</v>
      </c>
      <c r="T33" s="69">
        <f t="shared" si="21"/>
        <v>0</v>
      </c>
      <c r="U33" s="70">
        <f t="shared" si="22"/>
        <v>2.1999999999999797E-3</v>
      </c>
      <c r="V33" s="71">
        <f t="shared" si="23"/>
        <v>2.1999999999999797E-3</v>
      </c>
    </row>
    <row r="34" spans="1:22">
      <c r="A34" s="159">
        <v>26</v>
      </c>
      <c r="B34" s="160" t="s">
        <v>65</v>
      </c>
      <c r="C34" s="155" t="s">
        <v>26</v>
      </c>
      <c r="D34" s="58">
        <v>159762139086.59</v>
      </c>
      <c r="E34" s="41">
        <f t="shared" si="17"/>
        <v>3.3669806428281157E-2</v>
      </c>
      <c r="F34" s="48">
        <v>1</v>
      </c>
      <c r="G34" s="48">
        <v>1</v>
      </c>
      <c r="H34" s="42">
        <v>37380</v>
      </c>
      <c r="I34" s="64">
        <v>0.161</v>
      </c>
      <c r="J34" s="64">
        <v>0.161</v>
      </c>
      <c r="K34" s="58">
        <v>162951607033.57999</v>
      </c>
      <c r="L34" s="41">
        <f t="shared" si="18"/>
        <v>3.43419855127522E-2</v>
      </c>
      <c r="M34" s="48">
        <v>1</v>
      </c>
      <c r="N34" s="48">
        <v>1</v>
      </c>
      <c r="O34" s="42">
        <v>37416</v>
      </c>
      <c r="P34" s="64">
        <v>0.15479999999999999</v>
      </c>
      <c r="Q34" s="64">
        <v>0.15479999999999999</v>
      </c>
      <c r="R34" s="69">
        <f t="shared" si="19"/>
        <v>1.9963853546435806E-2</v>
      </c>
      <c r="S34" s="69">
        <f t="shared" si="20"/>
        <v>0</v>
      </c>
      <c r="T34" s="69">
        <f t="shared" si="21"/>
        <v>9.6308186195826644E-4</v>
      </c>
      <c r="U34" s="70">
        <f t="shared" si="22"/>
        <v>-6.2000000000000111E-3</v>
      </c>
      <c r="V34" s="71">
        <f t="shared" si="23"/>
        <v>-6.2000000000000111E-3</v>
      </c>
    </row>
    <row r="35" spans="1:22">
      <c r="A35" s="159">
        <v>27</v>
      </c>
      <c r="B35" s="160" t="s">
        <v>66</v>
      </c>
      <c r="C35" s="155" t="s">
        <v>28</v>
      </c>
      <c r="D35" s="40">
        <v>14858100861.360001</v>
      </c>
      <c r="E35" s="41">
        <f t="shared" ref="E35" si="24">(D35/$D$26)</f>
        <v>0.1863418846029431</v>
      </c>
      <c r="F35" s="40">
        <v>1</v>
      </c>
      <c r="G35" s="40">
        <v>1</v>
      </c>
      <c r="H35" s="42">
        <v>1376</v>
      </c>
      <c r="I35" s="64">
        <v>0.18759999999999999</v>
      </c>
      <c r="J35" s="64">
        <v>0.18759999999999999</v>
      </c>
      <c r="K35" s="40">
        <v>15590315073.360001</v>
      </c>
      <c r="L35" s="41">
        <f t="shared" ref="L35" si="25">(K35/$K$26)</f>
        <v>0.19575577694783228</v>
      </c>
      <c r="M35" s="40">
        <v>1</v>
      </c>
      <c r="N35" s="40">
        <v>1</v>
      </c>
      <c r="O35" s="42">
        <v>1397</v>
      </c>
      <c r="P35" s="64">
        <v>0.17660000000000001</v>
      </c>
      <c r="Q35" s="64">
        <v>0.17660000000000001</v>
      </c>
      <c r="R35" s="69">
        <f t="shared" si="19"/>
        <v>4.9280471227934476E-2</v>
      </c>
      <c r="S35" s="69">
        <f t="shared" si="20"/>
        <v>0</v>
      </c>
      <c r="T35" s="69">
        <f t="shared" si="21"/>
        <v>1.5261627906976744E-2</v>
      </c>
      <c r="U35" s="70">
        <f t="shared" si="22"/>
        <v>-1.0999999999999982E-2</v>
      </c>
      <c r="V35" s="71">
        <f t="shared" si="23"/>
        <v>-1.0999999999999982E-2</v>
      </c>
    </row>
    <row r="36" spans="1:22" ht="15" customHeight="1">
      <c r="A36" s="159">
        <v>28</v>
      </c>
      <c r="B36" s="160" t="s">
        <v>67</v>
      </c>
      <c r="C36" s="155" t="s">
        <v>48</v>
      </c>
      <c r="D36" s="58">
        <v>35182306090.110001</v>
      </c>
      <c r="E36" s="41">
        <f t="shared" ref="E36:E50" si="26">(D36/$K$72)</f>
        <v>7.4146568300046721E-3</v>
      </c>
      <c r="F36" s="48">
        <v>100</v>
      </c>
      <c r="G36" s="48">
        <v>100</v>
      </c>
      <c r="H36" s="42">
        <v>2083</v>
      </c>
      <c r="I36" s="64">
        <v>0.18709999999999999</v>
      </c>
      <c r="J36" s="64">
        <v>0.18709999999999999</v>
      </c>
      <c r="K36" s="58">
        <v>35846738192.849998</v>
      </c>
      <c r="L36" s="41">
        <f t="shared" ref="L36:L50" si="27">(K36/$K$72)</f>
        <v>7.5546856278906746E-3</v>
      </c>
      <c r="M36" s="48">
        <v>100</v>
      </c>
      <c r="N36" s="48">
        <v>100</v>
      </c>
      <c r="O36" s="42">
        <v>2083</v>
      </c>
      <c r="P36" s="64">
        <v>0.18559999999999999</v>
      </c>
      <c r="Q36" s="64">
        <v>0.18559999999999999</v>
      </c>
      <c r="R36" s="69">
        <f t="shared" si="19"/>
        <v>1.8885405096477587E-2</v>
      </c>
      <c r="S36" s="69">
        <f t="shared" si="20"/>
        <v>0</v>
      </c>
      <c r="T36" s="69">
        <f t="shared" si="21"/>
        <v>0</v>
      </c>
      <c r="U36" s="70">
        <f t="shared" si="22"/>
        <v>-1.5000000000000013E-3</v>
      </c>
      <c r="V36" s="71">
        <f t="shared" si="23"/>
        <v>-1.5000000000000013E-3</v>
      </c>
    </row>
    <row r="37" spans="1:22" ht="15" customHeight="1">
      <c r="A37" s="159">
        <v>29</v>
      </c>
      <c r="B37" s="160" t="s">
        <v>68</v>
      </c>
      <c r="C37" s="155" t="s">
        <v>69</v>
      </c>
      <c r="D37" s="58">
        <v>2282953575.0700002</v>
      </c>
      <c r="E37" s="41">
        <f t="shared" si="26"/>
        <v>4.8113154591463098E-4</v>
      </c>
      <c r="F37" s="48">
        <v>1</v>
      </c>
      <c r="G37" s="48">
        <v>1</v>
      </c>
      <c r="H37" s="42">
        <v>571</v>
      </c>
      <c r="I37" s="64">
        <v>0.16439999999999999</v>
      </c>
      <c r="J37" s="64">
        <v>0.16439999999999999</v>
      </c>
      <c r="K37" s="58">
        <v>2324526191.46</v>
      </c>
      <c r="L37" s="41">
        <f t="shared" si="27"/>
        <v>4.8989295806503943E-4</v>
      </c>
      <c r="M37" s="48">
        <v>1</v>
      </c>
      <c r="N37" s="48">
        <v>1</v>
      </c>
      <c r="O37" s="42">
        <v>574</v>
      </c>
      <c r="P37" s="64">
        <v>0.16439999999999999</v>
      </c>
      <c r="Q37" s="64">
        <v>0.16439999999999999</v>
      </c>
      <c r="R37" s="69">
        <f t="shared" si="19"/>
        <v>1.8210013924056762E-2</v>
      </c>
      <c r="S37" s="69">
        <f t="shared" si="20"/>
        <v>0</v>
      </c>
      <c r="T37" s="69">
        <f t="shared" si="21"/>
        <v>5.2539404553415062E-3</v>
      </c>
      <c r="U37" s="70">
        <f t="shared" si="22"/>
        <v>0</v>
      </c>
      <c r="V37" s="71">
        <f t="shared" si="23"/>
        <v>0</v>
      </c>
    </row>
    <row r="38" spans="1:22">
      <c r="A38" s="159">
        <v>30</v>
      </c>
      <c r="B38" s="160" t="s">
        <v>70</v>
      </c>
      <c r="C38" s="155" t="s">
        <v>71</v>
      </c>
      <c r="D38" s="58">
        <v>83901840492.75</v>
      </c>
      <c r="E38" s="41">
        <f t="shared" si="26"/>
        <v>1.7682279071365624E-2</v>
      </c>
      <c r="F38" s="48">
        <v>100</v>
      </c>
      <c r="G38" s="48">
        <v>100</v>
      </c>
      <c r="H38" s="42">
        <v>5531</v>
      </c>
      <c r="I38" s="64">
        <v>0.17610000000000001</v>
      </c>
      <c r="J38" s="64">
        <v>0.17610000000000001</v>
      </c>
      <c r="K38" s="58">
        <v>84999434219.5</v>
      </c>
      <c r="L38" s="41">
        <f t="shared" si="27"/>
        <v>1.7913596506947394E-2</v>
      </c>
      <c r="M38" s="48">
        <v>100</v>
      </c>
      <c r="N38" s="48">
        <v>100</v>
      </c>
      <c r="O38" s="42">
        <v>5540</v>
      </c>
      <c r="P38" s="64">
        <v>0.1736</v>
      </c>
      <c r="Q38" s="64">
        <v>0.1736</v>
      </c>
      <c r="R38" s="69">
        <f t="shared" si="19"/>
        <v>1.3081879018432779E-2</v>
      </c>
      <c r="S38" s="69">
        <f t="shared" si="20"/>
        <v>0</v>
      </c>
      <c r="T38" s="69">
        <f t="shared" si="21"/>
        <v>1.6271921894774905E-3</v>
      </c>
      <c r="U38" s="70">
        <f t="shared" si="22"/>
        <v>-2.5000000000000022E-3</v>
      </c>
      <c r="V38" s="71">
        <f t="shared" si="23"/>
        <v>-2.5000000000000022E-3</v>
      </c>
    </row>
    <row r="39" spans="1:22">
      <c r="A39" s="159">
        <v>31</v>
      </c>
      <c r="B39" s="160" t="s">
        <v>72</v>
      </c>
      <c r="C39" s="155" t="s">
        <v>73</v>
      </c>
      <c r="D39" s="58">
        <v>35813776479.199997</v>
      </c>
      <c r="E39" s="41">
        <f t="shared" si="26"/>
        <v>7.5477389600225233E-3</v>
      </c>
      <c r="F39" s="48">
        <v>100</v>
      </c>
      <c r="G39" s="48">
        <v>100</v>
      </c>
      <c r="H39" s="42">
        <v>5513</v>
      </c>
      <c r="I39" s="64">
        <v>0.17330000000000001</v>
      </c>
      <c r="J39" s="64">
        <v>0.17330000000000001</v>
      </c>
      <c r="K39" s="58">
        <v>36881664008.470001</v>
      </c>
      <c r="L39" s="41">
        <f t="shared" si="27"/>
        <v>7.7727958264569973E-3</v>
      </c>
      <c r="M39" s="48">
        <v>100</v>
      </c>
      <c r="N39" s="48">
        <v>100</v>
      </c>
      <c r="O39" s="42">
        <v>5530</v>
      </c>
      <c r="P39" s="64">
        <v>0.1696</v>
      </c>
      <c r="Q39" s="64">
        <v>0.1696</v>
      </c>
      <c r="R39" s="69">
        <f t="shared" si="19"/>
        <v>2.9817786177623973E-2</v>
      </c>
      <c r="S39" s="69">
        <f t="shared" si="20"/>
        <v>0</v>
      </c>
      <c r="T39" s="69">
        <f t="shared" si="21"/>
        <v>3.0836205332849627E-3</v>
      </c>
      <c r="U39" s="70">
        <f t="shared" si="22"/>
        <v>-3.7000000000000088E-3</v>
      </c>
      <c r="V39" s="71">
        <f t="shared" si="23"/>
        <v>-3.7000000000000088E-3</v>
      </c>
    </row>
    <row r="40" spans="1:22">
      <c r="A40" s="159">
        <v>32</v>
      </c>
      <c r="B40" s="160" t="s">
        <v>74</v>
      </c>
      <c r="C40" s="155" t="s">
        <v>75</v>
      </c>
      <c r="D40" s="58">
        <v>67551658438.739998</v>
      </c>
      <c r="E40" s="41">
        <f t="shared" si="26"/>
        <v>1.4236484792614124E-2</v>
      </c>
      <c r="F40" s="48">
        <v>1</v>
      </c>
      <c r="G40" s="48">
        <v>1</v>
      </c>
      <c r="H40" s="42">
        <v>13933</v>
      </c>
      <c r="I40" s="64">
        <v>0.17319999999999999</v>
      </c>
      <c r="J40" s="64">
        <v>0.17319999999999999</v>
      </c>
      <c r="K40" s="58">
        <v>67551658438.739998</v>
      </c>
      <c r="L40" s="41">
        <f t="shared" si="27"/>
        <v>1.4236484792614124E-2</v>
      </c>
      <c r="M40" s="48">
        <v>1</v>
      </c>
      <c r="N40" s="48">
        <v>1</v>
      </c>
      <c r="O40" s="42">
        <v>14053</v>
      </c>
      <c r="P40" s="64">
        <v>0.16220000000000001</v>
      </c>
      <c r="Q40" s="64">
        <v>0.16220000000000001</v>
      </c>
      <c r="R40" s="69">
        <f t="shared" si="19"/>
        <v>0</v>
      </c>
      <c r="S40" s="69">
        <f t="shared" si="20"/>
        <v>0</v>
      </c>
      <c r="T40" s="69">
        <f t="shared" si="21"/>
        <v>8.612646235555875E-3</v>
      </c>
      <c r="U40" s="70">
        <f t="shared" si="22"/>
        <v>-1.0999999999999982E-2</v>
      </c>
      <c r="V40" s="71">
        <f t="shared" si="23"/>
        <v>-1.0999999999999982E-2</v>
      </c>
    </row>
    <row r="41" spans="1:22">
      <c r="A41" s="159">
        <v>33</v>
      </c>
      <c r="B41" s="160" t="s">
        <v>76</v>
      </c>
      <c r="C41" s="155" t="s">
        <v>77</v>
      </c>
      <c r="D41" s="58">
        <v>1076352629.77</v>
      </c>
      <c r="E41" s="41">
        <v>0</v>
      </c>
      <c r="F41" s="48">
        <v>1000</v>
      </c>
      <c r="G41" s="48">
        <v>1000</v>
      </c>
      <c r="H41" s="42">
        <v>57</v>
      </c>
      <c r="I41" s="64">
        <v>0.1925</v>
      </c>
      <c r="J41" s="64">
        <v>0.1925</v>
      </c>
      <c r="K41" s="58">
        <v>832728592.36000001</v>
      </c>
      <c r="L41" s="41">
        <f t="shared" si="27"/>
        <v>1.7549721524985306E-4</v>
      </c>
      <c r="M41" s="48">
        <v>1000</v>
      </c>
      <c r="N41" s="48">
        <v>1000</v>
      </c>
      <c r="O41" s="42">
        <v>53</v>
      </c>
      <c r="P41" s="64">
        <v>0.18440000000000001</v>
      </c>
      <c r="Q41" s="64">
        <v>0.18440000000000001</v>
      </c>
      <c r="R41" s="69">
        <f t="shared" si="19"/>
        <v>-0.22634221413298231</v>
      </c>
      <c r="S41" s="69">
        <f t="shared" si="20"/>
        <v>0</v>
      </c>
      <c r="T41" s="69">
        <f t="shared" si="21"/>
        <v>-7.0175438596491224E-2</v>
      </c>
      <c r="U41" s="70">
        <f t="shared" si="22"/>
        <v>-8.0999999999999961E-3</v>
      </c>
      <c r="V41" s="71">
        <f t="shared" si="23"/>
        <v>-8.0999999999999961E-3</v>
      </c>
    </row>
    <row r="42" spans="1:22">
      <c r="A42" s="159">
        <v>34</v>
      </c>
      <c r="B42" s="160" t="s">
        <v>78</v>
      </c>
      <c r="C42" s="155" t="s">
        <v>79</v>
      </c>
      <c r="D42" s="58">
        <v>85372873946.690002</v>
      </c>
      <c r="E42" s="41">
        <f t="shared" si="26"/>
        <v>1.7992298778956299E-2</v>
      </c>
      <c r="F42" s="59">
        <v>100</v>
      </c>
      <c r="G42" s="59">
        <v>100</v>
      </c>
      <c r="H42" s="42">
        <v>4546</v>
      </c>
      <c r="I42" s="64">
        <v>0.1958</v>
      </c>
      <c r="J42" s="64">
        <v>0.1958</v>
      </c>
      <c r="K42" s="58">
        <v>85867428789.380005</v>
      </c>
      <c r="L42" s="41">
        <f t="shared" si="27"/>
        <v>1.8096526012747381E-2</v>
      </c>
      <c r="M42" s="59">
        <v>100</v>
      </c>
      <c r="N42" s="59">
        <v>100</v>
      </c>
      <c r="O42" s="42">
        <v>4546</v>
      </c>
      <c r="P42" s="64">
        <v>0.19589999999999999</v>
      </c>
      <c r="Q42" s="64">
        <v>0.19589999999999999</v>
      </c>
      <c r="R42" s="69">
        <f t="shared" si="19"/>
        <v>5.7928803357237442E-3</v>
      </c>
      <c r="S42" s="69">
        <f t="shared" si="20"/>
        <v>0</v>
      </c>
      <c r="T42" s="69">
        <f t="shared" si="21"/>
        <v>0</v>
      </c>
      <c r="U42" s="70">
        <f t="shared" si="22"/>
        <v>9.9999999999988987E-5</v>
      </c>
      <c r="V42" s="71">
        <f t="shared" si="23"/>
        <v>9.9999999999988987E-5</v>
      </c>
    </row>
    <row r="43" spans="1:22">
      <c r="A43" s="159">
        <v>35</v>
      </c>
      <c r="B43" s="160" t="s">
        <v>80</v>
      </c>
      <c r="C43" s="155" t="s">
        <v>79</v>
      </c>
      <c r="D43" s="58">
        <v>11474482447.709999</v>
      </c>
      <c r="E43" s="41">
        <f t="shared" si="26"/>
        <v>2.4182425516330237E-3</v>
      </c>
      <c r="F43" s="59">
        <v>1000000</v>
      </c>
      <c r="G43" s="59">
        <v>1000000</v>
      </c>
      <c r="H43" s="42">
        <v>45</v>
      </c>
      <c r="I43" s="64">
        <v>0.19980000000000001</v>
      </c>
      <c r="J43" s="64">
        <v>0.19980000000000001</v>
      </c>
      <c r="K43" s="58">
        <v>11402966670.17</v>
      </c>
      <c r="L43" s="41">
        <f t="shared" si="27"/>
        <v>2.4031706303373609E-3</v>
      </c>
      <c r="M43" s="59">
        <v>1000000</v>
      </c>
      <c r="N43" s="59">
        <v>1000000</v>
      </c>
      <c r="O43" s="42">
        <v>45</v>
      </c>
      <c r="P43" s="64">
        <v>0.19980000000000001</v>
      </c>
      <c r="Q43" s="64">
        <v>0.19980000000000001</v>
      </c>
      <c r="R43" s="69">
        <f t="shared" si="19"/>
        <v>-6.2325928743105661E-3</v>
      </c>
      <c r="S43" s="69">
        <f t="shared" si="20"/>
        <v>0</v>
      </c>
      <c r="T43" s="69">
        <f t="shared" si="21"/>
        <v>0</v>
      </c>
      <c r="U43" s="70">
        <f t="shared" si="22"/>
        <v>0</v>
      </c>
      <c r="V43" s="71">
        <f t="shared" si="23"/>
        <v>0</v>
      </c>
    </row>
    <row r="44" spans="1:22">
      <c r="A44" s="159">
        <v>36</v>
      </c>
      <c r="B44" s="160" t="s">
        <v>81</v>
      </c>
      <c r="C44" s="155" t="s">
        <v>82</v>
      </c>
      <c r="D44" s="58">
        <v>7154545844.1999998</v>
      </c>
      <c r="E44" s="41">
        <f t="shared" si="26"/>
        <v>1.5078176533797876E-3</v>
      </c>
      <c r="F44" s="48">
        <v>1</v>
      </c>
      <c r="G44" s="48">
        <v>1</v>
      </c>
      <c r="H44" s="42">
        <v>1113</v>
      </c>
      <c r="I44" s="64">
        <v>0.20300000000000001</v>
      </c>
      <c r="J44" s="64">
        <v>0.20300000000000001</v>
      </c>
      <c r="K44" s="58">
        <v>7098202502.8999996</v>
      </c>
      <c r="L44" s="41">
        <f t="shared" si="27"/>
        <v>1.4959433169072058E-3</v>
      </c>
      <c r="M44" s="48">
        <v>1</v>
      </c>
      <c r="N44" s="48">
        <v>1</v>
      </c>
      <c r="O44" s="42">
        <v>1126</v>
      </c>
      <c r="P44" s="64">
        <v>0.18690000000000001</v>
      </c>
      <c r="Q44" s="64">
        <v>0.18690000000000001</v>
      </c>
      <c r="R44" s="69">
        <f t="shared" si="19"/>
        <v>-7.8751806930800836E-3</v>
      </c>
      <c r="S44" s="69">
        <f t="shared" si="20"/>
        <v>0</v>
      </c>
      <c r="T44" s="69">
        <f t="shared" si="21"/>
        <v>1.1680143755615454E-2</v>
      </c>
      <c r="U44" s="70">
        <f t="shared" si="22"/>
        <v>-1.6100000000000003E-2</v>
      </c>
      <c r="V44" s="71">
        <f t="shared" si="23"/>
        <v>-1.6100000000000003E-2</v>
      </c>
    </row>
    <row r="45" spans="1:22">
      <c r="A45" s="159">
        <v>37</v>
      </c>
      <c r="B45" s="160" t="s">
        <v>83</v>
      </c>
      <c r="C45" s="155" t="s">
        <v>84</v>
      </c>
      <c r="D45" s="58">
        <v>685713303603.44995</v>
      </c>
      <c r="E45" s="41">
        <f t="shared" si="26"/>
        <v>0.14451380239164111</v>
      </c>
      <c r="F45" s="48">
        <v>100</v>
      </c>
      <c r="G45" s="48">
        <v>100</v>
      </c>
      <c r="H45" s="42">
        <v>33146</v>
      </c>
      <c r="I45" s="64">
        <v>0.16830000000000001</v>
      </c>
      <c r="J45" s="64">
        <v>0.16830000000000001</v>
      </c>
      <c r="K45" s="58">
        <v>686953665927.29004</v>
      </c>
      <c r="L45" s="41">
        <f t="shared" si="27"/>
        <v>0.14477520825152379</v>
      </c>
      <c r="M45" s="48">
        <v>100</v>
      </c>
      <c r="N45" s="48">
        <v>100</v>
      </c>
      <c r="O45" s="42">
        <v>33128</v>
      </c>
      <c r="P45" s="64">
        <v>0.16900000000000001</v>
      </c>
      <c r="Q45" s="64">
        <v>0.16900000000000001</v>
      </c>
      <c r="R45" s="69">
        <f t="shared" si="19"/>
        <v>1.8088643130036064E-3</v>
      </c>
      <c r="S45" s="69">
        <f t="shared" si="20"/>
        <v>0</v>
      </c>
      <c r="T45" s="69">
        <f t="shared" si="21"/>
        <v>-5.430519519700718E-4</v>
      </c>
      <c r="U45" s="70">
        <f t="shared" si="22"/>
        <v>7.0000000000000617E-4</v>
      </c>
      <c r="V45" s="71">
        <f t="shared" si="23"/>
        <v>7.0000000000000617E-4</v>
      </c>
    </row>
    <row r="46" spans="1:22">
      <c r="A46" s="159">
        <v>38</v>
      </c>
      <c r="B46" s="160" t="s">
        <v>85</v>
      </c>
      <c r="C46" s="155" t="s">
        <v>86</v>
      </c>
      <c r="D46" s="58">
        <v>3995339564.8899999</v>
      </c>
      <c r="E46" s="41">
        <f t="shared" si="26"/>
        <v>8.4201620317683138E-4</v>
      </c>
      <c r="F46" s="48">
        <v>1</v>
      </c>
      <c r="G46" s="48">
        <v>1</v>
      </c>
      <c r="H46" s="60">
        <v>1784</v>
      </c>
      <c r="I46" s="67">
        <v>0.19289999999999999</v>
      </c>
      <c r="J46" s="67">
        <v>0.19289999999999999</v>
      </c>
      <c r="K46" s="58">
        <v>4221121845.48</v>
      </c>
      <c r="L46" s="41">
        <f t="shared" si="27"/>
        <v>8.8959972782080789E-4</v>
      </c>
      <c r="M46" s="48">
        <v>1</v>
      </c>
      <c r="N46" s="48">
        <v>1</v>
      </c>
      <c r="O46" s="60">
        <v>1793</v>
      </c>
      <c r="P46" s="67">
        <v>0.18709999999999999</v>
      </c>
      <c r="Q46" s="67">
        <v>0.18709999999999999</v>
      </c>
      <c r="R46" s="69">
        <f t="shared" si="19"/>
        <v>5.6511412089754735E-2</v>
      </c>
      <c r="S46" s="69">
        <f t="shared" si="20"/>
        <v>0</v>
      </c>
      <c r="T46" s="69">
        <f t="shared" si="21"/>
        <v>5.0448430493273541E-3</v>
      </c>
      <c r="U46" s="70">
        <f t="shared" si="22"/>
        <v>-5.7999999999999996E-3</v>
      </c>
      <c r="V46" s="71">
        <f t="shared" si="23"/>
        <v>-5.7999999999999996E-3</v>
      </c>
    </row>
    <row r="47" spans="1:22">
      <c r="A47" s="159">
        <v>39</v>
      </c>
      <c r="B47" s="160" t="s">
        <v>87</v>
      </c>
      <c r="C47" s="155" t="s">
        <v>88</v>
      </c>
      <c r="D47" s="58">
        <v>3502802185.8299999</v>
      </c>
      <c r="E47" s="41">
        <f t="shared" si="26"/>
        <v>7.3821414903273326E-4</v>
      </c>
      <c r="F47" s="48">
        <v>1</v>
      </c>
      <c r="G47" s="48">
        <v>1</v>
      </c>
      <c r="H47" s="60">
        <v>478</v>
      </c>
      <c r="I47" s="67">
        <v>0.1767</v>
      </c>
      <c r="J47" s="67">
        <v>0.1767</v>
      </c>
      <c r="K47" s="58">
        <v>3544312292.8699999</v>
      </c>
      <c r="L47" s="41">
        <f t="shared" si="27"/>
        <v>7.4696238736282053E-4</v>
      </c>
      <c r="M47" s="48">
        <v>1</v>
      </c>
      <c r="N47" s="48">
        <v>1</v>
      </c>
      <c r="O47" s="60">
        <v>481</v>
      </c>
      <c r="P47" s="67">
        <v>0.1699</v>
      </c>
      <c r="Q47" s="67">
        <v>0.1699</v>
      </c>
      <c r="R47" s="69">
        <f t="shared" si="19"/>
        <v>1.1850542747724138E-2</v>
      </c>
      <c r="S47" s="69">
        <f t="shared" si="20"/>
        <v>0</v>
      </c>
      <c r="T47" s="69">
        <f t="shared" si="21"/>
        <v>6.2761506276150627E-3</v>
      </c>
      <c r="U47" s="70">
        <f t="shared" si="22"/>
        <v>-6.8000000000000005E-3</v>
      </c>
      <c r="V47" s="71">
        <f t="shared" si="23"/>
        <v>-6.8000000000000005E-3</v>
      </c>
    </row>
    <row r="48" spans="1:22">
      <c r="A48" s="159">
        <v>40</v>
      </c>
      <c r="B48" s="160" t="s">
        <v>89</v>
      </c>
      <c r="C48" s="155" t="s">
        <v>90</v>
      </c>
      <c r="D48" s="58">
        <v>8699839.0099999998</v>
      </c>
      <c r="E48" s="41">
        <f t="shared" si="26"/>
        <v>1.8334875653182603E-6</v>
      </c>
      <c r="F48" s="48">
        <v>1</v>
      </c>
      <c r="G48" s="48">
        <v>1</v>
      </c>
      <c r="H48" s="60">
        <v>23</v>
      </c>
      <c r="I48" s="67">
        <v>0</v>
      </c>
      <c r="J48" s="67">
        <v>0</v>
      </c>
      <c r="K48" s="58">
        <v>8699839.0099999998</v>
      </c>
      <c r="L48" s="41">
        <f t="shared" si="27"/>
        <v>1.8334875653182603E-6</v>
      </c>
      <c r="M48" s="48">
        <v>1</v>
      </c>
      <c r="N48" s="48">
        <v>1</v>
      </c>
      <c r="O48" s="60">
        <v>23</v>
      </c>
      <c r="P48" s="67">
        <v>0</v>
      </c>
      <c r="Q48" s="67">
        <v>0</v>
      </c>
      <c r="R48" s="69">
        <f t="shared" si="19"/>
        <v>0</v>
      </c>
      <c r="S48" s="69">
        <f t="shared" si="20"/>
        <v>0</v>
      </c>
      <c r="T48" s="69">
        <f t="shared" si="21"/>
        <v>0</v>
      </c>
      <c r="U48" s="70">
        <f t="shared" si="22"/>
        <v>0</v>
      </c>
      <c r="V48" s="71">
        <f t="shared" si="23"/>
        <v>0</v>
      </c>
    </row>
    <row r="49" spans="1:22">
      <c r="A49" s="159">
        <v>41</v>
      </c>
      <c r="B49" s="160" t="s">
        <v>91</v>
      </c>
      <c r="C49" s="155" t="s">
        <v>92</v>
      </c>
      <c r="D49" s="58">
        <v>1780843976.3099999</v>
      </c>
      <c r="E49" s="41">
        <f t="shared" si="26"/>
        <v>3.7531215032636696E-4</v>
      </c>
      <c r="F49" s="48">
        <v>10</v>
      </c>
      <c r="G49" s="48">
        <v>10</v>
      </c>
      <c r="H49" s="42">
        <v>529</v>
      </c>
      <c r="I49" s="64">
        <v>0.18529999999999999</v>
      </c>
      <c r="J49" s="64">
        <v>0.18529999999999999</v>
      </c>
      <c r="K49" s="58">
        <v>1822606676.5599999</v>
      </c>
      <c r="L49" s="41">
        <f t="shared" si="27"/>
        <v>3.841136225736665E-4</v>
      </c>
      <c r="M49" s="48">
        <v>10</v>
      </c>
      <c r="N49" s="48">
        <v>10</v>
      </c>
      <c r="O49" s="42">
        <v>531</v>
      </c>
      <c r="P49" s="64">
        <v>0.18029999999999999</v>
      </c>
      <c r="Q49" s="64">
        <v>0.18029999999999999</v>
      </c>
      <c r="R49" s="69">
        <f t="shared" si="19"/>
        <v>2.3451071966750538E-2</v>
      </c>
      <c r="S49" s="69">
        <f t="shared" si="20"/>
        <v>0</v>
      </c>
      <c r="T49" s="69">
        <f t="shared" si="21"/>
        <v>3.780718336483932E-3</v>
      </c>
      <c r="U49" s="70">
        <f t="shared" si="22"/>
        <v>-5.0000000000000044E-3</v>
      </c>
      <c r="V49" s="71">
        <f t="shared" si="23"/>
        <v>-5.0000000000000044E-3</v>
      </c>
    </row>
    <row r="50" spans="1:22">
      <c r="A50" s="159">
        <v>42</v>
      </c>
      <c r="B50" s="160" t="s">
        <v>93</v>
      </c>
      <c r="C50" s="155" t="s">
        <v>94</v>
      </c>
      <c r="D50" s="58">
        <v>9627055915.6200008</v>
      </c>
      <c r="E50" s="41">
        <f t="shared" si="26"/>
        <v>2.0288981545088236E-3</v>
      </c>
      <c r="F50" s="48">
        <v>100</v>
      </c>
      <c r="G50" s="48">
        <v>100</v>
      </c>
      <c r="H50" s="42">
        <v>1002</v>
      </c>
      <c r="I50" s="64">
        <v>0.16880000000000001</v>
      </c>
      <c r="J50" s="64">
        <v>0.16880000000000001</v>
      </c>
      <c r="K50" s="58">
        <v>9660702649.0300007</v>
      </c>
      <c r="L50" s="41">
        <f t="shared" si="27"/>
        <v>2.0359891900153314E-3</v>
      </c>
      <c r="M50" s="48">
        <v>100</v>
      </c>
      <c r="N50" s="48">
        <v>100</v>
      </c>
      <c r="O50" s="42">
        <v>995</v>
      </c>
      <c r="P50" s="64">
        <v>0.16289999999999999</v>
      </c>
      <c r="Q50" s="64">
        <v>0.16289999999999999</v>
      </c>
      <c r="R50" s="69">
        <f t="shared" si="19"/>
        <v>3.4950179686198419E-3</v>
      </c>
      <c r="S50" s="69">
        <f t="shared" si="20"/>
        <v>0</v>
      </c>
      <c r="T50" s="69">
        <f t="shared" si="21"/>
        <v>-6.9860279441117763E-3</v>
      </c>
      <c r="U50" s="70">
        <f t="shared" si="22"/>
        <v>-5.9000000000000163E-3</v>
      </c>
      <c r="V50" s="71">
        <f t="shared" si="23"/>
        <v>-5.9000000000000163E-3</v>
      </c>
    </row>
    <row r="51" spans="1:22">
      <c r="A51" s="159">
        <v>43</v>
      </c>
      <c r="B51" s="160" t="s">
        <v>95</v>
      </c>
      <c r="C51" s="160" t="s">
        <v>96</v>
      </c>
      <c r="D51" s="61">
        <v>124618308</v>
      </c>
      <c r="E51" s="41">
        <f>(D51/$D$197)</f>
        <v>1.4860643028192359E-3</v>
      </c>
      <c r="F51" s="40">
        <v>1</v>
      </c>
      <c r="G51" s="40">
        <v>1</v>
      </c>
      <c r="H51" s="42">
        <v>119</v>
      </c>
      <c r="I51" s="64">
        <v>0.15770000000000001</v>
      </c>
      <c r="J51" s="64">
        <v>0.15770000000000001</v>
      </c>
      <c r="K51" s="61">
        <v>124728308.11</v>
      </c>
      <c r="L51" s="68">
        <f>(K51/$K$197)</f>
        <v>1.4935076270825597E-3</v>
      </c>
      <c r="M51" s="40">
        <v>1</v>
      </c>
      <c r="N51" s="40">
        <v>1</v>
      </c>
      <c r="O51" s="42">
        <v>119</v>
      </c>
      <c r="P51" s="64">
        <v>0.15770000000000001</v>
      </c>
      <c r="Q51" s="64">
        <v>0.15770000000000001</v>
      </c>
      <c r="R51" s="70">
        <f t="shared" si="19"/>
        <v>8.826962246991783E-4</v>
      </c>
      <c r="S51" s="70">
        <f t="shared" si="20"/>
        <v>0</v>
      </c>
      <c r="T51" s="70">
        <f t="shared" si="21"/>
        <v>0</v>
      </c>
      <c r="U51" s="70">
        <f t="shared" si="22"/>
        <v>0</v>
      </c>
      <c r="V51" s="71">
        <f t="shared" si="23"/>
        <v>0</v>
      </c>
    </row>
    <row r="52" spans="1:22">
      <c r="A52" s="159">
        <v>44</v>
      </c>
      <c r="B52" s="160" t="s">
        <v>97</v>
      </c>
      <c r="C52" s="155" t="s">
        <v>38</v>
      </c>
      <c r="D52" s="58">
        <v>855982353.50999999</v>
      </c>
      <c r="E52" s="41">
        <f t="shared" ref="E52" si="28">(D52/$K$72)</f>
        <v>1.803979360409388E-4</v>
      </c>
      <c r="F52" s="48">
        <v>100</v>
      </c>
      <c r="G52" s="48">
        <v>100</v>
      </c>
      <c r="H52" s="42">
        <v>5108</v>
      </c>
      <c r="I52" s="64">
        <v>0.14369999999999999</v>
      </c>
      <c r="J52" s="64">
        <v>0.14369999999999999</v>
      </c>
      <c r="K52" s="58">
        <v>835835127.79999995</v>
      </c>
      <c r="L52" s="41">
        <f t="shared" ref="L52" si="29">(K52/$K$72)</f>
        <v>1.7615191634189778E-4</v>
      </c>
      <c r="M52" s="48">
        <v>100</v>
      </c>
      <c r="N52" s="48">
        <v>100</v>
      </c>
      <c r="O52" s="42">
        <v>5179</v>
      </c>
      <c r="P52" s="64">
        <v>0.14779999999999999</v>
      </c>
      <c r="Q52" s="64">
        <v>0.14779999999999999</v>
      </c>
      <c r="R52" s="69">
        <f t="shared" ref="R52" si="30">((K52-D52)/D52)</f>
        <v>-2.3536963849062186E-2</v>
      </c>
      <c r="S52" s="69">
        <f t="shared" ref="S52" si="31">((N52-G52)/G52)</f>
        <v>0</v>
      </c>
      <c r="T52" s="69">
        <f t="shared" ref="T52" si="32">((O52-H52)/H52)</f>
        <v>1.3899765074393109E-2</v>
      </c>
      <c r="U52" s="70">
        <f t="shared" ref="U52" si="33">P52-I52</f>
        <v>4.0999999999999925E-3</v>
      </c>
      <c r="V52" s="71">
        <f t="shared" ref="V52" si="34">Q52-J52</f>
        <v>4.0999999999999925E-3</v>
      </c>
    </row>
    <row r="53" spans="1:22">
      <c r="A53" s="159">
        <v>45</v>
      </c>
      <c r="B53" s="160" t="s">
        <v>98</v>
      </c>
      <c r="C53" s="155" t="s">
        <v>38</v>
      </c>
      <c r="D53" s="58">
        <v>255272213557.64001</v>
      </c>
      <c r="E53" s="41">
        <f t="shared" ref="E53:E71" si="35">(D53/$K$72)</f>
        <v>5.3798516132449722E-2</v>
      </c>
      <c r="F53" s="48">
        <v>100</v>
      </c>
      <c r="G53" s="48">
        <v>100</v>
      </c>
      <c r="H53" s="42">
        <v>24805</v>
      </c>
      <c r="I53" s="64">
        <v>0.18279999999999999</v>
      </c>
      <c r="J53" s="64">
        <v>0.18279999999999999</v>
      </c>
      <c r="K53" s="58">
        <v>263631982852.29999</v>
      </c>
      <c r="L53" s="41">
        <f t="shared" ref="L53:L71" si="36">(K53/$K$72)</f>
        <v>5.5560334142308328E-2</v>
      </c>
      <c r="M53" s="48">
        <v>100</v>
      </c>
      <c r="N53" s="48">
        <v>100</v>
      </c>
      <c r="O53" s="42">
        <v>25154</v>
      </c>
      <c r="P53" s="64">
        <v>0.17510000000000001</v>
      </c>
      <c r="Q53" s="64">
        <v>0.17510000000000001</v>
      </c>
      <c r="R53" s="69">
        <f t="shared" si="19"/>
        <v>3.2748449892578503E-2</v>
      </c>
      <c r="S53" s="69">
        <f t="shared" si="20"/>
        <v>0</v>
      </c>
      <c r="T53" s="69">
        <f t="shared" si="21"/>
        <v>1.4069744003225157E-2</v>
      </c>
      <c r="U53" s="70">
        <f t="shared" si="22"/>
        <v>-7.6999999999999846E-3</v>
      </c>
      <c r="V53" s="71">
        <f t="shared" si="23"/>
        <v>-7.6999999999999846E-3</v>
      </c>
    </row>
    <row r="54" spans="1:22">
      <c r="A54" s="159">
        <v>46</v>
      </c>
      <c r="B54" s="160" t="s">
        <v>99</v>
      </c>
      <c r="C54" s="155" t="s">
        <v>42</v>
      </c>
      <c r="D54" s="58">
        <v>47492574062.290001</v>
      </c>
      <c r="E54" s="41">
        <f t="shared" si="35"/>
        <v>1.0009040844097787E-2</v>
      </c>
      <c r="F54" s="48">
        <v>1</v>
      </c>
      <c r="G54" s="48">
        <v>1</v>
      </c>
      <c r="H54" s="42">
        <v>2846</v>
      </c>
      <c r="I54" s="64">
        <v>0.17749999999999999</v>
      </c>
      <c r="J54" s="64">
        <v>0.17749999999999999</v>
      </c>
      <c r="K54" s="58">
        <v>47200604820.150002</v>
      </c>
      <c r="L54" s="41">
        <f t="shared" si="36"/>
        <v>9.947508443980525E-3</v>
      </c>
      <c r="M54" s="48">
        <v>1</v>
      </c>
      <c r="N54" s="48">
        <v>1</v>
      </c>
      <c r="O54" s="42">
        <v>2847</v>
      </c>
      <c r="P54" s="64">
        <v>0.1754</v>
      </c>
      <c r="Q54" s="64">
        <v>0.1754</v>
      </c>
      <c r="R54" s="69">
        <f t="shared" si="19"/>
        <v>-6.1476819882843219E-3</v>
      </c>
      <c r="S54" s="69">
        <f t="shared" si="20"/>
        <v>0</v>
      </c>
      <c r="T54" s="69">
        <f t="shared" si="21"/>
        <v>3.5137034434293746E-4</v>
      </c>
      <c r="U54" s="70">
        <f t="shared" si="22"/>
        <v>-2.0999999999999908E-3</v>
      </c>
      <c r="V54" s="71">
        <f t="shared" si="23"/>
        <v>-2.0999999999999908E-3</v>
      </c>
    </row>
    <row r="55" spans="1:22">
      <c r="A55" s="159">
        <v>47</v>
      </c>
      <c r="B55" s="160" t="s">
        <v>100</v>
      </c>
      <c r="C55" s="155" t="s">
        <v>101</v>
      </c>
      <c r="D55" s="58">
        <v>4782544436.4250002</v>
      </c>
      <c r="E55" s="41">
        <f t="shared" si="35"/>
        <v>1.0079193126088968E-3</v>
      </c>
      <c r="F55" s="48">
        <v>100</v>
      </c>
      <c r="G55" s="48">
        <v>100</v>
      </c>
      <c r="H55" s="42">
        <v>959</v>
      </c>
      <c r="I55" s="64">
        <v>0.17249999999999999</v>
      </c>
      <c r="J55" s="64">
        <v>0.17249999999999999</v>
      </c>
      <c r="K55" s="58">
        <v>4838083615.5939999</v>
      </c>
      <c r="L55" s="41">
        <f t="shared" si="36"/>
        <v>1.019624172236448E-3</v>
      </c>
      <c r="M55" s="48">
        <v>100</v>
      </c>
      <c r="N55" s="48">
        <v>100</v>
      </c>
      <c r="O55" s="42">
        <v>959</v>
      </c>
      <c r="P55" s="64">
        <v>0.17230000000000001</v>
      </c>
      <c r="Q55" s="64">
        <v>0.17230000000000001</v>
      </c>
      <c r="R55" s="69">
        <f t="shared" si="19"/>
        <v>1.1612893493680901E-2</v>
      </c>
      <c r="S55" s="69">
        <f t="shared" si="20"/>
        <v>0</v>
      </c>
      <c r="T55" s="69">
        <f t="shared" si="21"/>
        <v>0</v>
      </c>
      <c r="U55" s="70">
        <f t="shared" si="22"/>
        <v>-1.9999999999997797E-4</v>
      </c>
      <c r="V55" s="71">
        <f t="shared" si="23"/>
        <v>-1.9999999999997797E-4</v>
      </c>
    </row>
    <row r="56" spans="1:22">
      <c r="A56" s="159">
        <v>48</v>
      </c>
      <c r="B56" s="160" t="s">
        <v>102</v>
      </c>
      <c r="C56" s="155" t="s">
        <v>44</v>
      </c>
      <c r="D56" s="62">
        <v>83353499895.690002</v>
      </c>
      <c r="E56" s="41">
        <f t="shared" si="35"/>
        <v>1.7566716511516749E-2</v>
      </c>
      <c r="F56" s="48">
        <v>10</v>
      </c>
      <c r="G56" s="48">
        <v>10</v>
      </c>
      <c r="H56" s="42">
        <v>7823</v>
      </c>
      <c r="I56" s="64">
        <v>0.1888</v>
      </c>
      <c r="J56" s="64">
        <v>0.1888</v>
      </c>
      <c r="K56" s="62">
        <v>85628893505.839996</v>
      </c>
      <c r="L56" s="41">
        <f t="shared" si="36"/>
        <v>1.8046254797871159E-2</v>
      </c>
      <c r="M56" s="48">
        <v>10</v>
      </c>
      <c r="N56" s="48">
        <v>10</v>
      </c>
      <c r="O56" s="42">
        <v>7873</v>
      </c>
      <c r="P56" s="64">
        <v>0.19</v>
      </c>
      <c r="Q56" s="64">
        <v>0.19</v>
      </c>
      <c r="R56" s="69">
        <f t="shared" si="19"/>
        <v>2.7298117211604318E-2</v>
      </c>
      <c r="S56" s="69">
        <f t="shared" si="20"/>
        <v>0</v>
      </c>
      <c r="T56" s="69">
        <f t="shared" si="21"/>
        <v>6.3914099450338747E-3</v>
      </c>
      <c r="U56" s="70">
        <f t="shared" si="22"/>
        <v>1.2000000000000066E-3</v>
      </c>
      <c r="V56" s="71">
        <f t="shared" si="23"/>
        <v>1.2000000000000066E-3</v>
      </c>
    </row>
    <row r="57" spans="1:22">
      <c r="A57" s="159">
        <v>49</v>
      </c>
      <c r="B57" s="160" t="s">
        <v>103</v>
      </c>
      <c r="C57" s="155" t="s">
        <v>104</v>
      </c>
      <c r="D57" s="58">
        <v>31870563111</v>
      </c>
      <c r="E57" s="41">
        <f t="shared" si="35"/>
        <v>6.7167083317912282E-3</v>
      </c>
      <c r="F57" s="48">
        <v>100</v>
      </c>
      <c r="G57" s="48">
        <v>100</v>
      </c>
      <c r="H57" s="42">
        <v>5403</v>
      </c>
      <c r="I57" s="64">
        <v>0.19120000000000001</v>
      </c>
      <c r="J57" s="64">
        <v>0.19120000000000001</v>
      </c>
      <c r="K57" s="58">
        <v>32374833381</v>
      </c>
      <c r="L57" s="41">
        <f t="shared" si="36"/>
        <v>6.8229830879725705E-3</v>
      </c>
      <c r="M57" s="48">
        <v>100</v>
      </c>
      <c r="N57" s="48">
        <v>100</v>
      </c>
      <c r="O57" s="42">
        <v>5440</v>
      </c>
      <c r="P57" s="64">
        <v>0.188</v>
      </c>
      <c r="Q57" s="64">
        <v>0.188</v>
      </c>
      <c r="R57" s="69">
        <f t="shared" si="19"/>
        <v>1.5822446194116761E-2</v>
      </c>
      <c r="S57" s="69">
        <f t="shared" si="20"/>
        <v>0</v>
      </c>
      <c r="T57" s="69">
        <f t="shared" si="21"/>
        <v>6.8480473810845826E-3</v>
      </c>
      <c r="U57" s="70">
        <f t="shared" si="22"/>
        <v>-3.2000000000000084E-3</v>
      </c>
      <c r="V57" s="71">
        <f t="shared" si="23"/>
        <v>-3.2000000000000084E-3</v>
      </c>
    </row>
    <row r="58" spans="1:22">
      <c r="A58" s="159">
        <v>50</v>
      </c>
      <c r="B58" s="160" t="s">
        <v>105</v>
      </c>
      <c r="C58" s="155" t="s">
        <v>106</v>
      </c>
      <c r="D58" s="58">
        <v>177704537.69</v>
      </c>
      <c r="E58" s="41">
        <f t="shared" si="35"/>
        <v>3.7451159703154683E-5</v>
      </c>
      <c r="F58" s="48">
        <v>1</v>
      </c>
      <c r="G58" s="48">
        <v>1</v>
      </c>
      <c r="H58" s="42">
        <v>94</v>
      </c>
      <c r="I58" s="64">
        <v>9.9599999999999994E-2</v>
      </c>
      <c r="J58" s="64">
        <v>9.9599999999999994E-2</v>
      </c>
      <c r="K58" s="58">
        <v>177711887.71000001</v>
      </c>
      <c r="L58" s="41">
        <f t="shared" si="36"/>
        <v>3.7452708716907622E-5</v>
      </c>
      <c r="M58" s="48">
        <v>1</v>
      </c>
      <c r="N58" s="48">
        <v>1</v>
      </c>
      <c r="O58" s="42">
        <v>94</v>
      </c>
      <c r="P58" s="64">
        <v>0.1154</v>
      </c>
      <c r="Q58" s="64">
        <v>0.1154</v>
      </c>
      <c r="R58" s="69">
        <f t="shared" si="19"/>
        <v>4.1360902178157142E-5</v>
      </c>
      <c r="S58" s="69">
        <f t="shared" si="20"/>
        <v>0</v>
      </c>
      <c r="T58" s="69">
        <f t="shared" si="21"/>
        <v>0</v>
      </c>
      <c r="U58" s="70">
        <f t="shared" si="22"/>
        <v>1.5800000000000008E-2</v>
      </c>
      <c r="V58" s="71">
        <f t="shared" si="23"/>
        <v>1.5800000000000008E-2</v>
      </c>
    </row>
    <row r="59" spans="1:22">
      <c r="A59" s="159">
        <v>51</v>
      </c>
      <c r="B59" s="160" t="s">
        <v>107</v>
      </c>
      <c r="C59" s="155" t="s">
        <v>46</v>
      </c>
      <c r="D59" s="62">
        <v>2279695390.96</v>
      </c>
      <c r="E59" s="41">
        <f t="shared" si="35"/>
        <v>4.8044488492649819E-4</v>
      </c>
      <c r="F59" s="48">
        <v>10</v>
      </c>
      <c r="G59" s="48">
        <v>10</v>
      </c>
      <c r="H59" s="42">
        <v>921</v>
      </c>
      <c r="I59" s="64">
        <v>0.16289999999999999</v>
      </c>
      <c r="J59" s="64">
        <v>0.16289999999999999</v>
      </c>
      <c r="K59" s="62">
        <v>2060587865.51</v>
      </c>
      <c r="L59" s="41">
        <f t="shared" si="36"/>
        <v>4.342680622383472E-4</v>
      </c>
      <c r="M59" s="48">
        <v>10</v>
      </c>
      <c r="N59" s="48">
        <v>10</v>
      </c>
      <c r="O59" s="42">
        <v>921</v>
      </c>
      <c r="P59" s="64">
        <v>0.14879999999999999</v>
      </c>
      <c r="Q59" s="64">
        <v>0.14879999999999999</v>
      </c>
      <c r="R59" s="69">
        <f t="shared" si="19"/>
        <v>-9.6112632555585387E-2</v>
      </c>
      <c r="S59" s="69">
        <f t="shared" si="20"/>
        <v>0</v>
      </c>
      <c r="T59" s="69">
        <f t="shared" si="21"/>
        <v>0</v>
      </c>
      <c r="U59" s="70">
        <f t="shared" si="22"/>
        <v>-1.4100000000000001E-2</v>
      </c>
      <c r="V59" s="71">
        <f t="shared" si="23"/>
        <v>-1.4100000000000001E-2</v>
      </c>
    </row>
    <row r="60" spans="1:22">
      <c r="A60" s="159">
        <v>52</v>
      </c>
      <c r="B60" s="160" t="s">
        <v>108</v>
      </c>
      <c r="C60" s="155" t="s">
        <v>109</v>
      </c>
      <c r="D60" s="62">
        <v>1101314956</v>
      </c>
      <c r="E60" s="41">
        <f t="shared" si="35"/>
        <v>2.3210168314655134E-4</v>
      </c>
      <c r="F60" s="48">
        <v>1</v>
      </c>
      <c r="G60" s="48">
        <v>1</v>
      </c>
      <c r="H60" s="42">
        <v>172</v>
      </c>
      <c r="I60" s="64">
        <v>0.22420000000000001</v>
      </c>
      <c r="J60" s="64">
        <v>0.22420000000000001</v>
      </c>
      <c r="K60" s="62">
        <v>1117111783</v>
      </c>
      <c r="L60" s="41">
        <f t="shared" si="36"/>
        <v>2.3543085807067258E-4</v>
      </c>
      <c r="M60" s="48">
        <v>1</v>
      </c>
      <c r="N60" s="48">
        <v>1</v>
      </c>
      <c r="O60" s="42">
        <v>173</v>
      </c>
      <c r="P60" s="64">
        <v>0.22109999999999999</v>
      </c>
      <c r="Q60" s="64">
        <v>0.22109999999999999</v>
      </c>
      <c r="R60" s="69">
        <f t="shared" si="19"/>
        <v>1.4343605263815196E-2</v>
      </c>
      <c r="S60" s="69">
        <f t="shared" si="20"/>
        <v>0</v>
      </c>
      <c r="T60" s="69">
        <f t="shared" si="21"/>
        <v>5.8139534883720929E-3</v>
      </c>
      <c r="U60" s="70">
        <f t="shared" si="22"/>
        <v>-3.1000000000000194E-3</v>
      </c>
      <c r="V60" s="71">
        <f t="shared" si="23"/>
        <v>-3.1000000000000194E-3</v>
      </c>
    </row>
    <row r="61" spans="1:22">
      <c r="A61" s="159">
        <v>53</v>
      </c>
      <c r="B61" s="160" t="s">
        <v>110</v>
      </c>
      <c r="C61" s="155" t="s">
        <v>111</v>
      </c>
      <c r="D61" s="62">
        <v>1854715594.29</v>
      </c>
      <c r="E61" s="41">
        <f t="shared" si="35"/>
        <v>3.9088056404535494E-4</v>
      </c>
      <c r="F61" s="48">
        <v>1</v>
      </c>
      <c r="G61" s="48">
        <v>1</v>
      </c>
      <c r="H61" s="42">
        <v>1797</v>
      </c>
      <c r="I61" s="64">
        <v>0.1673</v>
      </c>
      <c r="J61" s="64">
        <v>0.1673</v>
      </c>
      <c r="K61" s="62">
        <v>1875123968.24</v>
      </c>
      <c r="L61" s="41">
        <f t="shared" si="36"/>
        <v>3.951816206307331E-4</v>
      </c>
      <c r="M61" s="48">
        <v>1</v>
      </c>
      <c r="N61" s="48">
        <v>1</v>
      </c>
      <c r="O61" s="42">
        <v>1841</v>
      </c>
      <c r="P61" s="64">
        <v>0.1676</v>
      </c>
      <c r="Q61" s="64">
        <v>0.1676</v>
      </c>
      <c r="R61" s="69">
        <f t="shared" si="19"/>
        <v>1.1003505881349176E-2</v>
      </c>
      <c r="S61" s="69">
        <f t="shared" si="20"/>
        <v>0</v>
      </c>
      <c r="T61" s="69">
        <f t="shared" si="21"/>
        <v>2.4485253199777408E-2</v>
      </c>
      <c r="U61" s="70">
        <f t="shared" si="22"/>
        <v>2.9999999999999472E-4</v>
      </c>
      <c r="V61" s="71">
        <f t="shared" si="23"/>
        <v>2.9999999999999472E-4</v>
      </c>
    </row>
    <row r="62" spans="1:22">
      <c r="A62" s="159">
        <v>54</v>
      </c>
      <c r="B62" s="160" t="s">
        <v>112</v>
      </c>
      <c r="C62" s="155" t="s">
        <v>113</v>
      </c>
      <c r="D62" s="62">
        <v>16280111943.2703</v>
      </c>
      <c r="E62" s="41">
        <f t="shared" si="35"/>
        <v>3.4310270311513954E-3</v>
      </c>
      <c r="F62" s="48">
        <v>100</v>
      </c>
      <c r="G62" s="48">
        <v>100</v>
      </c>
      <c r="H62" s="42">
        <v>151</v>
      </c>
      <c r="I62" s="64">
        <v>0.17130000000000001</v>
      </c>
      <c r="J62" s="64">
        <v>0.17130000000000001</v>
      </c>
      <c r="K62" s="62">
        <v>16300233420.0802</v>
      </c>
      <c r="L62" s="41">
        <f t="shared" si="36"/>
        <v>3.4352676242801173E-3</v>
      </c>
      <c r="M62" s="48">
        <v>100</v>
      </c>
      <c r="N62" s="48">
        <v>100</v>
      </c>
      <c r="O62" s="42">
        <v>149</v>
      </c>
      <c r="P62" s="64">
        <v>0.16819999999999999</v>
      </c>
      <c r="Q62" s="64">
        <v>0.16819999999999999</v>
      </c>
      <c r="R62" s="69">
        <f t="shared" si="19"/>
        <v>1.235954450437172E-3</v>
      </c>
      <c r="S62" s="69">
        <f t="shared" si="20"/>
        <v>0</v>
      </c>
      <c r="T62" s="69">
        <f t="shared" si="21"/>
        <v>-1.3245033112582781E-2</v>
      </c>
      <c r="U62" s="70">
        <f t="shared" si="22"/>
        <v>-3.1000000000000194E-3</v>
      </c>
      <c r="V62" s="71">
        <f t="shared" si="23"/>
        <v>-3.1000000000000194E-3</v>
      </c>
    </row>
    <row r="63" spans="1:22">
      <c r="A63" s="159">
        <v>55</v>
      </c>
      <c r="B63" s="160" t="s">
        <v>114</v>
      </c>
      <c r="C63" s="155" t="s">
        <v>77</v>
      </c>
      <c r="D63" s="62">
        <v>71439543.859999999</v>
      </c>
      <c r="E63" s="41">
        <f t="shared" si="35"/>
        <v>1.5055855078325004E-5</v>
      </c>
      <c r="F63" s="48">
        <v>1000</v>
      </c>
      <c r="G63" s="48">
        <v>1000</v>
      </c>
      <c r="H63" s="42">
        <v>23</v>
      </c>
      <c r="I63" s="64">
        <v>0.2432</v>
      </c>
      <c r="J63" s="64">
        <v>0.2432</v>
      </c>
      <c r="K63" s="62">
        <v>71712904.329999998</v>
      </c>
      <c r="L63" s="41">
        <f t="shared" si="36"/>
        <v>1.5113465687213105E-5</v>
      </c>
      <c r="M63" s="48">
        <v>1000</v>
      </c>
      <c r="N63" s="48">
        <v>1000</v>
      </c>
      <c r="O63" s="42">
        <v>23</v>
      </c>
      <c r="P63" s="64">
        <v>0.2432</v>
      </c>
      <c r="Q63" s="64">
        <v>0.2432</v>
      </c>
      <c r="R63" s="69">
        <f t="shared" si="19"/>
        <v>3.8264587822075548E-3</v>
      </c>
      <c r="S63" s="69">
        <f t="shared" si="20"/>
        <v>0</v>
      </c>
      <c r="T63" s="69">
        <f t="shared" si="21"/>
        <v>0</v>
      </c>
      <c r="U63" s="70">
        <f t="shared" si="22"/>
        <v>0</v>
      </c>
      <c r="V63" s="71">
        <f t="shared" si="23"/>
        <v>0</v>
      </c>
    </row>
    <row r="64" spans="1:22">
      <c r="A64" s="159">
        <v>56</v>
      </c>
      <c r="B64" s="160" t="s">
        <v>115</v>
      </c>
      <c r="C64" s="155" t="s">
        <v>50</v>
      </c>
      <c r="D64" s="58">
        <v>2281937716171.8701</v>
      </c>
      <c r="E64" s="41">
        <f t="shared" si="35"/>
        <v>0.4809174540612417</v>
      </c>
      <c r="F64" s="48">
        <v>100</v>
      </c>
      <c r="G64" s="48">
        <v>100</v>
      </c>
      <c r="H64" s="42">
        <v>261658</v>
      </c>
      <c r="I64" s="64">
        <v>0.16089999999999999</v>
      </c>
      <c r="J64" s="64">
        <v>0.16089999999999999</v>
      </c>
      <c r="K64" s="58">
        <v>2312672828286.1802</v>
      </c>
      <c r="L64" s="41">
        <f t="shared" si="36"/>
        <v>0.4873948665530678</v>
      </c>
      <c r="M64" s="48">
        <v>100</v>
      </c>
      <c r="N64" s="48">
        <v>100</v>
      </c>
      <c r="O64" s="42">
        <v>264098</v>
      </c>
      <c r="P64" s="64">
        <v>0.16139999999999999</v>
      </c>
      <c r="Q64" s="64">
        <v>0.16139999999999999</v>
      </c>
      <c r="R64" s="69">
        <f t="shared" si="19"/>
        <v>1.3468865471872135E-2</v>
      </c>
      <c r="S64" s="69">
        <f t="shared" si="20"/>
        <v>0</v>
      </c>
      <c r="T64" s="69">
        <f t="shared" si="21"/>
        <v>9.3251496227900535E-3</v>
      </c>
      <c r="U64" s="70">
        <f t="shared" si="22"/>
        <v>5.0000000000000044E-4</v>
      </c>
      <c r="V64" s="71">
        <f t="shared" si="23"/>
        <v>5.0000000000000044E-4</v>
      </c>
    </row>
    <row r="65" spans="1:22">
      <c r="A65" s="159">
        <v>57</v>
      </c>
      <c r="B65" s="160" t="s">
        <v>116</v>
      </c>
      <c r="C65" s="160" t="s">
        <v>117</v>
      </c>
      <c r="D65" s="58">
        <v>7234798346.6599998</v>
      </c>
      <c r="E65" s="41">
        <f t="shared" si="35"/>
        <v>1.5247308359314362E-3</v>
      </c>
      <c r="F65" s="48">
        <v>100</v>
      </c>
      <c r="G65" s="48">
        <v>100</v>
      </c>
      <c r="H65" s="42">
        <v>968</v>
      </c>
      <c r="I65" s="64">
        <v>0.2021</v>
      </c>
      <c r="J65" s="64">
        <v>0.2021</v>
      </c>
      <c r="K65" s="58">
        <v>7282961133.5</v>
      </c>
      <c r="L65" s="41">
        <f t="shared" si="36"/>
        <v>1.5348811238483403E-3</v>
      </c>
      <c r="M65" s="48">
        <v>100</v>
      </c>
      <c r="N65" s="48">
        <v>100</v>
      </c>
      <c r="O65" s="42">
        <v>973</v>
      </c>
      <c r="P65" s="64">
        <v>0.20499999999999999</v>
      </c>
      <c r="Q65" s="64">
        <v>0.20499999999999999</v>
      </c>
      <c r="R65" s="69">
        <f t="shared" si="19"/>
        <v>6.6571014881478862E-3</v>
      </c>
      <c r="S65" s="69">
        <f t="shared" si="20"/>
        <v>0</v>
      </c>
      <c r="T65" s="69">
        <f t="shared" si="21"/>
        <v>5.1652892561983473E-3</v>
      </c>
      <c r="U65" s="70">
        <f t="shared" si="22"/>
        <v>2.8999999999999859E-3</v>
      </c>
      <c r="V65" s="71">
        <f t="shared" si="23"/>
        <v>2.8999999999999859E-3</v>
      </c>
    </row>
    <row r="66" spans="1:22">
      <c r="A66" s="159">
        <v>58</v>
      </c>
      <c r="B66" s="161" t="s">
        <v>118</v>
      </c>
      <c r="C66" s="155" t="s">
        <v>119</v>
      </c>
      <c r="D66" s="58">
        <v>11866967790.610001</v>
      </c>
      <c r="E66" s="41">
        <f t="shared" si="35"/>
        <v>2.5009586794774198E-3</v>
      </c>
      <c r="F66" s="48">
        <v>1</v>
      </c>
      <c r="G66" s="48">
        <v>1</v>
      </c>
      <c r="H66" s="42">
        <v>624</v>
      </c>
      <c r="I66" s="64">
        <v>0.19375600000000001</v>
      </c>
      <c r="J66" s="64">
        <v>0.19375600000000001</v>
      </c>
      <c r="K66" s="58">
        <v>11804696359.1</v>
      </c>
      <c r="L66" s="41">
        <f t="shared" si="36"/>
        <v>2.4878350003821039E-3</v>
      </c>
      <c r="M66" s="48">
        <v>1</v>
      </c>
      <c r="N66" s="48">
        <v>1</v>
      </c>
      <c r="O66" s="42">
        <v>629</v>
      </c>
      <c r="P66" s="64">
        <v>0.19631399999999999</v>
      </c>
      <c r="Q66" s="64">
        <v>0.19631399999999999</v>
      </c>
      <c r="R66" s="69">
        <f t="shared" si="19"/>
        <v>-5.2474593854778869E-3</v>
      </c>
      <c r="S66" s="69">
        <f t="shared" si="20"/>
        <v>0</v>
      </c>
      <c r="T66" s="69">
        <f t="shared" si="21"/>
        <v>8.0128205128205121E-3</v>
      </c>
      <c r="U66" s="70">
        <f t="shared" si="22"/>
        <v>2.557999999999977E-3</v>
      </c>
      <c r="V66" s="71">
        <f t="shared" si="23"/>
        <v>2.557999999999977E-3</v>
      </c>
    </row>
    <row r="67" spans="1:22">
      <c r="A67" s="159">
        <v>59</v>
      </c>
      <c r="B67" s="160" t="s">
        <v>120</v>
      </c>
      <c r="C67" s="155" t="s">
        <v>53</v>
      </c>
      <c r="D67" s="58">
        <v>206320901194.39001</v>
      </c>
      <c r="E67" s="41">
        <f t="shared" si="35"/>
        <v>4.3482046779296839E-2</v>
      </c>
      <c r="F67" s="48">
        <v>1</v>
      </c>
      <c r="G67" s="48">
        <v>1</v>
      </c>
      <c r="H67" s="42">
        <v>77389</v>
      </c>
      <c r="I67" s="64">
        <v>0.16259999999999999</v>
      </c>
      <c r="J67" s="64">
        <v>0.16259999999999999</v>
      </c>
      <c r="K67" s="58">
        <v>209043128710.67001</v>
      </c>
      <c r="L67" s="41">
        <f t="shared" si="36"/>
        <v>4.4055755131293874E-2</v>
      </c>
      <c r="M67" s="48">
        <v>1</v>
      </c>
      <c r="N67" s="48">
        <v>1</v>
      </c>
      <c r="O67" s="42">
        <v>73641</v>
      </c>
      <c r="P67" s="64">
        <v>0.15840000000000001</v>
      </c>
      <c r="Q67" s="64">
        <v>0.15840000000000001</v>
      </c>
      <c r="R67" s="69">
        <f t="shared" si="19"/>
        <v>1.319414320372316E-2</v>
      </c>
      <c r="S67" s="69">
        <f t="shared" si="20"/>
        <v>0</v>
      </c>
      <c r="T67" s="69">
        <f t="shared" si="21"/>
        <v>-4.8430655519518279E-2</v>
      </c>
      <c r="U67" s="70">
        <f t="shared" si="22"/>
        <v>-4.1999999999999815E-3</v>
      </c>
      <c r="V67" s="71">
        <f t="shared" si="23"/>
        <v>-4.1999999999999815E-3</v>
      </c>
    </row>
    <row r="68" spans="1:22">
      <c r="A68" s="159">
        <v>60</v>
      </c>
      <c r="B68" s="160" t="s">
        <v>121</v>
      </c>
      <c r="C68" s="155" t="s">
        <v>122</v>
      </c>
      <c r="D68" s="58">
        <v>2226154699.7399998</v>
      </c>
      <c r="E68" s="41">
        <f t="shared" si="35"/>
        <v>4.6916120582880707E-4</v>
      </c>
      <c r="F68" s="48">
        <v>1</v>
      </c>
      <c r="G68" s="48">
        <v>1</v>
      </c>
      <c r="H68" s="42">
        <v>151</v>
      </c>
      <c r="I68" s="64">
        <v>0.1535</v>
      </c>
      <c r="J68" s="64">
        <v>0.1535</v>
      </c>
      <c r="K68" s="58">
        <v>2240911044.4299998</v>
      </c>
      <c r="L68" s="41">
        <f t="shared" si="36"/>
        <v>4.7227109952541066E-4</v>
      </c>
      <c r="M68" s="48">
        <v>1</v>
      </c>
      <c r="N68" s="48">
        <v>1</v>
      </c>
      <c r="O68" s="42">
        <v>150</v>
      </c>
      <c r="P68" s="64">
        <v>0.15659999999999999</v>
      </c>
      <c r="Q68" s="64">
        <v>0.15659999999999999</v>
      </c>
      <c r="R68" s="69">
        <f t="shared" si="19"/>
        <v>6.6286249970514185E-3</v>
      </c>
      <c r="S68" s="69">
        <f t="shared" si="20"/>
        <v>0</v>
      </c>
      <c r="T68" s="69">
        <f t="shared" si="21"/>
        <v>-6.6225165562913907E-3</v>
      </c>
      <c r="U68" s="70">
        <f t="shared" si="22"/>
        <v>3.0999999999999917E-3</v>
      </c>
      <c r="V68" s="71">
        <f t="shared" si="23"/>
        <v>3.0999999999999917E-3</v>
      </c>
    </row>
    <row r="69" spans="1:22">
      <c r="A69" s="159">
        <v>61</v>
      </c>
      <c r="B69" s="160" t="s">
        <v>123</v>
      </c>
      <c r="C69" s="155" t="s">
        <v>124</v>
      </c>
      <c r="D69" s="58">
        <v>8393016634.3000002</v>
      </c>
      <c r="E69" s="41">
        <f t="shared" si="35"/>
        <v>1.7688248732890481E-3</v>
      </c>
      <c r="F69" s="48">
        <v>1</v>
      </c>
      <c r="G69" s="48">
        <v>1</v>
      </c>
      <c r="H69" s="42">
        <v>561</v>
      </c>
      <c r="I69" s="64">
        <v>0.17380000000000001</v>
      </c>
      <c r="J69" s="64">
        <v>0.17380000000000001</v>
      </c>
      <c r="K69" s="58">
        <v>8416087560.9899998</v>
      </c>
      <c r="L69" s="41">
        <f t="shared" si="36"/>
        <v>1.773687061791371E-3</v>
      </c>
      <c r="M69" s="48">
        <v>1</v>
      </c>
      <c r="N69" s="48">
        <v>1</v>
      </c>
      <c r="O69" s="42">
        <v>561</v>
      </c>
      <c r="P69" s="64">
        <v>0.17680000000000001</v>
      </c>
      <c r="Q69" s="64">
        <v>0.17680000000000001</v>
      </c>
      <c r="R69" s="69">
        <f t="shared" si="19"/>
        <v>2.7488241350213595E-3</v>
      </c>
      <c r="S69" s="69">
        <f t="shared" si="20"/>
        <v>0</v>
      </c>
      <c r="T69" s="69">
        <f t="shared" si="21"/>
        <v>0</v>
      </c>
      <c r="U69" s="70">
        <f t="shared" si="22"/>
        <v>3.0000000000000027E-3</v>
      </c>
      <c r="V69" s="71">
        <f t="shared" si="23"/>
        <v>3.0000000000000027E-3</v>
      </c>
    </row>
    <row r="70" spans="1:22">
      <c r="A70" s="159">
        <v>62</v>
      </c>
      <c r="B70" s="160" t="s">
        <v>125</v>
      </c>
      <c r="C70" s="155" t="s">
        <v>126</v>
      </c>
      <c r="D70" s="58">
        <v>9905617573.6900005</v>
      </c>
      <c r="E70" s="41">
        <f t="shared" si="35"/>
        <v>2.0876049116865959E-3</v>
      </c>
      <c r="F70" s="48">
        <v>1</v>
      </c>
      <c r="G70" s="48">
        <v>1</v>
      </c>
      <c r="H70" s="42">
        <v>5372</v>
      </c>
      <c r="I70" s="64">
        <v>0.1996</v>
      </c>
      <c r="J70" s="64">
        <v>0.1996</v>
      </c>
      <c r="K70" s="58">
        <v>10133254831.040001</v>
      </c>
      <c r="L70" s="41">
        <f t="shared" si="36"/>
        <v>2.1355793719351861E-3</v>
      </c>
      <c r="M70" s="48">
        <v>1</v>
      </c>
      <c r="N70" s="48">
        <v>1</v>
      </c>
      <c r="O70" s="42">
        <v>5426</v>
      </c>
      <c r="P70" s="64">
        <v>0.1953</v>
      </c>
      <c r="Q70" s="64">
        <v>0.1953</v>
      </c>
      <c r="R70" s="69">
        <f t="shared" si="19"/>
        <v>2.2980622425261051E-2</v>
      </c>
      <c r="S70" s="69">
        <f t="shared" si="20"/>
        <v>0</v>
      </c>
      <c r="T70" s="69">
        <f t="shared" si="21"/>
        <v>1.0052122114668651E-2</v>
      </c>
      <c r="U70" s="70">
        <f t="shared" si="22"/>
        <v>-4.2999999999999983E-3</v>
      </c>
      <c r="V70" s="71">
        <f t="shared" si="23"/>
        <v>-4.2999999999999983E-3</v>
      </c>
    </row>
    <row r="71" spans="1:22">
      <c r="A71" s="159">
        <v>63</v>
      </c>
      <c r="B71" s="160" t="s">
        <v>127</v>
      </c>
      <c r="C71" s="155" t="s">
        <v>128</v>
      </c>
      <c r="D71" s="58">
        <v>128023121213.53</v>
      </c>
      <c r="E71" s="41">
        <f t="shared" si="35"/>
        <v>2.6980821202372988E-2</v>
      </c>
      <c r="F71" s="48">
        <v>1</v>
      </c>
      <c r="G71" s="48">
        <v>1</v>
      </c>
      <c r="H71" s="42">
        <v>6953</v>
      </c>
      <c r="I71" s="64">
        <v>0.1782</v>
      </c>
      <c r="J71" s="64">
        <v>0.1782</v>
      </c>
      <c r="K71" s="58">
        <v>129163738466.34</v>
      </c>
      <c r="L71" s="41">
        <f t="shared" si="36"/>
        <v>2.7221205828733403E-2</v>
      </c>
      <c r="M71" s="48">
        <v>1</v>
      </c>
      <c r="N71" s="48">
        <v>1</v>
      </c>
      <c r="O71" s="42">
        <v>6988</v>
      </c>
      <c r="P71" s="64">
        <v>0.1749</v>
      </c>
      <c r="Q71" s="64">
        <v>0.1749</v>
      </c>
      <c r="R71" s="69">
        <f t="shared" si="19"/>
        <v>8.9094629313681544E-3</v>
      </c>
      <c r="S71" s="69">
        <f t="shared" si="20"/>
        <v>0</v>
      </c>
      <c r="T71" s="69">
        <f t="shared" si="21"/>
        <v>5.0337983604199629E-3</v>
      </c>
      <c r="U71" s="70">
        <f t="shared" si="22"/>
        <v>-3.2999999999999974E-3</v>
      </c>
      <c r="V71" s="71">
        <f t="shared" si="23"/>
        <v>-3.2999999999999974E-3</v>
      </c>
    </row>
    <row r="72" spans="1:22">
      <c r="A72" s="49"/>
      <c r="B72" s="50"/>
      <c r="C72" s="51" t="s">
        <v>56</v>
      </c>
      <c r="D72" s="73">
        <f>SUM(D29:D71)</f>
        <v>4678050109959.2363</v>
      </c>
      <c r="E72" s="53">
        <f>(D72/$D$231)</f>
        <v>0.61527505136047456</v>
      </c>
      <c r="F72" s="54"/>
      <c r="G72" s="59"/>
      <c r="H72" s="56">
        <f>SUM(H29:H71)</f>
        <v>598300</v>
      </c>
      <c r="I72" s="77"/>
      <c r="J72" s="77"/>
      <c r="K72" s="73">
        <f>SUM(K29:K71)</f>
        <v>4744967555037.585</v>
      </c>
      <c r="L72" s="53">
        <f>(K72/$K$231)</f>
        <v>0.6184434977439357</v>
      </c>
      <c r="M72" s="54"/>
      <c r="N72" s="59"/>
      <c r="O72" s="56">
        <f>SUM(O29:O71)</f>
        <v>597901</v>
      </c>
      <c r="P72" s="77"/>
      <c r="Q72" s="77"/>
      <c r="R72" s="69">
        <f t="shared" si="19"/>
        <v>1.4304559272652114E-2</v>
      </c>
      <c r="S72" s="69" t="e">
        <f t="shared" si="20"/>
        <v>#DIV/0!</v>
      </c>
      <c r="T72" s="69">
        <f t="shared" si="21"/>
        <v>-6.6688952030753799E-4</v>
      </c>
      <c r="U72" s="70">
        <f t="shared" si="22"/>
        <v>0</v>
      </c>
      <c r="V72" s="71">
        <f t="shared" si="23"/>
        <v>0</v>
      </c>
    </row>
    <row r="73" spans="1:22" ht="3" customHeight="1">
      <c r="A73" s="49"/>
      <c r="B73" s="187"/>
      <c r="C73" s="187"/>
      <c r="D73" s="187"/>
      <c r="E73" s="187"/>
      <c r="F73" s="187"/>
      <c r="G73" s="187"/>
      <c r="H73" s="187"/>
      <c r="I73" s="187"/>
      <c r="J73" s="187"/>
      <c r="K73" s="187"/>
      <c r="L73" s="187"/>
      <c r="M73" s="187"/>
      <c r="N73" s="187"/>
      <c r="O73" s="187"/>
      <c r="P73" s="187"/>
      <c r="Q73" s="187"/>
      <c r="R73" s="187"/>
      <c r="S73" s="187"/>
      <c r="T73" s="187"/>
      <c r="U73" s="187"/>
      <c r="V73" s="187"/>
    </row>
    <row r="74" spans="1:22" ht="15" customHeight="1">
      <c r="A74" s="191" t="s">
        <v>129</v>
      </c>
      <c r="B74" s="191"/>
      <c r="C74" s="191"/>
      <c r="D74" s="191"/>
      <c r="E74" s="191"/>
      <c r="F74" s="191"/>
      <c r="G74" s="191"/>
      <c r="H74" s="191"/>
      <c r="I74" s="191"/>
      <c r="J74" s="191"/>
      <c r="K74" s="191"/>
      <c r="L74" s="191"/>
      <c r="M74" s="191"/>
      <c r="N74" s="191"/>
      <c r="O74" s="191"/>
      <c r="P74" s="191"/>
      <c r="Q74" s="191"/>
      <c r="R74" s="191"/>
      <c r="S74" s="191"/>
      <c r="T74" s="191"/>
      <c r="U74" s="191"/>
      <c r="V74" s="191"/>
    </row>
    <row r="75" spans="1:22">
      <c r="A75" s="159">
        <v>64</v>
      </c>
      <c r="B75" s="160" t="s">
        <v>130</v>
      </c>
      <c r="C75" s="155" t="s">
        <v>22</v>
      </c>
      <c r="D75" s="46">
        <v>711210350.05999994</v>
      </c>
      <c r="E75" s="41">
        <f>(D75/$D$114)</f>
        <v>2.9840130817324921E-3</v>
      </c>
      <c r="F75" s="74">
        <v>1.6584000000000001</v>
      </c>
      <c r="G75" s="74">
        <v>1.6584000000000001</v>
      </c>
      <c r="H75" s="42">
        <v>534</v>
      </c>
      <c r="I75" s="64">
        <v>-1.024E-3</v>
      </c>
      <c r="J75" s="64">
        <v>0.27210000000000001</v>
      </c>
      <c r="K75" s="46">
        <v>733289722.88</v>
      </c>
      <c r="L75" s="41">
        <f t="shared" ref="L75:L98" si="37">(K75/$K$114)</f>
        <v>3.0906752533771701E-3</v>
      </c>
      <c r="M75" s="74">
        <v>1.6597999999999999</v>
      </c>
      <c r="N75" s="74">
        <v>1.6597999999999999</v>
      </c>
      <c r="O75" s="42">
        <v>534</v>
      </c>
      <c r="P75" s="64">
        <v>-6.02E-4</v>
      </c>
      <c r="Q75" s="64">
        <v>0.27310000000000001</v>
      </c>
      <c r="R75" s="69">
        <f>((K75-D75)/D75)</f>
        <v>3.104478558015553E-2</v>
      </c>
      <c r="S75" s="69">
        <f>((N75-G75)/G75)</f>
        <v>8.4418716835494797E-4</v>
      </c>
      <c r="T75" s="69">
        <f>((O75-H75)/H75)</f>
        <v>0</v>
      </c>
      <c r="U75" s="70">
        <f>P75-I75</f>
        <v>4.2199999999999996E-4</v>
      </c>
      <c r="V75" s="71">
        <f>Q75-J75</f>
        <v>1.0000000000000009E-3</v>
      </c>
    </row>
    <row r="76" spans="1:22">
      <c r="A76" s="159">
        <v>65</v>
      </c>
      <c r="B76" s="160" t="s">
        <v>131</v>
      </c>
      <c r="C76" s="155" t="s">
        <v>24</v>
      </c>
      <c r="D76" s="46">
        <v>1401618365.1099999</v>
      </c>
      <c r="E76" s="41">
        <f>(D76/$D$114)</f>
        <v>5.8807461628362177E-3</v>
      </c>
      <c r="F76" s="74">
        <v>1.3697999999999999</v>
      </c>
      <c r="G76" s="74">
        <v>1.3697999999999999</v>
      </c>
      <c r="H76" s="42">
        <v>1448</v>
      </c>
      <c r="I76" s="64">
        <v>0.1565</v>
      </c>
      <c r="J76" s="64">
        <v>0.1651</v>
      </c>
      <c r="K76" s="46">
        <v>1410022674.0599999</v>
      </c>
      <c r="L76" s="41">
        <f t="shared" si="37"/>
        <v>5.9429745835004729E-3</v>
      </c>
      <c r="M76" s="74">
        <v>1.3737999999999999</v>
      </c>
      <c r="N76" s="74">
        <v>1.3737999999999999</v>
      </c>
      <c r="O76" s="42">
        <v>1448</v>
      </c>
      <c r="P76" s="64">
        <v>0.15229999999999999</v>
      </c>
      <c r="Q76" s="64">
        <v>0.1653</v>
      </c>
      <c r="R76" s="69">
        <f t="shared" ref="R76:R114" si="38">((K76-D76)/D76)</f>
        <v>5.9961464255931553E-3</v>
      </c>
      <c r="S76" s="69">
        <f t="shared" ref="S76:S114" si="39">((N76-G76)/G76)</f>
        <v>2.920134326179007E-3</v>
      </c>
      <c r="T76" s="69">
        <f t="shared" ref="T76:T114" si="40">((O76-H76)/H76)</f>
        <v>0</v>
      </c>
      <c r="U76" s="70">
        <f t="shared" ref="U76:U114" si="41">P76-I76</f>
        <v>-4.2000000000000093E-3</v>
      </c>
      <c r="V76" s="71">
        <f t="shared" ref="V76:V114" si="42">Q76-J76</f>
        <v>2.0000000000000573E-4</v>
      </c>
    </row>
    <row r="77" spans="1:22">
      <c r="A77" s="159">
        <v>66</v>
      </c>
      <c r="B77" s="160" t="s">
        <v>132</v>
      </c>
      <c r="C77" s="155" t="s">
        <v>24</v>
      </c>
      <c r="D77" s="46">
        <v>832808406.25999999</v>
      </c>
      <c r="E77" s="41">
        <f>(D77/$D$114)</f>
        <v>3.4941999629884125E-3</v>
      </c>
      <c r="F77" s="74">
        <v>1.2076</v>
      </c>
      <c r="G77" s="74">
        <v>1.2076</v>
      </c>
      <c r="H77" s="42">
        <v>563</v>
      </c>
      <c r="I77" s="64">
        <v>0.1212</v>
      </c>
      <c r="J77" s="64">
        <v>0.1295</v>
      </c>
      <c r="K77" s="46">
        <v>835486241.44000006</v>
      </c>
      <c r="L77" s="41">
        <f t="shared" si="37"/>
        <v>3.5214139382917296E-3</v>
      </c>
      <c r="M77" s="74">
        <v>1.2104999999999999</v>
      </c>
      <c r="N77" s="74">
        <v>1.2104999999999999</v>
      </c>
      <c r="O77" s="42">
        <v>563</v>
      </c>
      <c r="P77" s="64">
        <v>0.12520000000000001</v>
      </c>
      <c r="Q77" s="64">
        <v>0.12970000000000001</v>
      </c>
      <c r="R77" s="69">
        <f t="shared" si="38"/>
        <v>3.2154276540336166E-3</v>
      </c>
      <c r="S77" s="69">
        <f t="shared" si="39"/>
        <v>2.4014574362370839E-3</v>
      </c>
      <c r="T77" s="69">
        <f t="shared" si="40"/>
        <v>0</v>
      </c>
      <c r="U77" s="70">
        <f t="shared" si="41"/>
        <v>4.0000000000000036E-3</v>
      </c>
      <c r="V77" s="71">
        <f t="shared" si="42"/>
        <v>2.0000000000000573E-4</v>
      </c>
    </row>
    <row r="78" spans="1:22">
      <c r="A78" s="159">
        <v>67</v>
      </c>
      <c r="B78" s="160" t="s">
        <v>133</v>
      </c>
      <c r="C78" s="155" t="s">
        <v>64</v>
      </c>
      <c r="D78" s="46">
        <v>324739062.27999997</v>
      </c>
      <c r="E78" s="41">
        <f>(D78/$D$114)</f>
        <v>1.3625021203801551E-3</v>
      </c>
      <c r="F78" s="45">
        <v>1261.3900000000001</v>
      </c>
      <c r="G78" s="45">
        <v>1261.3900000000001</v>
      </c>
      <c r="H78" s="42">
        <v>109</v>
      </c>
      <c r="I78" s="64">
        <v>2.3999999999999998E-3</v>
      </c>
      <c r="J78" s="64">
        <v>0.18079999999999999</v>
      </c>
      <c r="K78" s="46">
        <v>325380368.91000003</v>
      </c>
      <c r="L78" s="41">
        <f t="shared" si="37"/>
        <v>1.3714157211629724E-3</v>
      </c>
      <c r="M78" s="45">
        <v>1263.8800000000001</v>
      </c>
      <c r="N78" s="45">
        <v>1263.8800000000001</v>
      </c>
      <c r="O78" s="42">
        <v>109</v>
      </c>
      <c r="P78" s="64">
        <v>1.1999999999999999E-3</v>
      </c>
      <c r="Q78" s="64">
        <v>0.1792</v>
      </c>
      <c r="R78" s="69">
        <f t="shared" si="38"/>
        <v>1.9748367366014645E-3</v>
      </c>
      <c r="S78" s="69">
        <f t="shared" si="39"/>
        <v>1.9740127954082473E-3</v>
      </c>
      <c r="T78" s="69">
        <f t="shared" si="40"/>
        <v>0</v>
      </c>
      <c r="U78" s="70">
        <f t="shared" si="41"/>
        <v>-1.1999999999999999E-3</v>
      </c>
      <c r="V78" s="71">
        <f t="shared" si="42"/>
        <v>-1.5999999999999903E-3</v>
      </c>
    </row>
    <row r="79" spans="1:22" ht="15" customHeight="1">
      <c r="A79" s="159">
        <v>68</v>
      </c>
      <c r="B79" s="160" t="s">
        <v>134</v>
      </c>
      <c r="C79" s="155" t="s">
        <v>28</v>
      </c>
      <c r="D79" s="46">
        <v>1922621763.0599999</v>
      </c>
      <c r="E79" s="41">
        <f>(D79/$K$114)</f>
        <v>8.1034812288871324E-3</v>
      </c>
      <c r="F79" s="45">
        <v>1.0771999999999999</v>
      </c>
      <c r="G79" s="45">
        <v>1.0771999999999999</v>
      </c>
      <c r="H79" s="42">
        <v>1011</v>
      </c>
      <c r="I79" s="64">
        <v>9.1000000000000004E-3</v>
      </c>
      <c r="J79" s="64">
        <v>0.13070000000000001</v>
      </c>
      <c r="K79" s="46">
        <v>1914152152.6700001</v>
      </c>
      <c r="L79" s="41">
        <f t="shared" si="37"/>
        <v>8.0677834488401007E-3</v>
      </c>
      <c r="M79" s="45">
        <v>1.0785</v>
      </c>
      <c r="N79" s="45">
        <v>1.0785</v>
      </c>
      <c r="O79" s="42">
        <v>1011</v>
      </c>
      <c r="P79" s="64">
        <v>1.1999999999999999E-3</v>
      </c>
      <c r="Q79" s="64">
        <v>0.13189999999999999</v>
      </c>
      <c r="R79" s="69">
        <f t="shared" si="38"/>
        <v>-4.4052400491502979E-3</v>
      </c>
      <c r="S79" s="69">
        <f t="shared" si="39"/>
        <v>1.2068325287783875E-3</v>
      </c>
      <c r="T79" s="69">
        <f t="shared" si="40"/>
        <v>0</v>
      </c>
      <c r="U79" s="70">
        <f t="shared" si="41"/>
        <v>-7.9000000000000008E-3</v>
      </c>
      <c r="V79" s="71">
        <f t="shared" si="42"/>
        <v>1.1999999999999789E-3</v>
      </c>
    </row>
    <row r="80" spans="1:22">
      <c r="A80" s="159">
        <v>69</v>
      </c>
      <c r="B80" s="160" t="s">
        <v>135</v>
      </c>
      <c r="C80" s="155" t="s">
        <v>136</v>
      </c>
      <c r="D80" s="46">
        <v>478427720.17000002</v>
      </c>
      <c r="E80" s="41">
        <f t="shared" ref="E80:E98" si="43">(D80/$D$114)</f>
        <v>2.0073309893905403E-3</v>
      </c>
      <c r="F80" s="45">
        <v>2.7269999999999999</v>
      </c>
      <c r="G80" s="45">
        <v>2.7269999999999999</v>
      </c>
      <c r="H80" s="42">
        <v>1390</v>
      </c>
      <c r="I80" s="64">
        <v>0.14760000000000001</v>
      </c>
      <c r="J80" s="64">
        <v>0.1487</v>
      </c>
      <c r="K80" s="46">
        <v>479382409.81</v>
      </c>
      <c r="L80" s="41">
        <f t="shared" si="37"/>
        <v>2.0205047264061286E-3</v>
      </c>
      <c r="M80" s="45">
        <v>2.7324000000000002</v>
      </c>
      <c r="N80" s="45">
        <v>2.7324000000000002</v>
      </c>
      <c r="O80" s="42">
        <v>1390</v>
      </c>
      <c r="P80" s="64">
        <v>0.1033</v>
      </c>
      <c r="Q80" s="64">
        <v>0.14879999999999999</v>
      </c>
      <c r="R80" s="69">
        <f t="shared" si="38"/>
        <v>1.9954730876813646E-3</v>
      </c>
      <c r="S80" s="69">
        <f t="shared" si="39"/>
        <v>1.9801980198020878E-3</v>
      </c>
      <c r="T80" s="69">
        <f t="shared" si="40"/>
        <v>0</v>
      </c>
      <c r="U80" s="70">
        <f t="shared" si="41"/>
        <v>-4.4300000000000006E-2</v>
      </c>
      <c r="V80" s="71">
        <f t="shared" si="42"/>
        <v>9.9999999999988987E-5</v>
      </c>
    </row>
    <row r="81" spans="1:22">
      <c r="A81" s="159">
        <v>70</v>
      </c>
      <c r="B81" s="155" t="s">
        <v>137</v>
      </c>
      <c r="C81" s="155" t="s">
        <v>138</v>
      </c>
      <c r="D81" s="46">
        <v>1126164158.1400001</v>
      </c>
      <c r="E81" s="41">
        <f t="shared" si="43"/>
        <v>4.7250276655626819E-3</v>
      </c>
      <c r="F81" s="45">
        <v>1108.6500000000001</v>
      </c>
      <c r="G81" s="45">
        <v>1108.6500000000001</v>
      </c>
      <c r="H81" s="42">
        <v>256</v>
      </c>
      <c r="I81" s="64">
        <v>3.5100000000000001E-3</v>
      </c>
      <c r="J81" s="64">
        <v>0.10571</v>
      </c>
      <c r="K81" s="46">
        <v>1133789365.29</v>
      </c>
      <c r="L81" s="41">
        <f t="shared" si="37"/>
        <v>4.7787042754142842E-3</v>
      </c>
      <c r="M81" s="45">
        <v>1118.0899999999999</v>
      </c>
      <c r="N81" s="45">
        <v>1118.0899999999999</v>
      </c>
      <c r="O81" s="42">
        <v>250</v>
      </c>
      <c r="P81" s="64">
        <v>6.9899999999999997E-3</v>
      </c>
      <c r="Q81" s="64">
        <v>0.11429</v>
      </c>
      <c r="R81" s="69">
        <f t="shared" ref="R81" si="44">((K81-D81)/D81)</f>
        <v>6.770955277598102E-3</v>
      </c>
      <c r="S81" s="69">
        <f t="shared" ref="S81" si="45">((N81-G81)/G81)</f>
        <v>8.5148604158208872E-3</v>
      </c>
      <c r="T81" s="69">
        <f t="shared" ref="T81" si="46">((O81-H81)/H81)</f>
        <v>-2.34375E-2</v>
      </c>
      <c r="U81" s="70">
        <f t="shared" si="41"/>
        <v>3.4799999999999996E-3</v>
      </c>
      <c r="V81" s="71">
        <f t="shared" si="42"/>
        <v>8.5800000000000043E-3</v>
      </c>
    </row>
    <row r="82" spans="1:22">
      <c r="A82" s="159">
        <v>71</v>
      </c>
      <c r="B82" s="160" t="s">
        <v>139</v>
      </c>
      <c r="C82" s="155" t="s">
        <v>69</v>
      </c>
      <c r="D82" s="46">
        <v>230391001.31</v>
      </c>
      <c r="E82" s="41">
        <f t="shared" si="43"/>
        <v>9.6664757728074247E-4</v>
      </c>
      <c r="F82" s="45">
        <v>12.532</v>
      </c>
      <c r="G82" s="45">
        <v>12.577999999999999</v>
      </c>
      <c r="H82" s="42">
        <v>46</v>
      </c>
      <c r="I82" s="64">
        <v>3.1700000000000001E-3</v>
      </c>
      <c r="J82" s="64">
        <v>0.25359999999999999</v>
      </c>
      <c r="K82" s="46">
        <v>230846709.05000001</v>
      </c>
      <c r="L82" s="41">
        <f t="shared" si="37"/>
        <v>9.7297451296907318E-4</v>
      </c>
      <c r="M82" s="45">
        <v>12.555999999999999</v>
      </c>
      <c r="N82" s="45">
        <v>12.593</v>
      </c>
      <c r="O82" s="42">
        <v>46</v>
      </c>
      <c r="P82" s="64">
        <v>4.2999999999999999E-4</v>
      </c>
      <c r="Q82" s="64">
        <v>0.25180000000000002</v>
      </c>
      <c r="R82" s="69">
        <f t="shared" si="38"/>
        <v>1.9779754305023272E-3</v>
      </c>
      <c r="S82" s="69">
        <f t="shared" si="39"/>
        <v>1.192558435363378E-3</v>
      </c>
      <c r="T82" s="69">
        <f t="shared" si="40"/>
        <v>0</v>
      </c>
      <c r="U82" s="70">
        <f t="shared" si="41"/>
        <v>-2.7400000000000002E-3</v>
      </c>
      <c r="V82" s="71">
        <f t="shared" si="42"/>
        <v>-1.7999999999999683E-3</v>
      </c>
    </row>
    <row r="83" spans="1:22">
      <c r="A83" s="159">
        <v>72</v>
      </c>
      <c r="B83" s="160" t="s">
        <v>140</v>
      </c>
      <c r="C83" s="155" t="s">
        <v>71</v>
      </c>
      <c r="D83" s="46">
        <v>2107728973.4565301</v>
      </c>
      <c r="E83" s="41">
        <f t="shared" si="43"/>
        <v>8.8433623456271142E-3</v>
      </c>
      <c r="F83" s="46">
        <v>4734.4154967843397</v>
      </c>
      <c r="G83" s="46">
        <v>4734.4154967843397</v>
      </c>
      <c r="H83" s="42">
        <v>1164</v>
      </c>
      <c r="I83" s="64">
        <v>0.1154</v>
      </c>
      <c r="J83" s="64">
        <v>8.2600000000000007E-2</v>
      </c>
      <c r="K83" s="46">
        <v>2019324494.5429001</v>
      </c>
      <c r="L83" s="41">
        <f t="shared" si="37"/>
        <v>8.5110646571047496E-3</v>
      </c>
      <c r="M83" s="46">
        <v>4744.8889697040204</v>
      </c>
      <c r="N83" s="46">
        <v>4744.8889697040204</v>
      </c>
      <c r="O83" s="42">
        <v>1166</v>
      </c>
      <c r="P83" s="64">
        <v>0.1154</v>
      </c>
      <c r="Q83" s="64">
        <v>8.3400000000000002E-2</v>
      </c>
      <c r="R83" s="69">
        <f t="shared" si="38"/>
        <v>-4.1943001224039142E-2</v>
      </c>
      <c r="S83" s="69">
        <f t="shared" si="39"/>
        <v>2.2121997798449249E-3</v>
      </c>
      <c r="T83" s="69">
        <f t="shared" si="40"/>
        <v>1.718213058419244E-3</v>
      </c>
      <c r="U83" s="70">
        <f t="shared" si="41"/>
        <v>0</v>
      </c>
      <c r="V83" s="71">
        <f t="shared" si="42"/>
        <v>7.9999999999999516E-4</v>
      </c>
    </row>
    <row r="84" spans="1:22">
      <c r="A84" s="159">
        <v>73</v>
      </c>
      <c r="B84" s="160" t="s">
        <v>141</v>
      </c>
      <c r="C84" s="155" t="s">
        <v>73</v>
      </c>
      <c r="D84" s="46">
        <v>372391543.13</v>
      </c>
      <c r="E84" s="41">
        <f t="shared" si="43"/>
        <v>1.5624368179297775E-3</v>
      </c>
      <c r="F84" s="74">
        <v>111.8</v>
      </c>
      <c r="G84" s="74">
        <v>111.8</v>
      </c>
      <c r="H84" s="42">
        <v>97</v>
      </c>
      <c r="I84" s="64">
        <v>2.2000000000000001E-3</v>
      </c>
      <c r="J84" s="64">
        <v>0.1201</v>
      </c>
      <c r="K84" s="46">
        <v>371602873.64999998</v>
      </c>
      <c r="L84" s="41">
        <f t="shared" si="37"/>
        <v>1.5662346952895266E-3</v>
      </c>
      <c r="M84" s="74">
        <v>112.01</v>
      </c>
      <c r="N84" s="74">
        <v>112.01</v>
      </c>
      <c r="O84" s="42">
        <v>97</v>
      </c>
      <c r="P84" s="64">
        <v>1.9E-3</v>
      </c>
      <c r="Q84" s="64">
        <v>0.1201</v>
      </c>
      <c r="R84" s="69">
        <f t="shared" si="38"/>
        <v>-2.1178501352934823E-3</v>
      </c>
      <c r="S84" s="69">
        <f t="shared" si="39"/>
        <v>1.8783542039356705E-3</v>
      </c>
      <c r="T84" s="69">
        <f t="shared" si="40"/>
        <v>0</v>
      </c>
      <c r="U84" s="70">
        <f t="shared" si="41"/>
        <v>-3.0000000000000014E-4</v>
      </c>
      <c r="V84" s="71">
        <f t="shared" si="42"/>
        <v>0</v>
      </c>
    </row>
    <row r="85" spans="1:22" ht="13.5" customHeight="1">
      <c r="A85" s="159">
        <v>74</v>
      </c>
      <c r="B85" s="160" t="s">
        <v>142</v>
      </c>
      <c r="C85" s="155" t="s">
        <v>75</v>
      </c>
      <c r="D85" s="46">
        <v>594716777.28999996</v>
      </c>
      <c r="E85" s="41">
        <f t="shared" si="43"/>
        <v>2.4952429941569811E-3</v>
      </c>
      <c r="F85" s="74">
        <v>1.4997</v>
      </c>
      <c r="G85" s="74">
        <v>1.4997</v>
      </c>
      <c r="H85" s="42">
        <v>1664</v>
      </c>
      <c r="I85" s="64">
        <v>2.8999999999999998E-3</v>
      </c>
      <c r="J85" s="64">
        <v>0.15390000000000001</v>
      </c>
      <c r="K85" s="46">
        <v>594716777.28999996</v>
      </c>
      <c r="L85" s="41">
        <f t="shared" si="37"/>
        <v>2.50661691959812E-3</v>
      </c>
      <c r="M85" s="74">
        <v>1.5125</v>
      </c>
      <c r="N85" s="74">
        <v>1.5125</v>
      </c>
      <c r="O85" s="42">
        <v>1698</v>
      </c>
      <c r="P85" s="64">
        <v>8.5350403414015119E-3</v>
      </c>
      <c r="Q85" s="64">
        <v>0.16327780345747123</v>
      </c>
      <c r="R85" s="69">
        <f t="shared" si="38"/>
        <v>0</v>
      </c>
      <c r="S85" s="69">
        <f t="shared" si="39"/>
        <v>8.5350403414015622E-3</v>
      </c>
      <c r="T85" s="69">
        <f t="shared" si="40"/>
        <v>2.0432692307692308E-2</v>
      </c>
      <c r="U85" s="70">
        <f t="shared" si="41"/>
        <v>5.6350403414015121E-3</v>
      </c>
      <c r="V85" s="71">
        <f t="shared" si="42"/>
        <v>9.3778034574712177E-3</v>
      </c>
    </row>
    <row r="86" spans="1:22" ht="13.5" customHeight="1">
      <c r="A86" s="159">
        <v>75</v>
      </c>
      <c r="B86" s="160" t="s">
        <v>143</v>
      </c>
      <c r="C86" s="155" t="s">
        <v>75</v>
      </c>
      <c r="D86" s="46">
        <v>56082659.060000002</v>
      </c>
      <c r="E86" s="41">
        <f t="shared" si="43"/>
        <v>2.35305051844739E-4</v>
      </c>
      <c r="F86" s="74">
        <v>1.0457000000000001</v>
      </c>
      <c r="G86" s="74">
        <v>1.0457000000000001</v>
      </c>
      <c r="H86" s="42">
        <v>21</v>
      </c>
      <c r="I86" s="64">
        <v>1.0456999999999999E-2</v>
      </c>
      <c r="J86" s="64">
        <v>1.0456999999999999E-2</v>
      </c>
      <c r="K86" s="46">
        <v>57823243.170000002</v>
      </c>
      <c r="L86" s="41">
        <f t="shared" si="37"/>
        <v>2.4371385710089262E-4</v>
      </c>
      <c r="M86" s="74">
        <v>1.0477000000000001</v>
      </c>
      <c r="N86" s="74">
        <v>1.0477000000000001</v>
      </c>
      <c r="O86" s="42">
        <v>30</v>
      </c>
      <c r="P86" s="64">
        <v>1.9125944343501011E-3</v>
      </c>
      <c r="Q86" s="64">
        <v>5.7001614205004048E-2</v>
      </c>
      <c r="R86" s="69">
        <f t="shared" ref="R86" si="47">((K86-D86)/D86)</f>
        <v>3.1036048204095251E-2</v>
      </c>
      <c r="S86" s="69">
        <f t="shared" ref="S86" si="48">((N86-G86)/G86)</f>
        <v>1.9125944343501976E-3</v>
      </c>
      <c r="T86" s="69">
        <f t="shared" ref="T86" si="49">((O86-H86)/H86)</f>
        <v>0.42857142857142855</v>
      </c>
      <c r="U86" s="70">
        <f t="shared" ref="U86" si="50">P86-I86</f>
        <v>-8.5444055656498982E-3</v>
      </c>
      <c r="V86" s="71">
        <f t="shared" ref="V86" si="51">Q86-J86</f>
        <v>4.6544614205004047E-2</v>
      </c>
    </row>
    <row r="87" spans="1:22">
      <c r="A87" s="159">
        <v>76</v>
      </c>
      <c r="B87" s="160" t="s">
        <v>144</v>
      </c>
      <c r="C87" s="155" t="s">
        <v>30</v>
      </c>
      <c r="D87" s="46">
        <v>223633193.96000001</v>
      </c>
      <c r="E87" s="41">
        <f t="shared" si="43"/>
        <v>9.3829396075290831E-4</v>
      </c>
      <c r="F87" s="74">
        <v>139.1148</v>
      </c>
      <c r="G87" s="74">
        <v>139.1148</v>
      </c>
      <c r="H87" s="42">
        <v>380</v>
      </c>
      <c r="I87" s="64">
        <v>5.0500000000000002E-4</v>
      </c>
      <c r="J87" s="64">
        <v>0.18049999999999999</v>
      </c>
      <c r="K87" s="46">
        <v>230744061.24000001</v>
      </c>
      <c r="L87" s="41">
        <f t="shared" si="37"/>
        <v>9.7254187217747125E-4</v>
      </c>
      <c r="M87" s="74">
        <v>139.33269999999999</v>
      </c>
      <c r="N87" s="74">
        <v>139.33269999999999</v>
      </c>
      <c r="O87" s="42">
        <v>382</v>
      </c>
      <c r="P87" s="64">
        <v>5.0500000000000002E-4</v>
      </c>
      <c r="Q87" s="64">
        <v>0.18149999999999999</v>
      </c>
      <c r="R87" s="69">
        <f t="shared" si="38"/>
        <v>3.179701167829263E-2</v>
      </c>
      <c r="S87" s="69">
        <f t="shared" si="39"/>
        <v>1.5663322665883572E-3</v>
      </c>
      <c r="T87" s="69">
        <f t="shared" si="40"/>
        <v>5.263157894736842E-3</v>
      </c>
      <c r="U87" s="70">
        <f t="shared" si="41"/>
        <v>0</v>
      </c>
      <c r="V87" s="71">
        <f t="shared" si="42"/>
        <v>1.0000000000000009E-3</v>
      </c>
    </row>
    <row r="88" spans="1:22">
      <c r="A88" s="159">
        <v>77</v>
      </c>
      <c r="B88" s="160" t="s">
        <v>145</v>
      </c>
      <c r="C88" s="155" t="s">
        <v>77</v>
      </c>
      <c r="D88" s="46">
        <v>2714710425.9299998</v>
      </c>
      <c r="E88" s="41">
        <f t="shared" si="43"/>
        <v>1.1390064027340578E-2</v>
      </c>
      <c r="F88" s="45">
        <v>1279.8599999999999</v>
      </c>
      <c r="G88" s="45">
        <v>1279.8599999999999</v>
      </c>
      <c r="H88" s="42">
        <v>314</v>
      </c>
      <c r="I88" s="64">
        <v>1.9099999999999999E-2</v>
      </c>
      <c r="J88" s="64">
        <v>0.23480000000000001</v>
      </c>
      <c r="K88" s="46">
        <v>2671478799.23</v>
      </c>
      <c r="L88" s="41">
        <f t="shared" si="37"/>
        <v>1.1259769715950446E-2</v>
      </c>
      <c r="M88" s="45">
        <v>1284.1500000000001</v>
      </c>
      <c r="N88" s="45">
        <v>1284.1500000000001</v>
      </c>
      <c r="O88" s="42">
        <v>314</v>
      </c>
      <c r="P88" s="64">
        <v>1.9199999999999998E-2</v>
      </c>
      <c r="Q88" s="64">
        <v>0.23680000000000001</v>
      </c>
      <c r="R88" s="69">
        <f t="shared" si="38"/>
        <v>-1.5924949595752781E-2</v>
      </c>
      <c r="S88" s="69">
        <f t="shared" si="39"/>
        <v>3.3519291172473486E-3</v>
      </c>
      <c r="T88" s="69">
        <f t="shared" si="40"/>
        <v>0</v>
      </c>
      <c r="U88" s="70">
        <f t="shared" si="41"/>
        <v>9.9999999999999395E-5</v>
      </c>
      <c r="V88" s="71">
        <f t="shared" si="42"/>
        <v>2.0000000000000018E-3</v>
      </c>
    </row>
    <row r="89" spans="1:22">
      <c r="A89" s="159">
        <v>78</v>
      </c>
      <c r="B89" s="160" t="s">
        <v>146</v>
      </c>
      <c r="C89" s="155" t="s">
        <v>79</v>
      </c>
      <c r="D89" s="46">
        <v>147215537.06</v>
      </c>
      <c r="E89" s="41">
        <f t="shared" si="43"/>
        <v>6.1766970683744171E-4</v>
      </c>
      <c r="F89" s="45">
        <v>1103.6099999999999</v>
      </c>
      <c r="G89" s="45">
        <v>1136.69</v>
      </c>
      <c r="H89" s="42">
        <v>72</v>
      </c>
      <c r="I89" s="64">
        <v>3.0999999999999999E-3</v>
      </c>
      <c r="J89" s="64">
        <v>0.1082</v>
      </c>
      <c r="K89" s="46">
        <v>147504460.22999999</v>
      </c>
      <c r="L89" s="41">
        <f t="shared" si="37"/>
        <v>6.2170295146795923E-4</v>
      </c>
      <c r="M89" s="45">
        <v>1123.1099999999999</v>
      </c>
      <c r="N89" s="45">
        <v>1123.6300000000001</v>
      </c>
      <c r="O89" s="42">
        <v>72</v>
      </c>
      <c r="P89" s="64">
        <v>3.3999999999999998E-3</v>
      </c>
      <c r="Q89" s="64">
        <v>0.1116</v>
      </c>
      <c r="R89" s="69">
        <f t="shared" si="38"/>
        <v>1.9625861221579601E-3</v>
      </c>
      <c r="S89" s="69">
        <f t="shared" si="39"/>
        <v>-1.1489500215538049E-2</v>
      </c>
      <c r="T89" s="69">
        <f t="shared" si="40"/>
        <v>0</v>
      </c>
      <c r="U89" s="70">
        <f t="shared" si="41"/>
        <v>2.9999999999999992E-4</v>
      </c>
      <c r="V89" s="71">
        <f t="shared" si="42"/>
        <v>3.4000000000000002E-3</v>
      </c>
    </row>
    <row r="90" spans="1:22">
      <c r="A90" s="159">
        <v>79</v>
      </c>
      <c r="B90" s="160" t="s">
        <v>147</v>
      </c>
      <c r="C90" s="155" t="s">
        <v>82</v>
      </c>
      <c r="D90" s="46">
        <v>709332867.5</v>
      </c>
      <c r="E90" s="41">
        <f t="shared" si="43"/>
        <v>2.976135760319366E-3</v>
      </c>
      <c r="F90" s="75">
        <v>1.17798</v>
      </c>
      <c r="G90" s="75">
        <v>1.17798</v>
      </c>
      <c r="H90" s="42">
        <v>54</v>
      </c>
      <c r="I90" s="64">
        <v>0.11257</v>
      </c>
      <c r="J90" s="64">
        <v>0.1091</v>
      </c>
      <c r="K90" s="46">
        <v>711204049.22000003</v>
      </c>
      <c r="L90" s="41">
        <f t="shared" si="37"/>
        <v>2.997588383473913E-3</v>
      </c>
      <c r="M90" s="75">
        <v>1.17798</v>
      </c>
      <c r="N90" s="75">
        <v>1.17798</v>
      </c>
      <c r="O90" s="42">
        <v>56</v>
      </c>
      <c r="P90" s="64">
        <v>0.11257</v>
      </c>
      <c r="Q90" s="64">
        <v>0.10879999999999999</v>
      </c>
      <c r="R90" s="69">
        <f t="shared" si="38"/>
        <v>2.6379458865270029E-3</v>
      </c>
      <c r="S90" s="69">
        <f t="shared" si="39"/>
        <v>0</v>
      </c>
      <c r="T90" s="69">
        <f t="shared" si="40"/>
        <v>3.7037037037037035E-2</v>
      </c>
      <c r="U90" s="70">
        <f t="shared" si="41"/>
        <v>0</v>
      </c>
      <c r="V90" s="71">
        <f t="shared" si="42"/>
        <v>-3.0000000000000859E-4</v>
      </c>
    </row>
    <row r="91" spans="1:22">
      <c r="A91" s="159">
        <v>80</v>
      </c>
      <c r="B91" s="160" t="s">
        <v>148</v>
      </c>
      <c r="C91" s="155" t="s">
        <v>32</v>
      </c>
      <c r="D91" s="75">
        <v>11483133398.98</v>
      </c>
      <c r="E91" s="41">
        <f t="shared" si="43"/>
        <v>4.8179586080186881E-2</v>
      </c>
      <c r="F91" s="75">
        <v>1662.59</v>
      </c>
      <c r="G91" s="75">
        <v>1662.59</v>
      </c>
      <c r="H91" s="42">
        <v>2039</v>
      </c>
      <c r="I91" s="64">
        <v>1.8E-3</v>
      </c>
      <c r="J91" s="64">
        <v>4.2999999999999997E-2</v>
      </c>
      <c r="K91" s="75">
        <v>11497421420.84</v>
      </c>
      <c r="L91" s="41">
        <f t="shared" si="37"/>
        <v>4.8459421636888128E-2</v>
      </c>
      <c r="M91" s="75">
        <v>1664.1</v>
      </c>
      <c r="N91" s="75">
        <v>1664.1</v>
      </c>
      <c r="O91" s="42">
        <v>2041</v>
      </c>
      <c r="P91" s="64">
        <v>8.9999999999999998E-4</v>
      </c>
      <c r="Q91" s="64">
        <v>4.87E-2</v>
      </c>
      <c r="R91" s="69">
        <f t="shared" si="38"/>
        <v>1.2442615933791867E-3</v>
      </c>
      <c r="S91" s="69">
        <f t="shared" si="39"/>
        <v>9.0822150981299723E-4</v>
      </c>
      <c r="T91" s="69">
        <f t="shared" si="40"/>
        <v>9.8087297694948511E-4</v>
      </c>
      <c r="U91" s="70">
        <f t="shared" si="41"/>
        <v>-8.9999999999999998E-4</v>
      </c>
      <c r="V91" s="71">
        <f t="shared" si="42"/>
        <v>5.7000000000000037E-3</v>
      </c>
    </row>
    <row r="92" spans="1:22">
      <c r="A92" s="159">
        <v>81</v>
      </c>
      <c r="B92" s="160" t="s">
        <v>149</v>
      </c>
      <c r="C92" s="155" t="s">
        <v>92</v>
      </c>
      <c r="D92" s="46">
        <v>23782925.219999999</v>
      </c>
      <c r="E92" s="41">
        <f t="shared" si="43"/>
        <v>9.9785611911241832E-5</v>
      </c>
      <c r="F92" s="74">
        <v>0.72650000000000003</v>
      </c>
      <c r="G92" s="74">
        <v>0.72650000000000003</v>
      </c>
      <c r="H92" s="42">
        <v>744</v>
      </c>
      <c r="I92" s="64">
        <v>2.3E-3</v>
      </c>
      <c r="J92" s="64">
        <v>1.37E-2</v>
      </c>
      <c r="K92" s="46">
        <v>23822431.25</v>
      </c>
      <c r="L92" s="41">
        <f t="shared" si="37"/>
        <v>1.0040696936332599E-4</v>
      </c>
      <c r="M92" s="74">
        <v>0.72770000000000001</v>
      </c>
      <c r="N92" s="74">
        <v>0.72770000000000001</v>
      </c>
      <c r="O92" s="42">
        <v>744</v>
      </c>
      <c r="P92" s="64">
        <v>1.6999999999999999E-3</v>
      </c>
      <c r="Q92" s="64">
        <v>1.5299999999999999E-2</v>
      </c>
      <c r="R92" s="69">
        <f t="shared" si="38"/>
        <v>1.6611089525177085E-3</v>
      </c>
      <c r="S92" s="69">
        <f t="shared" si="39"/>
        <v>1.6517549896765021E-3</v>
      </c>
      <c r="T92" s="69">
        <f t="shared" si="40"/>
        <v>0</v>
      </c>
      <c r="U92" s="70">
        <f t="shared" si="41"/>
        <v>-6.0000000000000006E-4</v>
      </c>
      <c r="V92" s="71">
        <f t="shared" si="42"/>
        <v>1.599999999999999E-3</v>
      </c>
    </row>
    <row r="93" spans="1:22">
      <c r="A93" s="159">
        <v>82</v>
      </c>
      <c r="B93" s="160" t="s">
        <v>150</v>
      </c>
      <c r="C93" s="155" t="s">
        <v>38</v>
      </c>
      <c r="D93" s="46">
        <v>11554474040.440001</v>
      </c>
      <c r="E93" s="41">
        <f t="shared" si="43"/>
        <v>4.8478908787397024E-2</v>
      </c>
      <c r="F93" s="74">
        <v>1</v>
      </c>
      <c r="G93" s="74">
        <v>1</v>
      </c>
      <c r="H93" s="42">
        <v>4972</v>
      </c>
      <c r="I93" s="64">
        <v>0.06</v>
      </c>
      <c r="J93" s="64">
        <v>0.06</v>
      </c>
      <c r="K93" s="46">
        <v>11599556205.280001</v>
      </c>
      <c r="L93" s="41">
        <f t="shared" si="37"/>
        <v>4.888990012435137E-2</v>
      </c>
      <c r="M93" s="74">
        <v>1</v>
      </c>
      <c r="N93" s="74">
        <v>1</v>
      </c>
      <c r="O93" s="42">
        <v>4981</v>
      </c>
      <c r="P93" s="64">
        <v>0.06</v>
      </c>
      <c r="Q93" s="64">
        <v>0.06</v>
      </c>
      <c r="R93" s="69">
        <f t="shared" si="38"/>
        <v>3.9017063591311163E-3</v>
      </c>
      <c r="S93" s="69">
        <f t="shared" si="39"/>
        <v>0</v>
      </c>
      <c r="T93" s="69">
        <f t="shared" si="40"/>
        <v>1.8101367658889783E-3</v>
      </c>
      <c r="U93" s="70">
        <f t="shared" si="41"/>
        <v>0</v>
      </c>
      <c r="V93" s="71">
        <f t="shared" si="42"/>
        <v>0</v>
      </c>
    </row>
    <row r="94" spans="1:22">
      <c r="A94" s="159">
        <v>83</v>
      </c>
      <c r="B94" s="160" t="s">
        <v>151</v>
      </c>
      <c r="C94" s="155" t="s">
        <v>152</v>
      </c>
      <c r="D94" s="46">
        <v>1799905575.52</v>
      </c>
      <c r="E94" s="41">
        <f t="shared" si="43"/>
        <v>7.5518329883441943E-3</v>
      </c>
      <c r="F94" s="46">
        <v>274.3</v>
      </c>
      <c r="G94" s="46">
        <v>274.3</v>
      </c>
      <c r="H94" s="42">
        <v>562</v>
      </c>
      <c r="I94" s="64">
        <v>3.0000000000000001E-3</v>
      </c>
      <c r="J94" s="64">
        <v>0.18720000000000001</v>
      </c>
      <c r="K94" s="46">
        <v>1793393249.04</v>
      </c>
      <c r="L94" s="41">
        <f t="shared" si="37"/>
        <v>7.5588078782997826E-3</v>
      </c>
      <c r="M94" s="46">
        <v>275.24</v>
      </c>
      <c r="N94" s="46">
        <v>275.24</v>
      </c>
      <c r="O94" s="42">
        <v>562</v>
      </c>
      <c r="P94" s="64">
        <v>3.0000000000000001E-3</v>
      </c>
      <c r="Q94" s="64">
        <v>0.18720000000000001</v>
      </c>
      <c r="R94" s="69">
        <f t="shared" si="38"/>
        <v>-3.618148956574337E-3</v>
      </c>
      <c r="S94" s="69">
        <f t="shared" si="39"/>
        <v>3.4269048487057881E-3</v>
      </c>
      <c r="T94" s="69">
        <f t="shared" si="40"/>
        <v>0</v>
      </c>
      <c r="U94" s="70">
        <f t="shared" si="41"/>
        <v>0</v>
      </c>
      <c r="V94" s="71">
        <f t="shared" si="42"/>
        <v>0</v>
      </c>
    </row>
    <row r="95" spans="1:22">
      <c r="A95" s="159">
        <v>84</v>
      </c>
      <c r="B95" s="160" t="s">
        <v>153</v>
      </c>
      <c r="C95" s="155" t="s">
        <v>42</v>
      </c>
      <c r="D95" s="46">
        <v>1078285482.5699999</v>
      </c>
      <c r="E95" s="41">
        <f t="shared" si="43"/>
        <v>4.5241439267013819E-3</v>
      </c>
      <c r="F95" s="74">
        <v>3.6</v>
      </c>
      <c r="G95" s="74">
        <v>3.62</v>
      </c>
      <c r="H95" s="60">
        <v>791</v>
      </c>
      <c r="I95" s="67">
        <v>6.4999999999999997E-3</v>
      </c>
      <c r="J95" s="67">
        <v>-3.7000000000000002E-3</v>
      </c>
      <c r="K95" s="46">
        <v>1079867325.0799999</v>
      </c>
      <c r="L95" s="41">
        <f t="shared" si="37"/>
        <v>4.5514332390303083E-3</v>
      </c>
      <c r="M95" s="74">
        <v>3.6</v>
      </c>
      <c r="N95" s="74">
        <v>3.63</v>
      </c>
      <c r="O95" s="60">
        <v>793</v>
      </c>
      <c r="P95" s="67">
        <v>6.4999999999999997E-3</v>
      </c>
      <c r="Q95" s="67">
        <v>-3.7000000000000002E-3</v>
      </c>
      <c r="R95" s="69">
        <f t="shared" si="38"/>
        <v>1.4669978735406936E-3</v>
      </c>
      <c r="S95" s="69">
        <f t="shared" si="39"/>
        <v>2.7624309392264602E-3</v>
      </c>
      <c r="T95" s="69">
        <f t="shared" si="40"/>
        <v>2.5284450063211127E-3</v>
      </c>
      <c r="U95" s="70">
        <f t="shared" si="41"/>
        <v>0</v>
      </c>
      <c r="V95" s="71">
        <f t="shared" si="42"/>
        <v>0</v>
      </c>
    </row>
    <row r="96" spans="1:22">
      <c r="A96" s="159">
        <v>85</v>
      </c>
      <c r="B96" s="160" t="s">
        <v>154</v>
      </c>
      <c r="C96" s="155" t="s">
        <v>44</v>
      </c>
      <c r="D96" s="46">
        <v>733960970.75999999</v>
      </c>
      <c r="E96" s="41">
        <f t="shared" si="43"/>
        <v>3.0794674712539701E-3</v>
      </c>
      <c r="F96" s="74">
        <v>112.93367000000001</v>
      </c>
      <c r="G96" s="74">
        <v>112.93367000000001</v>
      </c>
      <c r="H96" s="60">
        <v>297</v>
      </c>
      <c r="I96" s="67">
        <v>0.1497</v>
      </c>
      <c r="J96" s="67">
        <v>0.1709</v>
      </c>
      <c r="K96" s="46">
        <v>734436851.85000002</v>
      </c>
      <c r="L96" s="41">
        <f t="shared" si="37"/>
        <v>3.0955101815227423E-3</v>
      </c>
      <c r="M96" s="74">
        <v>113.11</v>
      </c>
      <c r="N96" s="74">
        <v>113.11</v>
      </c>
      <c r="O96" s="60">
        <v>292</v>
      </c>
      <c r="P96" s="67">
        <v>0.1464</v>
      </c>
      <c r="Q96" s="67">
        <v>0.16889999999999999</v>
      </c>
      <c r="R96" s="69">
        <f t="shared" si="38"/>
        <v>6.4837383588294798E-4</v>
      </c>
      <c r="S96" s="69">
        <f t="shared" si="39"/>
        <v>1.5613589817810134E-3</v>
      </c>
      <c r="T96" s="69">
        <f t="shared" si="40"/>
        <v>-1.6835016835016835E-2</v>
      </c>
      <c r="U96" s="70">
        <f t="shared" si="41"/>
        <v>-3.2999999999999974E-3</v>
      </c>
      <c r="V96" s="71">
        <f t="shared" si="42"/>
        <v>-2.0000000000000018E-3</v>
      </c>
    </row>
    <row r="97" spans="1:22">
      <c r="A97" s="159">
        <v>86</v>
      </c>
      <c r="B97" s="155" t="s">
        <v>155</v>
      </c>
      <c r="C97" s="166" t="s">
        <v>48</v>
      </c>
      <c r="D97" s="46">
        <v>1058419508.3</v>
      </c>
      <c r="E97" s="41">
        <f t="shared" si="43"/>
        <v>4.4407925987882827E-3</v>
      </c>
      <c r="F97" s="74">
        <v>110.86</v>
      </c>
      <c r="G97" s="74">
        <v>111.54</v>
      </c>
      <c r="H97" s="42">
        <v>289</v>
      </c>
      <c r="I97" s="64">
        <v>5.0000000000000001E-3</v>
      </c>
      <c r="J97" s="64">
        <v>0.1358</v>
      </c>
      <c r="K97" s="46">
        <v>1062800538.99</v>
      </c>
      <c r="L97" s="41">
        <f t="shared" si="37"/>
        <v>4.4795000156709567E-3</v>
      </c>
      <c r="M97" s="74">
        <v>111.16</v>
      </c>
      <c r="N97" s="74">
        <v>111.88</v>
      </c>
      <c r="O97" s="42">
        <v>289</v>
      </c>
      <c r="P97" s="64">
        <v>4.3E-3</v>
      </c>
      <c r="Q97" s="64">
        <v>0.13900000000000001</v>
      </c>
      <c r="R97" s="69">
        <f t="shared" si="38"/>
        <v>4.1392195208464462E-3</v>
      </c>
      <c r="S97" s="69">
        <f t="shared" si="39"/>
        <v>3.0482338174644898E-3</v>
      </c>
      <c r="T97" s="69">
        <f t="shared" si="40"/>
        <v>0</v>
      </c>
      <c r="U97" s="70">
        <f t="shared" si="41"/>
        <v>-7.000000000000001E-4</v>
      </c>
      <c r="V97" s="71">
        <f t="shared" si="42"/>
        <v>3.2000000000000084E-3</v>
      </c>
    </row>
    <row r="98" spans="1:22">
      <c r="A98" s="159">
        <v>87</v>
      </c>
      <c r="B98" s="160" t="s">
        <v>156</v>
      </c>
      <c r="C98" s="155" t="s">
        <v>20</v>
      </c>
      <c r="D98" s="148">
        <v>1634381645.9000001</v>
      </c>
      <c r="E98" s="150">
        <f t="shared" si="43"/>
        <v>6.8573470724907779E-3</v>
      </c>
      <c r="F98" s="151">
        <v>390.0471</v>
      </c>
      <c r="G98" s="151">
        <v>390.0471</v>
      </c>
      <c r="H98" s="44">
        <v>97</v>
      </c>
      <c r="I98" s="65">
        <v>2.5000000000000001E-3</v>
      </c>
      <c r="J98" s="65">
        <v>0.13389999999999999</v>
      </c>
      <c r="K98" s="148">
        <v>1638920912.9200001</v>
      </c>
      <c r="L98" s="150">
        <f t="shared" si="37"/>
        <v>6.9077366690888323E-3</v>
      </c>
      <c r="M98" s="151">
        <v>391.03059999999999</v>
      </c>
      <c r="N98" s="151">
        <v>391.03059999999999</v>
      </c>
      <c r="O98" s="44">
        <v>97</v>
      </c>
      <c r="P98" s="65">
        <v>2.5000000000000001E-3</v>
      </c>
      <c r="Q98" s="65">
        <v>0.13669999999999999</v>
      </c>
      <c r="R98" s="70">
        <f t="shared" si="38"/>
        <v>2.7773604967892039E-3</v>
      </c>
      <c r="S98" s="70">
        <f t="shared" si="39"/>
        <v>2.5214903533444864E-3</v>
      </c>
      <c r="T98" s="70">
        <f t="shared" si="40"/>
        <v>0</v>
      </c>
      <c r="U98" s="70">
        <f t="shared" si="41"/>
        <v>0</v>
      </c>
      <c r="V98" s="71">
        <f t="shared" si="42"/>
        <v>2.7999999999999969E-3</v>
      </c>
    </row>
    <row r="99" spans="1:22">
      <c r="A99" s="159">
        <v>88</v>
      </c>
      <c r="B99" s="160" t="s">
        <v>157</v>
      </c>
      <c r="C99" s="155" t="s">
        <v>104</v>
      </c>
      <c r="D99" s="58">
        <v>1784956896</v>
      </c>
      <c r="E99" s="41">
        <f>(D99/$K$72)</f>
        <v>3.7617894649352588E-4</v>
      </c>
      <c r="F99" s="74">
        <v>103.97</v>
      </c>
      <c r="G99" s="74">
        <v>103.97</v>
      </c>
      <c r="H99" s="42">
        <v>411</v>
      </c>
      <c r="I99" s="64">
        <v>3.5000000000000001E-3</v>
      </c>
      <c r="J99" s="64">
        <v>0.1394</v>
      </c>
      <c r="K99" s="58">
        <v>1787833422</v>
      </c>
      <c r="L99" s="41">
        <f t="shared" ref="L99:L113" si="52">(K99/$K$114)</f>
        <v>7.5353742758512221E-3</v>
      </c>
      <c r="M99" s="74">
        <v>104.14</v>
      </c>
      <c r="N99" s="74">
        <v>104.14</v>
      </c>
      <c r="O99" s="42">
        <v>411</v>
      </c>
      <c r="P99" s="64">
        <v>1.6000000000000001E-3</v>
      </c>
      <c r="Q99" s="64">
        <v>0.1391</v>
      </c>
      <c r="R99" s="69">
        <f t="shared" si="38"/>
        <v>1.6115380749227907E-3</v>
      </c>
      <c r="S99" s="69">
        <f t="shared" si="39"/>
        <v>1.6350870443397297E-3</v>
      </c>
      <c r="T99" s="69">
        <f t="shared" si="40"/>
        <v>0</v>
      </c>
      <c r="U99" s="70">
        <f t="shared" si="41"/>
        <v>-1.9E-3</v>
      </c>
      <c r="V99" s="71">
        <f t="shared" si="42"/>
        <v>-2.9999999999999472E-4</v>
      </c>
    </row>
    <row r="100" spans="1:22">
      <c r="A100" s="159">
        <v>89</v>
      </c>
      <c r="B100" s="160" t="s">
        <v>158</v>
      </c>
      <c r="C100" s="155" t="s">
        <v>46</v>
      </c>
      <c r="D100" s="46">
        <v>58242821.640000001</v>
      </c>
      <c r="E100" s="41">
        <f t="shared" ref="E100:E113" si="53">(D100/$D$114)</f>
        <v>2.4436840897508054E-4</v>
      </c>
      <c r="F100" s="46">
        <v>11.89</v>
      </c>
      <c r="G100" s="46">
        <v>12.59</v>
      </c>
      <c r="H100" s="42">
        <v>55</v>
      </c>
      <c r="I100" s="64">
        <v>-1.4E-3</v>
      </c>
      <c r="J100" s="64">
        <v>-1.84E-2</v>
      </c>
      <c r="K100" s="46">
        <v>58500810.219999999</v>
      </c>
      <c r="L100" s="41">
        <f t="shared" si="52"/>
        <v>2.4656967199723951E-4</v>
      </c>
      <c r="M100" s="46">
        <v>11.944100000000001</v>
      </c>
      <c r="N100" s="46">
        <v>12.651858000000001</v>
      </c>
      <c r="O100" s="42">
        <v>55</v>
      </c>
      <c r="P100" s="64">
        <v>-1.4E-3</v>
      </c>
      <c r="Q100" s="64">
        <v>-1.3100000000000001E-2</v>
      </c>
      <c r="R100" s="69">
        <f t="shared" si="38"/>
        <v>4.4295343655331564E-3</v>
      </c>
      <c r="S100" s="69">
        <f t="shared" si="39"/>
        <v>4.9132644956315216E-3</v>
      </c>
      <c r="T100" s="69">
        <f t="shared" si="40"/>
        <v>0</v>
      </c>
      <c r="U100" s="70">
        <f t="shared" si="41"/>
        <v>0</v>
      </c>
      <c r="V100" s="71">
        <f t="shared" si="42"/>
        <v>5.2999999999999992E-3</v>
      </c>
    </row>
    <row r="101" spans="1:22">
      <c r="A101" s="159">
        <v>90</v>
      </c>
      <c r="B101" s="160" t="s">
        <v>159</v>
      </c>
      <c r="C101" s="155" t="s">
        <v>160</v>
      </c>
      <c r="D101" s="46">
        <v>859261948.00999999</v>
      </c>
      <c r="E101" s="41">
        <f t="shared" si="53"/>
        <v>3.6051906349232306E-3</v>
      </c>
      <c r="F101" s="46">
        <v>154.88</v>
      </c>
      <c r="G101" s="46">
        <v>154.88</v>
      </c>
      <c r="H101" s="42">
        <v>174</v>
      </c>
      <c r="I101" s="64">
        <v>0.2</v>
      </c>
      <c r="J101" s="64">
        <v>0.1883</v>
      </c>
      <c r="K101" s="46">
        <v>1024584903.01</v>
      </c>
      <c r="L101" s="41">
        <f t="shared" si="52"/>
        <v>4.3184284545537896E-3</v>
      </c>
      <c r="M101" s="46">
        <v>155.55000000000001</v>
      </c>
      <c r="N101" s="46">
        <v>155.55000000000001</v>
      </c>
      <c r="O101" s="42">
        <v>174</v>
      </c>
      <c r="P101" s="64">
        <v>0.2863</v>
      </c>
      <c r="Q101" s="64">
        <v>0.1895</v>
      </c>
      <c r="R101" s="69">
        <f t="shared" si="38"/>
        <v>0.19240111281883041</v>
      </c>
      <c r="S101" s="69">
        <f t="shared" si="39"/>
        <v>4.3259297520662184E-3</v>
      </c>
      <c r="T101" s="69">
        <f t="shared" si="40"/>
        <v>0</v>
      </c>
      <c r="U101" s="70">
        <f t="shared" si="41"/>
        <v>8.6299999999999988E-2</v>
      </c>
      <c r="V101" s="71">
        <f t="shared" si="42"/>
        <v>1.2000000000000066E-3</v>
      </c>
    </row>
    <row r="102" spans="1:22">
      <c r="A102" s="159">
        <v>91</v>
      </c>
      <c r="B102" s="160" t="s">
        <v>161</v>
      </c>
      <c r="C102" s="155" t="s">
        <v>162</v>
      </c>
      <c r="D102" s="46">
        <v>10772634275.696699</v>
      </c>
      <c r="E102" s="41">
        <f t="shared" si="53"/>
        <v>4.5198557080457093E-2</v>
      </c>
      <c r="F102" s="46">
        <v>1.1399999999999999</v>
      </c>
      <c r="G102" s="46">
        <v>1.1399999999999999</v>
      </c>
      <c r="H102" s="42">
        <v>5118</v>
      </c>
      <c r="I102" s="64">
        <v>0.17030000000000001</v>
      </c>
      <c r="J102" s="64">
        <v>0.17030000000000001</v>
      </c>
      <c r="K102" s="46">
        <v>10955981811.3757</v>
      </c>
      <c r="L102" s="41">
        <f t="shared" si="52"/>
        <v>4.6177357740510079E-2</v>
      </c>
      <c r="M102" s="46">
        <v>1.1399999999999999</v>
      </c>
      <c r="N102" s="46">
        <v>1.1399999999999999</v>
      </c>
      <c r="O102" s="42">
        <v>5122</v>
      </c>
      <c r="P102" s="64">
        <v>0.17030000000000001</v>
      </c>
      <c r="Q102" s="64">
        <v>0.17030000000000001</v>
      </c>
      <c r="R102" s="69">
        <f t="shared" si="38"/>
        <v>1.7019749393389967E-2</v>
      </c>
      <c r="S102" s="69">
        <f t="shared" si="39"/>
        <v>0</v>
      </c>
      <c r="T102" s="69">
        <f t="shared" si="40"/>
        <v>7.8155529503712393E-4</v>
      </c>
      <c r="U102" s="70">
        <f t="shared" si="41"/>
        <v>0</v>
      </c>
      <c r="V102" s="71">
        <f t="shared" si="42"/>
        <v>0</v>
      </c>
    </row>
    <row r="103" spans="1:22" ht="14.25" customHeight="1">
      <c r="A103" s="159">
        <v>92</v>
      </c>
      <c r="B103" s="160" t="s">
        <v>163</v>
      </c>
      <c r="C103" s="155" t="s">
        <v>50</v>
      </c>
      <c r="D103" s="46">
        <v>6904240869.6899996</v>
      </c>
      <c r="E103" s="41">
        <f t="shared" si="53"/>
        <v>2.8968005137789399E-2</v>
      </c>
      <c r="F103" s="46">
        <v>5176.09</v>
      </c>
      <c r="G103" s="46">
        <v>5176.09</v>
      </c>
      <c r="H103" s="42">
        <v>222</v>
      </c>
      <c r="I103" s="64">
        <v>0</v>
      </c>
      <c r="J103" s="64">
        <v>1.6999999999999999E-3</v>
      </c>
      <c r="K103" s="46">
        <v>4926647063.6400003</v>
      </c>
      <c r="L103" s="41">
        <f t="shared" si="52"/>
        <v>2.0764870536999512E-2</v>
      </c>
      <c r="M103" s="46">
        <v>5176.1000000000004</v>
      </c>
      <c r="N103" s="46">
        <v>5176.1000000000004</v>
      </c>
      <c r="O103" s="42">
        <v>22</v>
      </c>
      <c r="P103" s="64">
        <v>0</v>
      </c>
      <c r="Q103" s="64">
        <v>1.6999999999999999E-3</v>
      </c>
      <c r="R103" s="69">
        <f t="shared" si="38"/>
        <v>-0.28643175164003126</v>
      </c>
      <c r="S103" s="69">
        <f t="shared" si="39"/>
        <v>1.9319602248450623E-6</v>
      </c>
      <c r="T103" s="69">
        <f t="shared" si="40"/>
        <v>-0.90090090090090091</v>
      </c>
      <c r="U103" s="70">
        <f t="shared" si="41"/>
        <v>0</v>
      </c>
      <c r="V103" s="71">
        <f t="shared" si="42"/>
        <v>0</v>
      </c>
    </row>
    <row r="104" spans="1:22" ht="13.5" customHeight="1">
      <c r="A104" s="159">
        <v>93</v>
      </c>
      <c r="B104" s="160" t="s">
        <v>164</v>
      </c>
      <c r="C104" s="155" t="s">
        <v>50</v>
      </c>
      <c r="D104" s="46">
        <v>15697481181.700001</v>
      </c>
      <c r="E104" s="41">
        <f t="shared" si="53"/>
        <v>6.5861652874554935E-2</v>
      </c>
      <c r="F104" s="74">
        <v>259.24</v>
      </c>
      <c r="G104" s="74">
        <v>259.24</v>
      </c>
      <c r="H104" s="42">
        <v>6049</v>
      </c>
      <c r="I104" s="64">
        <v>0</v>
      </c>
      <c r="J104" s="64">
        <v>1.5E-3</v>
      </c>
      <c r="K104" s="46">
        <v>15664899962.280001</v>
      </c>
      <c r="L104" s="41">
        <f t="shared" si="52"/>
        <v>6.602454275493877E-2</v>
      </c>
      <c r="M104" s="74">
        <v>259.24</v>
      </c>
      <c r="N104" s="74">
        <v>259.24</v>
      </c>
      <c r="O104" s="42">
        <v>6053</v>
      </c>
      <c r="P104" s="64">
        <v>0</v>
      </c>
      <c r="Q104" s="64">
        <v>1.5E-3</v>
      </c>
      <c r="R104" s="69">
        <f t="shared" si="38"/>
        <v>-2.0755698983084625E-3</v>
      </c>
      <c r="S104" s="69">
        <f t="shared" si="39"/>
        <v>0</v>
      </c>
      <c r="T104" s="69">
        <f t="shared" si="40"/>
        <v>6.612663250123987E-4</v>
      </c>
      <c r="U104" s="70">
        <f t="shared" si="41"/>
        <v>0</v>
      </c>
      <c r="V104" s="71">
        <f t="shared" si="42"/>
        <v>0</v>
      </c>
    </row>
    <row r="105" spans="1:22" ht="13.5" customHeight="1">
      <c r="A105" s="159">
        <v>94</v>
      </c>
      <c r="B105" s="160" t="s">
        <v>165</v>
      </c>
      <c r="C105" s="155" t="s">
        <v>50</v>
      </c>
      <c r="D105" s="46">
        <v>602500656.85000002</v>
      </c>
      <c r="E105" s="41">
        <f t="shared" si="53"/>
        <v>2.5279016842782802E-3</v>
      </c>
      <c r="F105" s="45">
        <v>9293.9599999999991</v>
      </c>
      <c r="G105" s="45">
        <v>9329.3700000000008</v>
      </c>
      <c r="H105" s="42">
        <v>17</v>
      </c>
      <c r="I105" s="64">
        <v>2.2000000000000001E-3</v>
      </c>
      <c r="J105" s="64">
        <v>0.36730000000000002</v>
      </c>
      <c r="K105" s="46">
        <v>604007334.32000005</v>
      </c>
      <c r="L105" s="41">
        <f t="shared" si="52"/>
        <v>2.5457748319576931E-3</v>
      </c>
      <c r="M105" s="45">
        <v>9317.14</v>
      </c>
      <c r="N105" s="45">
        <v>9352.74</v>
      </c>
      <c r="O105" s="42">
        <v>17</v>
      </c>
      <c r="P105" s="64">
        <v>2.5000000000000001E-3</v>
      </c>
      <c r="Q105" s="64">
        <v>0.37069999999999997</v>
      </c>
      <c r="R105" s="69">
        <f t="shared" si="38"/>
        <v>2.5007067674867856E-3</v>
      </c>
      <c r="S105" s="69">
        <f t="shared" si="39"/>
        <v>2.5049922985152244E-3</v>
      </c>
      <c r="T105" s="69">
        <f t="shared" si="40"/>
        <v>0</v>
      </c>
      <c r="U105" s="70">
        <f t="shared" si="41"/>
        <v>2.9999999999999992E-4</v>
      </c>
      <c r="V105" s="71">
        <f t="shared" si="42"/>
        <v>3.3999999999999586E-3</v>
      </c>
    </row>
    <row r="106" spans="1:22" ht="15" customHeight="1">
      <c r="A106" s="159">
        <v>95</v>
      </c>
      <c r="B106" s="160" t="s">
        <v>166</v>
      </c>
      <c r="C106" s="155" t="s">
        <v>50</v>
      </c>
      <c r="D106" s="46">
        <v>6449015964.9200001</v>
      </c>
      <c r="E106" s="41">
        <f t="shared" si="53"/>
        <v>2.705802580347641E-2</v>
      </c>
      <c r="F106" s="74">
        <v>160.69</v>
      </c>
      <c r="G106" s="74">
        <v>160.69</v>
      </c>
      <c r="H106" s="42">
        <v>5307</v>
      </c>
      <c r="I106" s="64">
        <v>2.7000000000000001E-3</v>
      </c>
      <c r="J106" s="64">
        <v>0.16539999999999999</v>
      </c>
      <c r="K106" s="46">
        <v>6536769685.3999996</v>
      </c>
      <c r="L106" s="41">
        <f t="shared" si="52"/>
        <v>2.7551227943498666E-2</v>
      </c>
      <c r="M106" s="74">
        <v>161</v>
      </c>
      <c r="N106" s="74">
        <v>161</v>
      </c>
      <c r="O106" s="42">
        <v>5336</v>
      </c>
      <c r="P106" s="64">
        <v>1.9E-3</v>
      </c>
      <c r="Q106" s="64">
        <v>0.16769999999999999</v>
      </c>
      <c r="R106" s="69">
        <f t="shared" si="38"/>
        <v>1.3607303960378415E-2</v>
      </c>
      <c r="S106" s="69">
        <f t="shared" si="39"/>
        <v>1.9291804094841139E-3</v>
      </c>
      <c r="T106" s="69">
        <f t="shared" si="40"/>
        <v>5.4644808743169399E-3</v>
      </c>
      <c r="U106" s="70">
        <f t="shared" si="41"/>
        <v>-8.0000000000000015E-4</v>
      </c>
      <c r="V106" s="71">
        <f t="shared" si="42"/>
        <v>2.2999999999999965E-3</v>
      </c>
    </row>
    <row r="107" spans="1:22" ht="15" customHeight="1">
      <c r="A107" s="159">
        <v>96</v>
      </c>
      <c r="B107" s="160" t="s">
        <v>167</v>
      </c>
      <c r="C107" s="155" t="s">
        <v>50</v>
      </c>
      <c r="D107" s="46">
        <v>6221433298.96</v>
      </c>
      <c r="E107" s="41">
        <f t="shared" si="53"/>
        <v>2.6103161110713004E-2</v>
      </c>
      <c r="F107" s="74">
        <v>383.96</v>
      </c>
      <c r="G107" s="74">
        <v>384.31</v>
      </c>
      <c r="H107" s="42">
        <v>10885</v>
      </c>
      <c r="I107" s="64">
        <v>1.6999999999999999E-3</v>
      </c>
      <c r="J107" s="64">
        <v>8.4900000000000003E-2</v>
      </c>
      <c r="K107" s="46">
        <v>6331479543.2700005</v>
      </c>
      <c r="L107" s="41">
        <f t="shared" si="52"/>
        <v>2.6685969448464089E-2</v>
      </c>
      <c r="M107" s="74">
        <v>384.33</v>
      </c>
      <c r="N107" s="74">
        <v>384.68</v>
      </c>
      <c r="O107" s="42">
        <v>10917</v>
      </c>
      <c r="P107" s="64">
        <v>1E-3</v>
      </c>
      <c r="Q107" s="64">
        <v>8.5900000000000004E-2</v>
      </c>
      <c r="R107" s="69">
        <f t="shared" si="38"/>
        <v>1.7688246264473524E-2</v>
      </c>
      <c r="S107" s="69">
        <f t="shared" si="39"/>
        <v>9.6276443496137113E-4</v>
      </c>
      <c r="T107" s="69">
        <f t="shared" si="40"/>
        <v>2.9398254478640333E-3</v>
      </c>
      <c r="U107" s="70">
        <f t="shared" si="41"/>
        <v>-6.9999999999999988E-4</v>
      </c>
      <c r="V107" s="71">
        <f t="shared" si="42"/>
        <v>1.0000000000000009E-3</v>
      </c>
    </row>
    <row r="108" spans="1:22" ht="15" customHeight="1">
      <c r="A108" s="159">
        <v>97</v>
      </c>
      <c r="B108" s="160" t="s">
        <v>168</v>
      </c>
      <c r="C108" s="155" t="s">
        <v>119</v>
      </c>
      <c r="D108" s="46">
        <v>91154705.079999998</v>
      </c>
      <c r="E108" s="41">
        <f t="shared" si="53"/>
        <v>3.8245623449833073E-4</v>
      </c>
      <c r="F108" s="74">
        <v>112.6073</v>
      </c>
      <c r="G108" s="74">
        <v>112.6073</v>
      </c>
      <c r="H108" s="42">
        <v>23</v>
      </c>
      <c r="I108" s="64">
        <v>5.7299999999999999E-3</v>
      </c>
      <c r="J108" s="64">
        <v>0.2397</v>
      </c>
      <c r="K108" s="46">
        <v>91526016.219999999</v>
      </c>
      <c r="L108" s="41">
        <f t="shared" si="52"/>
        <v>3.8576456828052835E-4</v>
      </c>
      <c r="M108" s="74">
        <v>112.86199999999999</v>
      </c>
      <c r="N108" s="74">
        <v>112.86199999999999</v>
      </c>
      <c r="O108" s="42">
        <v>23</v>
      </c>
      <c r="P108" s="64">
        <v>2.5000000000000001E-3</v>
      </c>
      <c r="Q108" s="64">
        <v>0.23830000000000001</v>
      </c>
      <c r="R108" s="69">
        <f t="shared" ref="R108" si="54">((K108-D108)/D108)</f>
        <v>4.0734171612329525E-3</v>
      </c>
      <c r="S108" s="69">
        <f t="shared" ref="S108" si="55">((N108-G108)/G108)</f>
        <v>2.2618427046914341E-3</v>
      </c>
      <c r="T108" s="69">
        <f t="shared" ref="T108" si="56">((O108-H108)/H108)</f>
        <v>0</v>
      </c>
      <c r="U108" s="70">
        <f t="shared" ref="U108" si="57">P108-I108</f>
        <v>-3.2299999999999998E-3</v>
      </c>
      <c r="V108" s="71">
        <f t="shared" ref="V108" si="58">Q108-J108</f>
        <v>-1.3999999999999846E-3</v>
      </c>
    </row>
    <row r="109" spans="1:22">
      <c r="A109" s="159">
        <v>98</v>
      </c>
      <c r="B109" s="160" t="s">
        <v>169</v>
      </c>
      <c r="C109" s="155" t="s">
        <v>53</v>
      </c>
      <c r="D109" s="46">
        <v>84259180307.309998</v>
      </c>
      <c r="E109" s="41">
        <f t="shared" si="53"/>
        <v>0.35352479933940545</v>
      </c>
      <c r="F109" s="46">
        <v>1.9729000000000001</v>
      </c>
      <c r="G109" s="46">
        <v>1.9729000000000001</v>
      </c>
      <c r="H109" s="42">
        <v>6833</v>
      </c>
      <c r="I109" s="64">
        <v>1.1999999999999999E-3</v>
      </c>
      <c r="J109" s="64">
        <v>8.3500000000000005E-2</v>
      </c>
      <c r="K109" s="46">
        <v>84348551756.979996</v>
      </c>
      <c r="L109" s="41">
        <f t="shared" si="52"/>
        <v>0.35551293498240266</v>
      </c>
      <c r="M109" s="46">
        <v>1.9751000000000001</v>
      </c>
      <c r="N109" s="46">
        <v>1.9751000000000001</v>
      </c>
      <c r="O109" s="42">
        <v>6795</v>
      </c>
      <c r="P109" s="64">
        <v>5.9799999999999999E-2</v>
      </c>
      <c r="Q109" s="64">
        <v>8.1699999999999995E-2</v>
      </c>
      <c r="R109" s="69">
        <f t="shared" si="38"/>
        <v>1.0606731437932664E-3</v>
      </c>
      <c r="S109" s="69">
        <f t="shared" si="39"/>
        <v>1.1151097369354653E-3</v>
      </c>
      <c r="T109" s="69">
        <f t="shared" si="40"/>
        <v>-5.5612468900921993E-3</v>
      </c>
      <c r="U109" s="70">
        <f t="shared" si="41"/>
        <v>5.8599999999999999E-2</v>
      </c>
      <c r="V109" s="71">
        <f t="shared" si="42"/>
        <v>-1.8000000000000099E-3</v>
      </c>
    </row>
    <row r="110" spans="1:22">
      <c r="A110" s="159">
        <v>99</v>
      </c>
      <c r="B110" s="160" t="s">
        <v>170</v>
      </c>
      <c r="C110" s="155" t="s">
        <v>53</v>
      </c>
      <c r="D110" s="46">
        <v>58849801257.709999</v>
      </c>
      <c r="E110" s="41">
        <f t="shared" si="53"/>
        <v>0.24691510295870836</v>
      </c>
      <c r="F110" s="46">
        <v>128.33349999999999</v>
      </c>
      <c r="G110" s="46">
        <v>128.33349999999999</v>
      </c>
      <c r="H110" s="42">
        <v>1155</v>
      </c>
      <c r="I110" s="64">
        <v>3.0000000000000001E-3</v>
      </c>
      <c r="J110" s="64">
        <v>0.19919999999999999</v>
      </c>
      <c r="K110" s="46">
        <v>59161739222.669998</v>
      </c>
      <c r="L110" s="41">
        <f t="shared" si="52"/>
        <v>0.2493553607217025</v>
      </c>
      <c r="M110" s="46">
        <v>128.71340000000001</v>
      </c>
      <c r="N110" s="46">
        <v>128.71340000000001</v>
      </c>
      <c r="O110" s="42">
        <v>1069</v>
      </c>
      <c r="P110" s="64">
        <v>0.16550000000000001</v>
      </c>
      <c r="Q110" s="64">
        <v>0.19550000000000001</v>
      </c>
      <c r="R110" s="69">
        <f t="shared" ref="R110:R112" si="59">((K110-D110)/D110)</f>
        <v>5.3005780528295604E-3</v>
      </c>
      <c r="S110" s="69">
        <f t="shared" ref="S110:S112" si="60">((N110-G110)/G110)</f>
        <v>2.9602558957717243E-3</v>
      </c>
      <c r="T110" s="69">
        <f t="shared" ref="T110:T112" si="61">((O110-H110)/H110)</f>
        <v>-7.4458874458874461E-2</v>
      </c>
      <c r="U110" s="70">
        <f t="shared" ref="U110:U112" si="62">P110-I110</f>
        <v>0.16250000000000001</v>
      </c>
      <c r="V110" s="71">
        <f t="shared" ref="V110:V112" si="63">Q110-J110</f>
        <v>-3.6999999999999811E-3</v>
      </c>
    </row>
    <row r="111" spans="1:22">
      <c r="A111" s="159">
        <v>100</v>
      </c>
      <c r="B111" s="160" t="s">
        <v>171</v>
      </c>
      <c r="C111" s="160" t="s">
        <v>172</v>
      </c>
      <c r="D111" s="46">
        <v>115180496.2</v>
      </c>
      <c r="E111" s="41">
        <f t="shared" si="53"/>
        <v>4.8326083470557474E-4</v>
      </c>
      <c r="F111" s="46">
        <v>116.27087164448599</v>
      </c>
      <c r="G111" s="46">
        <v>116.27087164448599</v>
      </c>
      <c r="H111" s="76">
        <v>87</v>
      </c>
      <c r="I111" s="78">
        <v>8.0000000000000004E-4</v>
      </c>
      <c r="J111" s="78">
        <v>5.3100000000000001E-2</v>
      </c>
      <c r="K111" s="46">
        <v>115425570.31999999</v>
      </c>
      <c r="L111" s="41">
        <f t="shared" si="52"/>
        <v>4.8649659563461514E-4</v>
      </c>
      <c r="M111" s="46">
        <v>116.36734742236899</v>
      </c>
      <c r="N111" s="46">
        <v>116.36734742236899</v>
      </c>
      <c r="O111" s="76">
        <v>86</v>
      </c>
      <c r="P111" s="78">
        <v>1.6999999999999999E-3</v>
      </c>
      <c r="Q111" s="78">
        <v>5.3999999999999999E-2</v>
      </c>
      <c r="R111" s="69">
        <f t="shared" si="59"/>
        <v>2.1277397483549813E-3</v>
      </c>
      <c r="S111" s="69">
        <f t="shared" si="60"/>
        <v>8.2975019038292208E-4</v>
      </c>
      <c r="T111" s="69">
        <f t="shared" si="61"/>
        <v>-1.1494252873563218E-2</v>
      </c>
      <c r="U111" s="70">
        <f t="shared" si="62"/>
        <v>8.9999999999999987E-4</v>
      </c>
      <c r="V111" s="71">
        <f t="shared" si="63"/>
        <v>8.9999999999999802E-4</v>
      </c>
    </row>
    <row r="112" spans="1:22">
      <c r="A112" s="159">
        <v>101</v>
      </c>
      <c r="B112" s="160" t="s">
        <v>173</v>
      </c>
      <c r="C112" s="155" t="s">
        <v>126</v>
      </c>
      <c r="D112" s="46">
        <v>365225502.58999997</v>
      </c>
      <c r="E112" s="41">
        <f t="shared" si="53"/>
        <v>1.5323703844002578E-3</v>
      </c>
      <c r="F112" s="46">
        <v>1.37</v>
      </c>
      <c r="G112" s="46">
        <v>1.37</v>
      </c>
      <c r="H112" s="42">
        <v>738</v>
      </c>
      <c r="I112" s="64">
        <v>4.4999999999999997E-3</v>
      </c>
      <c r="J112" s="64">
        <v>0.27179999999999999</v>
      </c>
      <c r="K112" s="46">
        <v>364978988.62</v>
      </c>
      <c r="L112" s="41">
        <f t="shared" si="52"/>
        <v>1.5383162929109532E-3</v>
      </c>
      <c r="M112" s="46">
        <v>1.49</v>
      </c>
      <c r="N112" s="46">
        <v>1.49</v>
      </c>
      <c r="O112" s="42">
        <v>746</v>
      </c>
      <c r="P112" s="64">
        <v>-1.2999999999999999E-3</v>
      </c>
      <c r="Q112" s="64">
        <v>0.2712</v>
      </c>
      <c r="R112" s="69">
        <f t="shared" si="59"/>
        <v>-6.7496373679223638E-4</v>
      </c>
      <c r="S112" s="69">
        <f t="shared" si="60"/>
        <v>8.7591240875912316E-2</v>
      </c>
      <c r="T112" s="69">
        <f t="shared" si="61"/>
        <v>1.0840108401084011E-2</v>
      </c>
      <c r="U112" s="70">
        <f t="shared" si="62"/>
        <v>-5.7999999999999996E-3</v>
      </c>
      <c r="V112" s="71">
        <f t="shared" si="63"/>
        <v>-5.9999999999998943E-4</v>
      </c>
    </row>
    <row r="113" spans="1:28">
      <c r="A113" s="159">
        <v>102</v>
      </c>
      <c r="B113" s="160" t="s">
        <v>174</v>
      </c>
      <c r="C113" s="155" t="s">
        <v>128</v>
      </c>
      <c r="D113" s="46">
        <v>1989778719.8399999</v>
      </c>
      <c r="E113" s="41">
        <f t="shared" si="53"/>
        <v>8.348480487178768E-3</v>
      </c>
      <c r="F113" s="74">
        <v>30.105599999999999</v>
      </c>
      <c r="G113" s="74">
        <v>30.105599999999999</v>
      </c>
      <c r="H113" s="42">
        <v>1304</v>
      </c>
      <c r="I113" s="64">
        <v>0.13339999999999999</v>
      </c>
      <c r="J113" s="64">
        <v>0.13339999999999999</v>
      </c>
      <c r="K113" s="46">
        <v>1988848679.55</v>
      </c>
      <c r="L113" s="41">
        <f t="shared" si="52"/>
        <v>8.3826149539572379E-3</v>
      </c>
      <c r="M113" s="74">
        <v>30.023</v>
      </c>
      <c r="N113" s="74">
        <v>30.023</v>
      </c>
      <c r="O113" s="42">
        <v>1304</v>
      </c>
      <c r="P113" s="64">
        <v>0.13350000000000001</v>
      </c>
      <c r="Q113" s="64">
        <v>0.13350000000000001</v>
      </c>
      <c r="R113" s="69">
        <f t="shared" si="38"/>
        <v>-4.6740890367686077E-4</v>
      </c>
      <c r="S113" s="69">
        <f t="shared" si="39"/>
        <v>-2.7436755952380733E-3</v>
      </c>
      <c r="T113" s="69">
        <f t="shared" si="40"/>
        <v>0</v>
      </c>
      <c r="U113" s="70">
        <f t="shared" si="41"/>
        <v>1.0000000000001674E-4</v>
      </c>
      <c r="V113" s="71">
        <f t="shared" si="42"/>
        <v>1.0000000000001674E-4</v>
      </c>
    </row>
    <row r="114" spans="1:28">
      <c r="A114" s="49"/>
      <c r="B114" s="50"/>
      <c r="C114" s="51" t="s">
        <v>56</v>
      </c>
      <c r="D114" s="73">
        <f>SUM(D75:D113)</f>
        <v>238340225253.66324</v>
      </c>
      <c r="E114" s="53">
        <f>(D114/$D$231)</f>
        <v>3.1347418451550653E-2</v>
      </c>
      <c r="F114" s="54"/>
      <c r="G114" s="59"/>
      <c r="H114" s="56">
        <f>SUM(H75:H113)</f>
        <v>57292</v>
      </c>
      <c r="I114" s="67"/>
      <c r="J114" s="67"/>
      <c r="K114" s="73">
        <f>SUM(K75:K113)</f>
        <v>237258742107.80859</v>
      </c>
      <c r="L114" s="53">
        <f>(K114/$K$231)</f>
        <v>3.0923525743331935E-2</v>
      </c>
      <c r="M114" s="54"/>
      <c r="N114" s="59"/>
      <c r="O114" s="56">
        <f>SUM(O75:O113)</f>
        <v>57095</v>
      </c>
      <c r="P114" s="67"/>
      <c r="Q114" s="67"/>
      <c r="R114" s="69">
        <f t="shared" si="38"/>
        <v>-4.5375603077643838E-3</v>
      </c>
      <c r="S114" s="69" t="e">
        <f t="shared" si="39"/>
        <v>#DIV/0!</v>
      </c>
      <c r="T114" s="69">
        <f t="shared" si="40"/>
        <v>-3.4385254485792081E-3</v>
      </c>
      <c r="U114" s="70">
        <f t="shared" si="41"/>
        <v>0</v>
      </c>
      <c r="V114" s="71">
        <f t="shared" si="42"/>
        <v>0</v>
      </c>
    </row>
    <row r="115" spans="1:28" ht="3.75" customHeight="1">
      <c r="A115" s="49"/>
      <c r="B115" s="187"/>
      <c r="C115" s="187"/>
      <c r="D115" s="187"/>
      <c r="E115" s="187"/>
      <c r="F115" s="187"/>
      <c r="G115" s="187"/>
      <c r="H115" s="187"/>
      <c r="I115" s="187"/>
      <c r="J115" s="187"/>
      <c r="K115" s="187"/>
      <c r="L115" s="187"/>
      <c r="M115" s="187"/>
      <c r="N115" s="187"/>
      <c r="O115" s="187"/>
      <c r="P115" s="187"/>
      <c r="Q115" s="187"/>
      <c r="R115" s="187"/>
      <c r="S115" s="187"/>
      <c r="T115" s="187"/>
      <c r="U115" s="187"/>
      <c r="V115" s="187"/>
    </row>
    <row r="116" spans="1:28" ht="15" customHeight="1">
      <c r="A116" s="191" t="s">
        <v>175</v>
      </c>
      <c r="B116" s="191"/>
      <c r="C116" s="191"/>
      <c r="D116" s="191"/>
      <c r="E116" s="191"/>
      <c r="F116" s="191"/>
      <c r="G116" s="191"/>
      <c r="H116" s="191"/>
      <c r="I116" s="191"/>
      <c r="J116" s="191"/>
      <c r="K116" s="191"/>
      <c r="L116" s="191"/>
      <c r="M116" s="191"/>
      <c r="N116" s="191"/>
      <c r="O116" s="191"/>
      <c r="P116" s="191"/>
      <c r="Q116" s="191"/>
      <c r="R116" s="191"/>
      <c r="S116" s="191"/>
      <c r="T116" s="191"/>
      <c r="U116" s="191"/>
      <c r="V116" s="191"/>
    </row>
    <row r="117" spans="1:28">
      <c r="A117" s="190" t="s">
        <v>176</v>
      </c>
      <c r="B117" s="190"/>
      <c r="C117" s="190"/>
      <c r="D117" s="190"/>
      <c r="E117" s="190"/>
      <c r="F117" s="190"/>
      <c r="G117" s="190"/>
      <c r="H117" s="190"/>
      <c r="I117" s="190"/>
      <c r="J117" s="190"/>
      <c r="K117" s="190"/>
      <c r="L117" s="190"/>
      <c r="M117" s="190"/>
      <c r="N117" s="190"/>
      <c r="O117" s="190"/>
      <c r="P117" s="190"/>
      <c r="Q117" s="190"/>
      <c r="R117" s="190"/>
      <c r="S117" s="190"/>
      <c r="T117" s="190"/>
      <c r="U117" s="190"/>
      <c r="V117" s="190"/>
      <c r="Z117" s="79"/>
      <c r="AB117" s="81"/>
    </row>
    <row r="118" spans="1:28" ht="16.5" customHeight="1">
      <c r="A118" s="159">
        <v>103</v>
      </c>
      <c r="B118" s="160" t="s">
        <v>177</v>
      </c>
      <c r="C118" s="155" t="s">
        <v>20</v>
      </c>
      <c r="D118" s="46">
        <v>3566501940.3000002</v>
      </c>
      <c r="E118" s="41">
        <f t="shared" ref="E118:E123" si="64">(D118/$D$156)</f>
        <v>1.824986095841153E-3</v>
      </c>
      <c r="F118" s="46">
        <v>114.5485</v>
      </c>
      <c r="G118" s="46">
        <v>114.5214</v>
      </c>
      <c r="H118" s="42">
        <v>174</v>
      </c>
      <c r="I118" s="64">
        <v>6.9999999999999999E-4</v>
      </c>
      <c r="J118" s="64">
        <v>5.79E-2</v>
      </c>
      <c r="K118" s="46">
        <v>3530706445.3299999</v>
      </c>
      <c r="L118" s="41">
        <f t="shared" ref="L118:L134" si="65">(K118/$K$156)</f>
        <v>1.805342687205107E-3</v>
      </c>
      <c r="M118" s="154">
        <v>114.6808</v>
      </c>
      <c r="N118" s="46">
        <v>114.5214</v>
      </c>
      <c r="O118" s="42">
        <v>174</v>
      </c>
      <c r="P118" s="64">
        <v>1.1999999999999999E-3</v>
      </c>
      <c r="Q118" s="64">
        <v>5.91E-2</v>
      </c>
      <c r="R118" s="69">
        <f>((K118-D118)/D118)</f>
        <v>-1.0036583624286291E-2</v>
      </c>
      <c r="S118" s="69">
        <f>((N118-G118)/G118)</f>
        <v>0</v>
      </c>
      <c r="T118" s="69">
        <f>((O118-H118)/H118)</f>
        <v>0</v>
      </c>
      <c r="U118" s="69">
        <f>P118-I118</f>
        <v>4.999999999999999E-4</v>
      </c>
      <c r="V118" s="116">
        <f>Q118-J118</f>
        <v>1.1999999999999997E-3</v>
      </c>
      <c r="X118" s="79"/>
      <c r="Y118" s="82"/>
      <c r="Z118" s="79"/>
      <c r="AA118" s="83"/>
    </row>
    <row r="119" spans="1:28" ht="16.5" customHeight="1">
      <c r="A119" s="159">
        <v>104</v>
      </c>
      <c r="B119" s="160" t="s">
        <v>178</v>
      </c>
      <c r="C119" s="155" t="s">
        <v>60</v>
      </c>
      <c r="D119" s="46">
        <v>5951896834.5314999</v>
      </c>
      <c r="E119" s="41">
        <f t="shared" si="64"/>
        <v>3.0455973804930214E-3</v>
      </c>
      <c r="F119" s="46">
        <v>146449.74</v>
      </c>
      <c r="G119" s="46">
        <v>146449.74</v>
      </c>
      <c r="H119" s="42">
        <v>98</v>
      </c>
      <c r="I119" s="64">
        <v>1.3079999999999999E-3</v>
      </c>
      <c r="J119" s="64">
        <v>7.6071E-2</v>
      </c>
      <c r="K119" s="46">
        <f>4007768.94*W137</f>
        <v>5784720306.9796982</v>
      </c>
      <c r="L119" s="41">
        <f t="shared" si="65"/>
        <v>2.9578790152735507E-3</v>
      </c>
      <c r="M119" s="46">
        <f>100*W137</f>
        <v>144337.67000000001</v>
      </c>
      <c r="N119" s="46">
        <f>100*W137</f>
        <v>144337.67000000001</v>
      </c>
      <c r="O119" s="42">
        <v>98</v>
      </c>
      <c r="P119" s="64">
        <v>-5.7070000000000003E-3</v>
      </c>
      <c r="Q119" s="64">
        <v>7.0363999999999996E-2</v>
      </c>
      <c r="R119" s="70">
        <f>((K119-D119)/D119)</f>
        <v>-2.8087941071472031E-2</v>
      </c>
      <c r="S119" s="70">
        <f>((N119-G119)/G119)</f>
        <v>-1.4421807781973378E-2</v>
      </c>
      <c r="T119" s="70">
        <f>((O119-H119)/H119)</f>
        <v>0</v>
      </c>
      <c r="U119" s="70">
        <f>P119-I119</f>
        <v>-7.0150000000000004E-3</v>
      </c>
      <c r="V119" s="71">
        <f>Q119-J119</f>
        <v>-5.7070000000000037E-3</v>
      </c>
      <c r="X119" s="79"/>
      <c r="Y119" s="82"/>
      <c r="Z119" s="79"/>
      <c r="AA119" s="83"/>
    </row>
    <row r="120" spans="1:28">
      <c r="A120" s="159">
        <v>105</v>
      </c>
      <c r="B120" s="160" t="s">
        <v>179</v>
      </c>
      <c r="C120" s="155" t="s">
        <v>24</v>
      </c>
      <c r="D120" s="46">
        <v>17892800296.556511</v>
      </c>
      <c r="E120" s="41">
        <f t="shared" si="64"/>
        <v>9.1557812959247552E-3</v>
      </c>
      <c r="F120" s="46">
        <v>1797.0847595400001</v>
      </c>
      <c r="G120" s="46">
        <v>1797.0847595400001</v>
      </c>
      <c r="H120" s="42">
        <v>321</v>
      </c>
      <c r="I120" s="64">
        <v>7.2300000000000003E-2</v>
      </c>
      <c r="J120" s="64">
        <v>8.3000000000000004E-2</v>
      </c>
      <c r="K120" s="46">
        <f>12295564.6*W137</f>
        <v>17747131456.984821</v>
      </c>
      <c r="L120" s="41">
        <f t="shared" si="65"/>
        <v>9.0745731741911084E-3</v>
      </c>
      <c r="M120" s="46">
        <f>1.2283*W137</f>
        <v>1772.8996006099999</v>
      </c>
      <c r="N120" s="46">
        <f>1.2283*W137</f>
        <v>1772.8996006099999</v>
      </c>
      <c r="O120" s="42">
        <v>321</v>
      </c>
      <c r="P120" s="64">
        <v>5.0999999999999997E-2</v>
      </c>
      <c r="Q120" s="64">
        <v>8.2500000000000004E-2</v>
      </c>
      <c r="R120" s="70">
        <f t="shared" ref="R120:R132" si="66">((K120-D120)/D120)</f>
        <v>-8.1411985355765541E-3</v>
      </c>
      <c r="S120" s="70">
        <f t="shared" ref="S120:S132" si="67">((N120-G120)/G120)</f>
        <v>-1.3457995679731237E-2</v>
      </c>
      <c r="T120" s="70">
        <f t="shared" ref="T120:T132" si="68">((O120-H120)/H120)</f>
        <v>0</v>
      </c>
      <c r="U120" s="70">
        <f t="shared" ref="U120:U132" si="69">P120-I120</f>
        <v>-2.1300000000000006E-2</v>
      </c>
      <c r="V120" s="71">
        <f t="shared" ref="V120:V132" si="70">Q120-J120</f>
        <v>-5.0000000000000044E-4</v>
      </c>
    </row>
    <row r="121" spans="1:28">
      <c r="A121" s="159">
        <v>106</v>
      </c>
      <c r="B121" s="160" t="s">
        <v>180</v>
      </c>
      <c r="C121" s="155" t="s">
        <v>24</v>
      </c>
      <c r="D121" s="46">
        <v>4396834886.0255518</v>
      </c>
      <c r="E121" s="41">
        <f t="shared" si="64"/>
        <v>2.2498691062063439E-3</v>
      </c>
      <c r="F121" s="46">
        <v>1536.6971218199999</v>
      </c>
      <c r="G121" s="46">
        <v>1536.6971218199999</v>
      </c>
      <c r="H121" s="42">
        <v>102</v>
      </c>
      <c r="I121" s="64">
        <v>5.9700000000000003E-2</v>
      </c>
      <c r="J121" s="64">
        <v>5.0999999999999997E-2</v>
      </c>
      <c r="K121" s="46">
        <f>2925022.29*W137</f>
        <v>4221909020.366643</v>
      </c>
      <c r="L121" s="41">
        <f t="shared" si="65"/>
        <v>2.1587726688650833E-3</v>
      </c>
      <c r="M121" s="46">
        <f>1.0503*W137</f>
        <v>1515.9785480099999</v>
      </c>
      <c r="N121" s="46">
        <f>1.0503*W137</f>
        <v>1515.9785480099999</v>
      </c>
      <c r="O121" s="42">
        <v>102</v>
      </c>
      <c r="P121" s="64">
        <v>4.9700000000000001E-2</v>
      </c>
      <c r="Q121" s="64">
        <v>5.0999999999999997E-2</v>
      </c>
      <c r="R121" s="70">
        <f t="shared" si="66"/>
        <v>-3.9784497301655619E-2</v>
      </c>
      <c r="S121" s="70">
        <f t="shared" ref="S121" si="71">((N121-G121)/G121)</f>
        <v>-1.3482535703237174E-2</v>
      </c>
      <c r="T121" s="70">
        <f t="shared" ref="T121" si="72">((O121-H121)/H121)</f>
        <v>0</v>
      </c>
      <c r="U121" s="70">
        <f t="shared" ref="U121" si="73">P121-I121</f>
        <v>-1.0000000000000002E-2</v>
      </c>
      <c r="V121" s="71">
        <f t="shared" ref="V121" si="74">Q121-J121</f>
        <v>0</v>
      </c>
    </row>
    <row r="122" spans="1:28">
      <c r="A122" s="159">
        <v>107</v>
      </c>
      <c r="B122" s="160" t="s">
        <v>181</v>
      </c>
      <c r="C122" s="155" t="s">
        <v>28</v>
      </c>
      <c r="D122" s="46">
        <v>42521055409.142433</v>
      </c>
      <c r="E122" s="41">
        <f t="shared" si="64"/>
        <v>2.1758108141011902E-2</v>
      </c>
      <c r="F122" s="46">
        <v>1633.3539502199999</v>
      </c>
      <c r="G122" s="46">
        <v>1633.3539502199999</v>
      </c>
      <c r="H122" s="42">
        <v>618</v>
      </c>
      <c r="I122" s="64">
        <v>8.0000000000000002E-3</v>
      </c>
      <c r="J122" s="64">
        <v>0.10249999999999999</v>
      </c>
      <c r="K122" s="46">
        <f>29845354.81*W137</f>
        <v>43078089735.986923</v>
      </c>
      <c r="L122" s="41">
        <f t="shared" si="65"/>
        <v>2.2026955649766707E-2</v>
      </c>
      <c r="M122" s="46">
        <f xml:space="preserve"> 1.1169*W137</f>
        <v>1612.1074362300001</v>
      </c>
      <c r="N122" s="46">
        <f xml:space="preserve"> 1.1169*W137</f>
        <v>1612.1074362300001</v>
      </c>
      <c r="O122" s="42">
        <v>625</v>
      </c>
      <c r="P122" s="64">
        <v>1.4E-3</v>
      </c>
      <c r="Q122" s="64">
        <v>0.104</v>
      </c>
      <c r="R122" s="70">
        <f t="shared" si="66"/>
        <v>1.3100199924123293E-2</v>
      </c>
      <c r="S122" s="70">
        <f t="shared" ref="S122:T125" si="75">((N122-G122)/G122)</f>
        <v>-1.3007905596418998E-2</v>
      </c>
      <c r="T122" s="70">
        <f t="shared" si="75"/>
        <v>1.1326860841423949E-2</v>
      </c>
      <c r="U122" s="70">
        <f t="shared" si="69"/>
        <v>-6.6E-3</v>
      </c>
      <c r="V122" s="71">
        <f t="shared" si="70"/>
        <v>1.5000000000000013E-3</v>
      </c>
    </row>
    <row r="123" spans="1:28">
      <c r="A123" s="159">
        <v>108</v>
      </c>
      <c r="B123" s="160" t="s">
        <v>182</v>
      </c>
      <c r="C123" s="155" t="s">
        <v>69</v>
      </c>
      <c r="D123" s="46">
        <v>1410561088.4209981</v>
      </c>
      <c r="E123" s="41">
        <f t="shared" si="64"/>
        <v>7.2178689842135573E-4</v>
      </c>
      <c r="F123" s="46">
        <v>1661.7651997800001</v>
      </c>
      <c r="G123" s="46">
        <v>1669.5270359999997</v>
      </c>
      <c r="H123" s="42">
        <v>63</v>
      </c>
      <c r="I123" s="64">
        <v>1.9000000000000001E-4</v>
      </c>
      <c r="J123" s="64">
        <v>0.13239999999999999</v>
      </c>
      <c r="K123" s="46">
        <f>1008191.11*W137</f>
        <v>1455199557.321137</v>
      </c>
      <c r="L123" s="41">
        <f t="shared" si="65"/>
        <v>7.4408165048914915E-4</v>
      </c>
      <c r="M123" s="46">
        <f>1.1372*W137</f>
        <v>1641.40798324</v>
      </c>
      <c r="N123" s="46">
        <f>1.14*W137</f>
        <v>1645.4494379999999</v>
      </c>
      <c r="O123" s="42">
        <v>63</v>
      </c>
      <c r="P123" s="64">
        <v>1.1299999999999999E-3</v>
      </c>
      <c r="Q123" s="64">
        <v>0.13289999999999999</v>
      </c>
      <c r="R123" s="70">
        <f t="shared" si="66"/>
        <v>3.1645895570611399E-2</v>
      </c>
      <c r="S123" s="70">
        <f t="shared" si="75"/>
        <v>-1.4421807781973443E-2</v>
      </c>
      <c r="T123" s="70">
        <f t="shared" si="75"/>
        <v>0</v>
      </c>
      <c r="U123" s="70">
        <f t="shared" si="69"/>
        <v>9.3999999999999986E-4</v>
      </c>
      <c r="V123" s="71">
        <f t="shared" si="70"/>
        <v>5.0000000000000044E-4</v>
      </c>
    </row>
    <row r="124" spans="1:28">
      <c r="A124" s="159">
        <v>109</v>
      </c>
      <c r="B124" s="160" t="s">
        <v>183</v>
      </c>
      <c r="C124" s="155" t="s">
        <v>30</v>
      </c>
      <c r="D124" s="46">
        <v>662087573.20577395</v>
      </c>
      <c r="E124" s="41">
        <v>0</v>
      </c>
      <c r="F124" s="46">
        <v>2051.3215081799999</v>
      </c>
      <c r="G124" s="46">
        <v>2051.3215081799999</v>
      </c>
      <c r="H124" s="42">
        <v>67</v>
      </c>
      <c r="I124" s="64">
        <v>1.353E-3</v>
      </c>
      <c r="J124" s="64">
        <v>0.1608</v>
      </c>
      <c r="K124" s="46">
        <f>520281.6*W137</f>
        <v>750962338.87871993</v>
      </c>
      <c r="L124" s="41">
        <f t="shared" si="65"/>
        <v>3.8398671423231978E-4</v>
      </c>
      <c r="M124" s="46">
        <f>1.4121*W137</f>
        <v>2038.1922380699998</v>
      </c>
      <c r="N124" s="46">
        <f>1.4121*W137</f>
        <v>2038.1922380699998</v>
      </c>
      <c r="O124" s="42">
        <v>68</v>
      </c>
      <c r="P124" s="64">
        <v>3.57E-4</v>
      </c>
      <c r="Q124" s="64">
        <v>0.16139999999999999</v>
      </c>
      <c r="R124" s="70">
        <f t="shared" si="66"/>
        <v>0.13423415461888466</v>
      </c>
      <c r="S124" s="70">
        <f t="shared" si="75"/>
        <v>-6.4003960654850384E-3</v>
      </c>
      <c r="T124" s="70">
        <f t="shared" si="75"/>
        <v>1.4925373134328358E-2</v>
      </c>
      <c r="U124" s="70">
        <f t="shared" si="69"/>
        <v>-9.9599999999999992E-4</v>
      </c>
      <c r="V124" s="71">
        <f t="shared" si="70"/>
        <v>5.9999999999998943E-4</v>
      </c>
    </row>
    <row r="125" spans="1:28">
      <c r="A125" s="159">
        <v>110</v>
      </c>
      <c r="B125" s="160" t="s">
        <v>184</v>
      </c>
      <c r="C125" s="155" t="s">
        <v>79</v>
      </c>
      <c r="D125" s="46">
        <v>2083838461.5559258</v>
      </c>
      <c r="E125" s="41">
        <f t="shared" ref="E125:E134" si="76">(D125/$D$156)</f>
        <v>1.0663042617043107E-3</v>
      </c>
      <c r="F125" s="46">
        <v>160626.07483200001</v>
      </c>
      <c r="G125" s="46">
        <v>161519.41824600002</v>
      </c>
      <c r="H125" s="42">
        <v>84</v>
      </c>
      <c r="I125" s="64">
        <v>1.1999999999999999E-3</v>
      </c>
      <c r="J125" s="64">
        <v>6.0600000000000001E-2</v>
      </c>
      <c r="K125" s="46">
        <f>1423746.57*W137</f>
        <v>2055002625.8429191</v>
      </c>
      <c r="L125" s="41">
        <f t="shared" si="65"/>
        <v>1.0507766703912566E-3</v>
      </c>
      <c r="M125" s="46">
        <f>110.15*W137</f>
        <v>158987.943505</v>
      </c>
      <c r="N125" s="46">
        <f>110.17*W137</f>
        <v>159016.81103899999</v>
      </c>
      <c r="O125" s="42">
        <v>84</v>
      </c>
      <c r="P125" s="64">
        <v>1.6999999999999999E-3</v>
      </c>
      <c r="Q125" s="64">
        <v>6.2300000000000001E-2</v>
      </c>
      <c r="R125" s="70">
        <f t="shared" si="66"/>
        <v>-1.3837845996697878E-2</v>
      </c>
      <c r="S125" s="70">
        <f t="shared" si="75"/>
        <v>-1.5494156889473561E-2</v>
      </c>
      <c r="T125" s="70">
        <f t="shared" si="75"/>
        <v>0</v>
      </c>
      <c r="U125" s="70">
        <f t="shared" si="69"/>
        <v>5.0000000000000001E-4</v>
      </c>
      <c r="V125" s="71">
        <f t="shared" si="70"/>
        <v>1.7000000000000001E-3</v>
      </c>
    </row>
    <row r="126" spans="1:28">
      <c r="A126" s="159">
        <v>111</v>
      </c>
      <c r="B126" s="160" t="s">
        <v>185</v>
      </c>
      <c r="C126" s="155" t="s">
        <v>82</v>
      </c>
      <c r="D126" s="46">
        <v>5114195064.7550001</v>
      </c>
      <c r="E126" s="41">
        <f t="shared" si="76"/>
        <v>2.6169437282886313E-3</v>
      </c>
      <c r="F126" s="46">
        <v>1704.4542900000001</v>
      </c>
      <c r="G126" s="46">
        <v>1704.4542900000001</v>
      </c>
      <c r="H126" s="42">
        <v>57</v>
      </c>
      <c r="I126" s="64">
        <v>8.9999999999999993E-3</v>
      </c>
      <c r="J126" s="64">
        <v>8.6599999999999996E-2</v>
      </c>
      <c r="K126" s="46">
        <v>5047901300.8599997</v>
      </c>
      <c r="L126" s="41">
        <f t="shared" si="65"/>
        <v>2.5811241575449005E-3</v>
      </c>
      <c r="M126" s="46">
        <v>1684.49</v>
      </c>
      <c r="N126" s="46">
        <v>1684.49</v>
      </c>
      <c r="O126" s="42">
        <v>58</v>
      </c>
      <c r="P126" s="64">
        <v>8.9999999999999993E-3</v>
      </c>
      <c r="Q126" s="64">
        <v>8.5999999999999993E-2</v>
      </c>
      <c r="R126" s="70">
        <f t="shared" si="66"/>
        <v>-1.2962697561512804E-2</v>
      </c>
      <c r="S126" s="70">
        <f t="shared" si="67"/>
        <v>-1.1713009915918671E-2</v>
      </c>
      <c r="T126" s="70">
        <f t="shared" si="68"/>
        <v>1.7543859649122806E-2</v>
      </c>
      <c r="U126" s="70">
        <f t="shared" si="69"/>
        <v>0</v>
      </c>
      <c r="V126" s="71">
        <f t="shared" si="70"/>
        <v>-6.0000000000000331E-4</v>
      </c>
      <c r="X126" s="80"/>
    </row>
    <row r="127" spans="1:28">
      <c r="A127" s="159">
        <v>112</v>
      </c>
      <c r="B127" s="160" t="s">
        <v>186</v>
      </c>
      <c r="C127" s="155" t="s">
        <v>32</v>
      </c>
      <c r="D127" s="46">
        <v>58614026287.646683</v>
      </c>
      <c r="E127" s="41">
        <f t="shared" si="76"/>
        <v>2.9992913164439534E-2</v>
      </c>
      <c r="F127" s="46">
        <v>186781.99839600001</v>
      </c>
      <c r="G127" s="46">
        <v>186781.99839600001</v>
      </c>
      <c r="H127" s="42">
        <v>2549</v>
      </c>
      <c r="I127" s="64">
        <v>1.2999999999999999E-3</v>
      </c>
      <c r="J127" s="64">
        <v>7.7799999999999994E-2</v>
      </c>
      <c r="K127" s="46">
        <f>40069599.45*W137</f>
        <v>57835526224.462822</v>
      </c>
      <c r="L127" s="41">
        <f t="shared" si="65"/>
        <v>2.9572819475858214E-2</v>
      </c>
      <c r="M127" s="46">
        <f>127.67*W137</f>
        <v>184275.90328900001</v>
      </c>
      <c r="N127" s="46">
        <f>127.67*W137</f>
        <v>184275.90328900001</v>
      </c>
      <c r="O127" s="42">
        <v>2549</v>
      </c>
      <c r="P127" s="64">
        <v>1E-3</v>
      </c>
      <c r="Q127" s="64">
        <v>7.8799999999999995E-2</v>
      </c>
      <c r="R127" s="70">
        <f t="shared" si="66"/>
        <v>-1.3281804927772639E-2</v>
      </c>
      <c r="S127" s="70">
        <f t="shared" si="67"/>
        <v>-1.3417219692053952E-2</v>
      </c>
      <c r="T127" s="70">
        <f t="shared" si="68"/>
        <v>0</v>
      </c>
      <c r="U127" s="70">
        <f t="shared" si="69"/>
        <v>-2.9999999999999992E-4</v>
      </c>
      <c r="V127" s="71">
        <f t="shared" si="70"/>
        <v>1.0000000000000009E-3</v>
      </c>
    </row>
    <row r="128" spans="1:28">
      <c r="A128" s="159">
        <v>113</v>
      </c>
      <c r="B128" s="164" t="s">
        <v>187</v>
      </c>
      <c r="C128" s="164" t="s">
        <v>32</v>
      </c>
      <c r="D128" s="46">
        <v>166753516576.37729</v>
      </c>
      <c r="E128" s="41">
        <f t="shared" si="76"/>
        <v>8.5328104198061167E-2</v>
      </c>
      <c r="F128" s="46">
        <v>182110.25168999998</v>
      </c>
      <c r="G128" s="46">
        <v>182110.25168999998</v>
      </c>
      <c r="H128" s="42">
        <v>980</v>
      </c>
      <c r="I128" s="64">
        <v>1.5E-3</v>
      </c>
      <c r="J128" s="64">
        <v>8.5800000000000001E-2</v>
      </c>
      <c r="K128" s="46">
        <f>112039987.18 *W137</f>
        <v>161715906963.91071</v>
      </c>
      <c r="L128" s="41">
        <f t="shared" si="65"/>
        <v>8.2689579143062991E-2</v>
      </c>
      <c r="M128" s="46">
        <f>124.49*W137</f>
        <v>179685.965383</v>
      </c>
      <c r="N128" s="46">
        <f>124.49*W137</f>
        <v>179685.965383</v>
      </c>
      <c r="O128" s="42">
        <v>980</v>
      </c>
      <c r="P128" s="64">
        <v>1.1000000000000001E-3</v>
      </c>
      <c r="Q128" s="64">
        <v>8.6999999999999994E-2</v>
      </c>
      <c r="R128" s="70">
        <f t="shared" si="66"/>
        <v>-3.0209915304300235E-2</v>
      </c>
      <c r="S128" s="70">
        <f t="shared" si="67"/>
        <v>-1.3312190195238169E-2</v>
      </c>
      <c r="T128" s="70">
        <f t="shared" si="68"/>
        <v>0</v>
      </c>
      <c r="U128" s="70">
        <f t="shared" si="69"/>
        <v>-3.9999999999999996E-4</v>
      </c>
      <c r="V128" s="71">
        <f t="shared" si="70"/>
        <v>1.1999999999999927E-3</v>
      </c>
      <c r="X128" s="79"/>
    </row>
    <row r="129" spans="1:25">
      <c r="A129" s="159">
        <v>114</v>
      </c>
      <c r="B129" s="160" t="s">
        <v>188</v>
      </c>
      <c r="C129" s="155" t="s">
        <v>88</v>
      </c>
      <c r="D129" s="46">
        <v>2372796554.34828</v>
      </c>
      <c r="E129" s="41">
        <f t="shared" si="76"/>
        <v>1.2141646892195881E-3</v>
      </c>
      <c r="F129" s="46">
        <v>1464.4974</v>
      </c>
      <c r="G129" s="46">
        <v>1464.4974</v>
      </c>
      <c r="H129" s="42">
        <v>16</v>
      </c>
      <c r="I129" s="64">
        <v>0.08</v>
      </c>
      <c r="J129" s="64">
        <v>8.5800000000000001E-2</v>
      </c>
      <c r="K129" s="46">
        <f>1622687.63*W137</f>
        <v>2342149516.5202208</v>
      </c>
      <c r="L129" s="41">
        <f t="shared" si="65"/>
        <v>1.1976023969887273E-3</v>
      </c>
      <c r="M129" s="46">
        <f>1*W137</f>
        <v>1443.3767</v>
      </c>
      <c r="N129" s="46">
        <f>1*W137</f>
        <v>1443.3767</v>
      </c>
      <c r="O129" s="42">
        <v>16</v>
      </c>
      <c r="P129" s="64">
        <v>8.2900000000000001E-2</v>
      </c>
      <c r="Q129" s="64">
        <v>8.5199999999999998E-2</v>
      </c>
      <c r="R129" s="70">
        <f t="shared" ref="R129" si="77">((K129-D129)/D129)</f>
        <v>-1.2915998959917916E-2</v>
      </c>
      <c r="S129" s="70">
        <f t="shared" ref="S129" si="78">((N129-G129)/G129)</f>
        <v>-1.4421807781973489E-2</v>
      </c>
      <c r="T129" s="70">
        <f t="shared" si="68"/>
        <v>0</v>
      </c>
      <c r="U129" s="70">
        <f t="shared" si="69"/>
        <v>2.8999999999999998E-3</v>
      </c>
      <c r="V129" s="71">
        <f t="shared" si="70"/>
        <v>-6.0000000000000331E-4</v>
      </c>
    </row>
    <row r="130" spans="1:25">
      <c r="A130" s="159">
        <v>115</v>
      </c>
      <c r="B130" s="160" t="s">
        <v>189</v>
      </c>
      <c r="C130" s="155" t="s">
        <v>36</v>
      </c>
      <c r="D130" s="46">
        <v>264818397.13178751</v>
      </c>
      <c r="E130" s="41">
        <f t="shared" si="76"/>
        <v>1.3550809750794652E-4</v>
      </c>
      <c r="F130" s="46">
        <v>197521.74362915999</v>
      </c>
      <c r="G130" s="46">
        <v>197521.74362915999</v>
      </c>
      <c r="H130" s="42">
        <v>10</v>
      </c>
      <c r="I130" s="64">
        <v>1.8E-3</v>
      </c>
      <c r="J130" s="64">
        <v>0.1895</v>
      </c>
      <c r="K130" s="46">
        <f>181147.9904*W137</f>
        <v>261464788.5951837</v>
      </c>
      <c r="L130" s="41">
        <f t="shared" si="65"/>
        <v>1.3369379509766216E-4</v>
      </c>
      <c r="M130" s="46">
        <f>135.114*W137</f>
        <v>195020.39944380001</v>
      </c>
      <c r="N130" s="46">
        <f>135.114*W137</f>
        <v>195020.39944380001</v>
      </c>
      <c r="O130" s="42">
        <v>10</v>
      </c>
      <c r="P130" s="64">
        <v>1.8E-3</v>
      </c>
      <c r="Q130" s="64">
        <v>0.19170000000000001</v>
      </c>
      <c r="R130" s="70">
        <f t="shared" si="66"/>
        <v>-1.2663804980795489E-2</v>
      </c>
      <c r="S130" s="70">
        <f t="shared" si="67"/>
        <v>-1.2663639655065844E-2</v>
      </c>
      <c r="T130" s="70">
        <f t="shared" si="68"/>
        <v>0</v>
      </c>
      <c r="U130" s="70">
        <f t="shared" si="69"/>
        <v>0</v>
      </c>
      <c r="V130" s="71">
        <f t="shared" si="70"/>
        <v>2.2000000000000075E-3</v>
      </c>
    </row>
    <row r="131" spans="1:25">
      <c r="A131" s="159">
        <v>116</v>
      </c>
      <c r="B131" s="160" t="s">
        <v>190</v>
      </c>
      <c r="C131" s="155" t="s">
        <v>42</v>
      </c>
      <c r="D131" s="46">
        <v>14863378978.624044</v>
      </c>
      <c r="E131" s="41">
        <f t="shared" si="76"/>
        <v>7.6056204166609449E-3</v>
      </c>
      <c r="F131" s="46">
        <v>2167.4561519999997</v>
      </c>
      <c r="G131" s="46">
        <v>2167.4561519999997</v>
      </c>
      <c r="H131" s="60">
        <v>111</v>
      </c>
      <c r="I131" s="67">
        <v>2.2200000000000001E-2</v>
      </c>
      <c r="J131" s="67">
        <v>7.3200000000000001E-2</v>
      </c>
      <c r="K131" s="46">
        <f xml:space="preserve"> 10214131.74*W137</f>
        <v>14742839764.246458</v>
      </c>
      <c r="L131" s="41">
        <f t="shared" si="65"/>
        <v>7.5384001386530827E-3</v>
      </c>
      <c r="M131" s="46">
        <f>1.48*W137</f>
        <v>2136.1975160000002</v>
      </c>
      <c r="N131" s="46">
        <f>1.49*W137</f>
        <v>2150.6312830000002</v>
      </c>
      <c r="O131" s="60">
        <v>113</v>
      </c>
      <c r="P131" s="67">
        <v>2.2200000000000001E-2</v>
      </c>
      <c r="Q131" s="67">
        <v>7.3200000000000001E-2</v>
      </c>
      <c r="R131" s="70">
        <f t="shared" si="66"/>
        <v>-8.1098123482514547E-3</v>
      </c>
      <c r="S131" s="70">
        <f t="shared" si="67"/>
        <v>-7.7624956723920764E-3</v>
      </c>
      <c r="T131" s="70">
        <f t="shared" si="68"/>
        <v>1.8018018018018018E-2</v>
      </c>
      <c r="U131" s="70">
        <f t="shared" si="69"/>
        <v>0</v>
      </c>
      <c r="V131" s="71">
        <f t="shared" si="70"/>
        <v>0</v>
      </c>
    </row>
    <row r="132" spans="1:25">
      <c r="A132" s="159">
        <v>117</v>
      </c>
      <c r="B132" s="160" t="s">
        <v>191</v>
      </c>
      <c r="C132" s="155" t="s">
        <v>104</v>
      </c>
      <c r="D132" s="46">
        <v>36678050341.509598</v>
      </c>
      <c r="E132" s="41">
        <f t="shared" si="76"/>
        <v>1.8768230892981484E-2</v>
      </c>
      <c r="F132" s="46">
        <v>154738.79528399999</v>
      </c>
      <c r="G132" s="46">
        <v>154738.79528399999</v>
      </c>
      <c r="H132" s="42">
        <v>830</v>
      </c>
      <c r="I132" s="67">
        <v>8.0000000000000004E-4</v>
      </c>
      <c r="J132" s="64">
        <v>9.5000000000000001E-2</v>
      </c>
      <c r="K132" s="46">
        <f>25934288*W137</f>
        <v>37432947030.289604</v>
      </c>
      <c r="L132" s="41">
        <f t="shared" si="65"/>
        <v>1.9140446318060611E-2</v>
      </c>
      <c r="M132" s="46">
        <f>105.88*W137</f>
        <v>152824.724996</v>
      </c>
      <c r="N132" s="46">
        <f>105.88*W137</f>
        <v>152824.724996</v>
      </c>
      <c r="O132" s="42">
        <v>835</v>
      </c>
      <c r="P132" s="67">
        <v>2E-3</v>
      </c>
      <c r="Q132" s="64">
        <v>9.5799999999999996E-2</v>
      </c>
      <c r="R132" s="70">
        <f t="shared" si="66"/>
        <v>2.058170163765952E-2</v>
      </c>
      <c r="S132" s="70">
        <f t="shared" si="67"/>
        <v>-1.2369685859884055E-2</v>
      </c>
      <c r="T132" s="70">
        <f t="shared" si="68"/>
        <v>6.024096385542169E-3</v>
      </c>
      <c r="U132" s="70">
        <f t="shared" si="69"/>
        <v>1.2000000000000001E-3</v>
      </c>
      <c r="V132" s="71">
        <f t="shared" si="70"/>
        <v>7.9999999999999516E-4</v>
      </c>
    </row>
    <row r="133" spans="1:25">
      <c r="A133" s="159">
        <v>118</v>
      </c>
      <c r="B133" s="160" t="s">
        <v>192</v>
      </c>
      <c r="C133" s="155" t="s">
        <v>46</v>
      </c>
      <c r="D133" s="46">
        <v>2815803942.4037399</v>
      </c>
      <c r="E133" s="41">
        <f t="shared" si="76"/>
        <v>1.4408524457635013E-3</v>
      </c>
      <c r="F133" s="46">
        <v>223863.072564</v>
      </c>
      <c r="G133" s="46">
        <v>232767.21675599998</v>
      </c>
      <c r="H133" s="42">
        <v>49</v>
      </c>
      <c r="I133" s="64">
        <v>-1E-4</v>
      </c>
      <c r="J133" s="64">
        <v>0.1178</v>
      </c>
      <c r="K133" s="46">
        <f>1928801.96*W137</f>
        <v>2783987807.978332</v>
      </c>
      <c r="L133" s="41">
        <f t="shared" si="65"/>
        <v>1.4235258887211433E-3</v>
      </c>
      <c r="M133" s="46">
        <f>153.8*W137</f>
        <v>221991.33646000002</v>
      </c>
      <c r="N133" s="46">
        <f>159.93*W137</f>
        <v>230839.23563100002</v>
      </c>
      <c r="O133" s="42">
        <v>49</v>
      </c>
      <c r="P133" s="64">
        <v>9.9000000000000008E-3</v>
      </c>
      <c r="Q133" s="64">
        <v>0.12770000000000001</v>
      </c>
      <c r="R133" s="70">
        <f t="shared" ref="R133:R134" si="79">((K133-D133)/D133)</f>
        <v>-1.1299129867063017E-2</v>
      </c>
      <c r="S133" s="70">
        <f t="shared" ref="S133:S134" si="80">((N133-G133)/G133)</f>
        <v>-8.2828722698565539E-3</v>
      </c>
      <c r="T133" s="70">
        <f t="shared" ref="T133:T134" si="81">((O133-H133)/H133)</f>
        <v>0</v>
      </c>
      <c r="U133" s="70">
        <f t="shared" ref="U133:U134" si="82">P133-I133</f>
        <v>0.01</v>
      </c>
      <c r="V133" s="71">
        <f t="shared" ref="V133:V134" si="83">Q133-J133</f>
        <v>9.900000000000006E-3</v>
      </c>
    </row>
    <row r="134" spans="1:25">
      <c r="A134" s="159">
        <v>119</v>
      </c>
      <c r="B134" s="160" t="s">
        <v>193</v>
      </c>
      <c r="C134" s="155" t="s">
        <v>53</v>
      </c>
      <c r="D134" s="40">
        <v>163202550957.99158</v>
      </c>
      <c r="E134" s="41">
        <f t="shared" si="76"/>
        <v>8.3511068068867642E-2</v>
      </c>
      <c r="F134" s="46">
        <v>182581.51312599998</v>
      </c>
      <c r="G134" s="46">
        <v>182581.51312599998</v>
      </c>
      <c r="H134" s="42">
        <v>4117</v>
      </c>
      <c r="I134" s="64">
        <v>1.1000000000000001E-3</v>
      </c>
      <c r="J134" s="64">
        <v>7.7600000000000002E-2</v>
      </c>
      <c r="K134" s="40">
        <f>111257580.64*1459.56</f>
        <v>162387114398.9184</v>
      </c>
      <c r="L134" s="41">
        <f t="shared" si="65"/>
        <v>8.3032785085882618E-2</v>
      </c>
      <c r="M134" s="46">
        <f>124.6938*1459.56</f>
        <v>181998.08272799998</v>
      </c>
      <c r="N134" s="46">
        <f>124.6938*1459.56</f>
        <v>181998.08272799998</v>
      </c>
      <c r="O134" s="42">
        <v>4064</v>
      </c>
      <c r="P134" s="64">
        <v>5.7799999999999997E-2</v>
      </c>
      <c r="Q134" s="64">
        <v>7.5999999999999998E-2</v>
      </c>
      <c r="R134" s="70">
        <f t="shared" si="79"/>
        <v>-4.996469444175998E-3</v>
      </c>
      <c r="S134" s="70">
        <f t="shared" si="80"/>
        <v>-3.1954516534068262E-3</v>
      </c>
      <c r="T134" s="70">
        <f t="shared" si="81"/>
        <v>-1.2873451542385232E-2</v>
      </c>
      <c r="U134" s="70">
        <f t="shared" si="82"/>
        <v>5.67E-2</v>
      </c>
      <c r="V134" s="71">
        <f t="shared" si="83"/>
        <v>-1.6000000000000042E-3</v>
      </c>
    </row>
    <row r="135" spans="1:25" ht="6" customHeight="1">
      <c r="A135" s="84"/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  <c r="P135" s="187"/>
      <c r="Q135" s="187"/>
      <c r="R135" s="187"/>
      <c r="S135" s="187"/>
      <c r="T135" s="187"/>
      <c r="U135" s="187"/>
      <c r="V135" s="187"/>
    </row>
    <row r="136" spans="1:25">
      <c r="A136" s="190" t="s">
        <v>194</v>
      </c>
      <c r="B136" s="190"/>
      <c r="C136" s="190"/>
      <c r="D136" s="190"/>
      <c r="E136" s="190"/>
      <c r="F136" s="190"/>
      <c r="G136" s="190"/>
      <c r="H136" s="190"/>
      <c r="I136" s="190"/>
      <c r="J136" s="190"/>
      <c r="K136" s="190"/>
      <c r="L136" s="190"/>
      <c r="M136" s="190"/>
      <c r="N136" s="190"/>
      <c r="O136" s="190"/>
      <c r="P136" s="190"/>
      <c r="Q136" s="190"/>
      <c r="R136" s="190"/>
      <c r="S136" s="190"/>
      <c r="T136" s="190"/>
      <c r="U136" s="190"/>
      <c r="V136" s="190"/>
    </row>
    <row r="137" spans="1:25">
      <c r="A137" s="159">
        <v>120</v>
      </c>
      <c r="B137" s="160" t="s">
        <v>195</v>
      </c>
      <c r="C137" s="155" t="s">
        <v>64</v>
      </c>
      <c r="D137" s="40">
        <v>1566183414.986418</v>
      </c>
      <c r="E137" s="41">
        <f>(D137/$D$156)</f>
        <v>8.0141915067815761E-4</v>
      </c>
      <c r="F137" s="46">
        <v>176149.74727200001</v>
      </c>
      <c r="G137" s="46">
        <v>176149.74727200001</v>
      </c>
      <c r="H137" s="42">
        <v>23</v>
      </c>
      <c r="I137" s="64">
        <v>5.9999999999999995E-4</v>
      </c>
      <c r="J137" s="64">
        <v>0.16239999999999999</v>
      </c>
      <c r="K137" s="40">
        <f>1070587.08*W137</f>
        <v>1545260446.5930362</v>
      </c>
      <c r="L137" s="41">
        <f t="shared" ref="L137:L155" si="84">(K137/$K$156)</f>
        <v>7.9013214218756492E-4</v>
      </c>
      <c r="M137" s="46">
        <f>120.41*W137</f>
        <v>173796.98844700001</v>
      </c>
      <c r="N137" s="46">
        <f>120.41*W137</f>
        <v>173796.98844700001</v>
      </c>
      <c r="O137" s="42">
        <v>23</v>
      </c>
      <c r="P137" s="64">
        <v>6.9999999999999999E-4</v>
      </c>
      <c r="Q137" s="64">
        <v>0.16020000000000001</v>
      </c>
      <c r="R137" s="70">
        <f>((K137-D137)/D137)</f>
        <v>-1.3359206969742608E-2</v>
      </c>
      <c r="S137" s="70">
        <f>((N137-G137)/G137)</f>
        <v>-1.3356583596835971E-2</v>
      </c>
      <c r="T137" s="70">
        <f>((O137-H137)/H137)</f>
        <v>0</v>
      </c>
      <c r="U137" s="70">
        <f>P137-I137</f>
        <v>1.0000000000000005E-4</v>
      </c>
      <c r="V137" s="71">
        <f>Q137-J137</f>
        <v>-2.1999999999999797E-3</v>
      </c>
      <c r="W137" s="91">
        <v>1443.3767</v>
      </c>
      <c r="Y137" s="131"/>
    </row>
    <row r="138" spans="1:25">
      <c r="A138" s="159">
        <v>121</v>
      </c>
      <c r="B138" s="155" t="s">
        <v>196</v>
      </c>
      <c r="C138" s="155" t="s">
        <v>26</v>
      </c>
      <c r="D138" s="46">
        <v>24937276175.379421</v>
      </c>
      <c r="E138" s="41">
        <f t="shared" ref="E138:E155" si="85">(D138/$D$156)</f>
        <v>1.2760453534027841E-2</v>
      </c>
      <c r="F138" s="40">
        <v>198454.042674</v>
      </c>
      <c r="G138" s="40">
        <v>198454.042674</v>
      </c>
      <c r="H138" s="42">
        <v>651</v>
      </c>
      <c r="I138" s="64">
        <v>5.0000000000000001E-4</v>
      </c>
      <c r="J138" s="64">
        <v>5.7799999999999997E-2</v>
      </c>
      <c r="K138" s="46">
        <f>17181790.03*W137</f>
        <v>24799795393.594303</v>
      </c>
      <c r="L138" s="41">
        <f t="shared" si="84"/>
        <v>1.2680784979229196E-2</v>
      </c>
      <c r="M138" s="40">
        <f>135.54*W137</f>
        <v>195635.27791799998</v>
      </c>
      <c r="N138" s="40">
        <f>135.54*W137</f>
        <v>195635.27791799998</v>
      </c>
      <c r="O138" s="42">
        <v>652</v>
      </c>
      <c r="P138" s="64">
        <v>5.0000000000000001E-4</v>
      </c>
      <c r="Q138" s="64">
        <v>5.8000000000000003E-2</v>
      </c>
      <c r="R138" s="70">
        <f t="shared" ref="R138:R156" si="86">((K138-D138)/D138)</f>
        <v>-5.5130632879966624E-3</v>
      </c>
      <c r="S138" s="70">
        <f t="shared" ref="S138:S156" si="87">((N138-G138)/G138)</f>
        <v>-1.420361469093576E-2</v>
      </c>
      <c r="T138" s="70">
        <f t="shared" ref="T138:T156" si="88">((O138-H138)/H138)</f>
        <v>1.5360983102918587E-3</v>
      </c>
      <c r="U138" s="70">
        <f t="shared" ref="U138:U156" si="89">P138-I138</f>
        <v>0</v>
      </c>
      <c r="V138" s="71">
        <f t="shared" ref="V138:V156" si="90">Q138-J138</f>
        <v>2.0000000000000573E-4</v>
      </c>
    </row>
    <row r="139" spans="1:25">
      <c r="A139" s="159">
        <v>122</v>
      </c>
      <c r="B139" s="155" t="s">
        <v>197</v>
      </c>
      <c r="C139" s="155" t="s">
        <v>138</v>
      </c>
      <c r="D139" s="46">
        <v>393949775.08852553</v>
      </c>
      <c r="E139" s="41">
        <f t="shared" si="85"/>
        <v>2.0158487897411126E-4</v>
      </c>
      <c r="F139" s="40">
        <v>146449.74</v>
      </c>
      <c r="G139" s="40">
        <v>146449.74</v>
      </c>
      <c r="H139" s="42">
        <v>13</v>
      </c>
      <c r="I139" s="64">
        <v>1.5E-3</v>
      </c>
      <c r="J139" s="64">
        <v>1.5E-3</v>
      </c>
      <c r="K139" s="46">
        <f>270408.74*W137</f>
        <v>390301674.79235798</v>
      </c>
      <c r="L139" s="41">
        <f t="shared" si="84"/>
        <v>1.9957146970467853E-4</v>
      </c>
      <c r="M139" s="40">
        <f>100*W137</f>
        <v>144337.67000000001</v>
      </c>
      <c r="N139" s="40">
        <f>100*W137</f>
        <v>144337.67000000001</v>
      </c>
      <c r="O139" s="42">
        <v>15</v>
      </c>
      <c r="P139" s="64">
        <v>1E-3</v>
      </c>
      <c r="Q139" s="64">
        <v>1E-3</v>
      </c>
      <c r="R139" s="70">
        <v>0</v>
      </c>
      <c r="S139" s="70">
        <f t="shared" ref="S139" si="91">((N139-G139)/G139)</f>
        <v>-1.4421807781973378E-2</v>
      </c>
      <c r="T139" s="70">
        <f t="shared" ref="T139" si="92">((O139-H139)/H139)</f>
        <v>0.15384615384615385</v>
      </c>
      <c r="U139" s="70">
        <f t="shared" ref="U139" si="93">P139-I139</f>
        <v>-5.0000000000000001E-4</v>
      </c>
      <c r="V139" s="71">
        <f t="shared" ref="V139" si="94">Q139-J139</f>
        <v>-5.0000000000000001E-4</v>
      </c>
    </row>
    <row r="140" spans="1:25">
      <c r="A140" s="159">
        <v>123</v>
      </c>
      <c r="B140" s="160" t="s">
        <v>198</v>
      </c>
      <c r="C140" s="155" t="s">
        <v>73</v>
      </c>
      <c r="D140" s="40">
        <v>16870254356.200001</v>
      </c>
      <c r="E140" s="41">
        <f t="shared" si="85"/>
        <v>8.6325425160931994E-3</v>
      </c>
      <c r="F140" s="40">
        <v>170679.79</v>
      </c>
      <c r="G140" s="40">
        <v>170679.79</v>
      </c>
      <c r="H140" s="42">
        <v>454</v>
      </c>
      <c r="I140" s="64">
        <v>1.2999999999999999E-3</v>
      </c>
      <c r="J140" s="64">
        <v>6.7299999999999999E-2</v>
      </c>
      <c r="K140" s="40">
        <v>16938065159.040001</v>
      </c>
      <c r="L140" s="41">
        <f t="shared" ref="L140:L141" si="95">(K140/$K$114)</f>
        <v>7.1390689373812294E-2</v>
      </c>
      <c r="M140" s="40">
        <v>170838.08</v>
      </c>
      <c r="N140" s="40">
        <v>170838.08</v>
      </c>
      <c r="O140" s="42">
        <v>456</v>
      </c>
      <c r="P140" s="64">
        <v>8.9999999999999998E-4</v>
      </c>
      <c r="Q140" s="64">
        <v>6.7299999999999999E-2</v>
      </c>
      <c r="R140" s="70">
        <f t="shared" si="86"/>
        <v>4.0195483368677815E-3</v>
      </c>
      <c r="S140" s="70">
        <f t="shared" si="87"/>
        <v>9.2740915605754517E-4</v>
      </c>
      <c r="T140" s="70">
        <f t="shared" si="88"/>
        <v>4.4052863436123352E-3</v>
      </c>
      <c r="U140" s="70">
        <f t="shared" si="89"/>
        <v>-3.9999999999999996E-4</v>
      </c>
      <c r="V140" s="71">
        <f t="shared" si="90"/>
        <v>0</v>
      </c>
    </row>
    <row r="141" spans="1:25">
      <c r="A141" s="159">
        <v>124</v>
      </c>
      <c r="B141" s="160" t="s">
        <v>199</v>
      </c>
      <c r="C141" s="155" t="s">
        <v>75</v>
      </c>
      <c r="D141" s="46">
        <v>223584378.70878002</v>
      </c>
      <c r="E141" s="41">
        <f t="shared" ref="E141" si="96">(D141/$D$114)</f>
        <v>9.3808914743963713E-4</v>
      </c>
      <c r="F141" s="45">
        <v>1504.4781790200002</v>
      </c>
      <c r="G141" s="45">
        <v>1504.4781790200002</v>
      </c>
      <c r="H141" s="42">
        <v>5</v>
      </c>
      <c r="I141" s="64">
        <v>1.2999999999999999E-3</v>
      </c>
      <c r="J141" s="64">
        <v>8.3799999999999999E-2</v>
      </c>
      <c r="K141" s="46">
        <f>152805.39*W137</f>
        <v>220555739.56041303</v>
      </c>
      <c r="L141" s="41">
        <f t="shared" si="95"/>
        <v>9.2960005435835174E-4</v>
      </c>
      <c r="M141" s="45">
        <f>1.0282*W137</f>
        <v>1484.07992294</v>
      </c>
      <c r="N141" s="45">
        <f>1.0282*W137</f>
        <v>1484.07992294</v>
      </c>
      <c r="O141" s="42">
        <v>5</v>
      </c>
      <c r="P141" s="64">
        <v>8.7608293585117458E-4</v>
      </c>
      <c r="Q141" s="64">
        <v>8.4746099305320066E-2</v>
      </c>
      <c r="R141" s="69">
        <f t="shared" si="86"/>
        <v>-1.354584415001465E-2</v>
      </c>
      <c r="S141" s="69">
        <f t="shared" si="87"/>
        <v>-1.3558359545824338E-2</v>
      </c>
      <c r="T141" s="69">
        <f t="shared" si="88"/>
        <v>0</v>
      </c>
      <c r="U141" s="70">
        <f t="shared" si="89"/>
        <v>-4.2391706414882536E-4</v>
      </c>
      <c r="V141" s="71">
        <f t="shared" si="90"/>
        <v>9.460993053200667E-4</v>
      </c>
    </row>
    <row r="142" spans="1:25">
      <c r="A142" s="159">
        <v>125</v>
      </c>
      <c r="B142" s="160" t="s">
        <v>200</v>
      </c>
      <c r="C142" s="155" t="s">
        <v>71</v>
      </c>
      <c r="D142" s="40">
        <v>10862739182.908199</v>
      </c>
      <c r="E142" s="41">
        <f t="shared" si="85"/>
        <v>5.5584851216676483E-3</v>
      </c>
      <c r="F142" s="40">
        <v>1957.44637787177</v>
      </c>
      <c r="G142" s="40">
        <v>1957.44637787177</v>
      </c>
      <c r="H142" s="42">
        <v>311</v>
      </c>
      <c r="I142" s="64">
        <v>6.3399999999999998E-2</v>
      </c>
      <c r="J142" s="64">
        <v>6.0600000000000001E-2</v>
      </c>
      <c r="K142" s="40">
        <v>10793147131.594601</v>
      </c>
      <c r="L142" s="41">
        <f t="shared" si="84"/>
        <v>5.5188188391379778E-3</v>
      </c>
      <c r="M142" s="40">
        <v>1943.4165601372599</v>
      </c>
      <c r="N142" s="40">
        <v>1943.4165601372599</v>
      </c>
      <c r="O142" s="42">
        <v>305</v>
      </c>
      <c r="P142" s="64">
        <v>0.15440000000000001</v>
      </c>
      <c r="Q142" s="64">
        <v>6.08E-2</v>
      </c>
      <c r="R142" s="70">
        <f t="shared" si="86"/>
        <v>-6.4064919668785861E-3</v>
      </c>
      <c r="S142" s="70">
        <f t="shared" si="87"/>
        <v>-7.1674084629403511E-3</v>
      </c>
      <c r="T142" s="69">
        <f t="shared" si="88"/>
        <v>-1.9292604501607719E-2</v>
      </c>
      <c r="U142" s="70">
        <f t="shared" si="89"/>
        <v>9.1000000000000011E-2</v>
      </c>
      <c r="V142" s="71">
        <f t="shared" si="90"/>
        <v>1.9999999999999879E-4</v>
      </c>
    </row>
    <row r="143" spans="1:25">
      <c r="A143" s="159">
        <v>126</v>
      </c>
      <c r="B143" s="160" t="s">
        <v>201</v>
      </c>
      <c r="C143" s="155" t="s">
        <v>94</v>
      </c>
      <c r="D143" s="40">
        <v>499534058.70066005</v>
      </c>
      <c r="E143" s="41">
        <f t="shared" si="85"/>
        <v>2.5561256569823121E-4</v>
      </c>
      <c r="F143" s="40">
        <v>1523.0772959999999</v>
      </c>
      <c r="G143" s="40">
        <v>1523.0772959999999</v>
      </c>
      <c r="H143" s="42">
        <v>9</v>
      </c>
      <c r="I143" s="64">
        <v>4.0000000000000002E-4</v>
      </c>
      <c r="J143" s="64">
        <v>3.6499999999999998E-2</v>
      </c>
      <c r="K143" s="40">
        <f>291951.18*W137</f>
        <v>421395530.749506</v>
      </c>
      <c r="L143" s="41">
        <f t="shared" si="84"/>
        <v>2.1547057271379302E-4</v>
      </c>
      <c r="M143" s="40">
        <f>1.04*W137</f>
        <v>1501.111768</v>
      </c>
      <c r="N143" s="40">
        <f>1.04*W137</f>
        <v>1501.111768</v>
      </c>
      <c r="O143" s="42">
        <v>11</v>
      </c>
      <c r="P143" s="64">
        <v>1E-4</v>
      </c>
      <c r="Q143" s="64">
        <v>3.6799999999999999E-2</v>
      </c>
      <c r="R143" s="70">
        <f t="shared" si="86"/>
        <v>-0.15642282360966633</v>
      </c>
      <c r="S143" s="70">
        <f t="shared" si="87"/>
        <v>-1.4421807781973496E-2</v>
      </c>
      <c r="T143" s="69">
        <f t="shared" si="88"/>
        <v>0.22222222222222221</v>
      </c>
      <c r="U143" s="70">
        <f t="shared" si="89"/>
        <v>-3.0000000000000003E-4</v>
      </c>
      <c r="V143" s="71">
        <f t="shared" si="90"/>
        <v>3.0000000000000165E-4</v>
      </c>
    </row>
    <row r="144" spans="1:25">
      <c r="A144" s="159">
        <v>127</v>
      </c>
      <c r="B144" s="160" t="s">
        <v>202</v>
      </c>
      <c r="C144" s="155" t="s">
        <v>38</v>
      </c>
      <c r="D144" s="40">
        <v>116045015807.39799</v>
      </c>
      <c r="E144" s="41">
        <f t="shared" si="85"/>
        <v>5.9380464075214828E-2</v>
      </c>
      <c r="F144" s="40">
        <v>142173</v>
      </c>
      <c r="G144" s="40">
        <v>142173</v>
      </c>
      <c r="H144" s="42">
        <v>2173</v>
      </c>
      <c r="I144" s="64">
        <v>5.5E-2</v>
      </c>
      <c r="J144" s="64">
        <v>5.2699999999999997E-2</v>
      </c>
      <c r="K144" s="40">
        <v>116259171231.98599</v>
      </c>
      <c r="L144" s="41">
        <f t="shared" si="84"/>
        <v>5.944635949040928E-2</v>
      </c>
      <c r="M144" s="40">
        <f>100*1421.73</f>
        <v>142173</v>
      </c>
      <c r="N144" s="40">
        <f>100*1421.73</f>
        <v>142173</v>
      </c>
      <c r="O144" s="42">
        <v>2184</v>
      </c>
      <c r="P144" s="64">
        <v>5.6099999999999997E-2</v>
      </c>
      <c r="Q144" s="64">
        <v>5.2699999999999997E-2</v>
      </c>
      <c r="R144" s="70">
        <f t="shared" si="86"/>
        <v>1.8454512940343345E-3</v>
      </c>
      <c r="S144" s="70">
        <f t="shared" si="87"/>
        <v>0</v>
      </c>
      <c r="T144" s="70">
        <f t="shared" si="88"/>
        <v>5.0621260929590425E-3</v>
      </c>
      <c r="U144" s="70">
        <f t="shared" si="89"/>
        <v>1.0999999999999968E-3</v>
      </c>
      <c r="V144" s="71">
        <f t="shared" si="90"/>
        <v>0</v>
      </c>
    </row>
    <row r="145" spans="1:24" ht="15.5">
      <c r="A145" s="159">
        <v>128</v>
      </c>
      <c r="B145" s="160" t="s">
        <v>203</v>
      </c>
      <c r="C145" s="155" t="s">
        <v>152</v>
      </c>
      <c r="D145" s="40">
        <v>1521165907.21839</v>
      </c>
      <c r="E145" s="41">
        <f t="shared" si="85"/>
        <v>7.7838360292820693E-4</v>
      </c>
      <c r="F145" s="40">
        <v>1669.5270359999997</v>
      </c>
      <c r="G145" s="40">
        <v>1669.5270359999997</v>
      </c>
      <c r="H145" s="42">
        <v>53</v>
      </c>
      <c r="I145" s="64">
        <v>1.9E-3</v>
      </c>
      <c r="J145" s="64">
        <v>9.1700000000000004E-2</v>
      </c>
      <c r="K145" s="40">
        <f>1043209.63*W137</f>
        <v>1505744473.1576211</v>
      </c>
      <c r="L145" s="41">
        <f t="shared" si="84"/>
        <v>7.6992658990672393E-4</v>
      </c>
      <c r="M145" s="40">
        <f>1.14*W137</f>
        <v>1645.4494379999999</v>
      </c>
      <c r="N145" s="40">
        <f>1.14*W137</f>
        <v>1645.4494379999999</v>
      </c>
      <c r="O145" s="42">
        <v>53</v>
      </c>
      <c r="P145" s="64">
        <v>1.9E-3</v>
      </c>
      <c r="Q145" s="64">
        <v>9.1700000000000004E-2</v>
      </c>
      <c r="R145" s="70">
        <f t="shared" si="86"/>
        <v>-1.013790408238148E-2</v>
      </c>
      <c r="S145" s="70">
        <f t="shared" si="87"/>
        <v>-1.4421807781973443E-2</v>
      </c>
      <c r="T145" s="70">
        <f t="shared" si="88"/>
        <v>0</v>
      </c>
      <c r="U145" s="70">
        <f t="shared" si="89"/>
        <v>0</v>
      </c>
      <c r="V145" s="71">
        <f t="shared" si="90"/>
        <v>0</v>
      </c>
      <c r="X145" s="92"/>
    </row>
    <row r="146" spans="1:24" ht="15.5">
      <c r="A146" s="159">
        <v>129</v>
      </c>
      <c r="B146" s="160" t="s">
        <v>204</v>
      </c>
      <c r="C146" s="155" t="s">
        <v>44</v>
      </c>
      <c r="D146" s="46">
        <v>8984000438.0319653</v>
      </c>
      <c r="E146" s="41">
        <f t="shared" si="85"/>
        <v>4.5971307905863703E-3</v>
      </c>
      <c r="F146" s="40">
        <v>15963.02166</v>
      </c>
      <c r="G146" s="40">
        <v>15963.02166</v>
      </c>
      <c r="H146" s="42">
        <v>179</v>
      </c>
      <c r="I146" s="64">
        <v>0.06</v>
      </c>
      <c r="J146" s="64">
        <v>7.8899999999999998E-2</v>
      </c>
      <c r="K146" s="46">
        <f>6171994.68*W137</f>
        <v>8908513313.6359558</v>
      </c>
      <c r="L146" s="41">
        <f t="shared" si="84"/>
        <v>4.5551562027804906E-3</v>
      </c>
      <c r="M146" s="40">
        <f>10.92*W137</f>
        <v>15761.673564000001</v>
      </c>
      <c r="N146" s="40">
        <f>10.92*W137</f>
        <v>15761.673564000001</v>
      </c>
      <c r="O146" s="42">
        <v>179</v>
      </c>
      <c r="P146" s="64">
        <v>6.0900000000000003E-2</v>
      </c>
      <c r="Q146" s="64">
        <v>8.0699999999999994E-2</v>
      </c>
      <c r="R146" s="70">
        <f t="shared" si="86"/>
        <v>-8.4023954491865161E-3</v>
      </c>
      <c r="S146" s="70">
        <f t="shared" si="87"/>
        <v>-1.2613407429279884E-2</v>
      </c>
      <c r="T146" s="70">
        <f t="shared" si="88"/>
        <v>0</v>
      </c>
      <c r="U146" s="70">
        <f t="shared" si="89"/>
        <v>9.0000000000000496E-4</v>
      </c>
      <c r="V146" s="71">
        <f t="shared" si="90"/>
        <v>1.799999999999996E-3</v>
      </c>
      <c r="X146" s="92"/>
    </row>
    <row r="147" spans="1:24" ht="15.5">
      <c r="A147" s="159">
        <v>130</v>
      </c>
      <c r="B147" s="155" t="s">
        <v>205</v>
      </c>
      <c r="C147" s="166" t="s">
        <v>48</v>
      </c>
      <c r="D147" s="40">
        <v>28334928466.299999</v>
      </c>
      <c r="E147" s="41">
        <f t="shared" si="85"/>
        <v>1.4499038930370375E-2</v>
      </c>
      <c r="F147" s="40">
        <v>1640.2370880000001</v>
      </c>
      <c r="G147" s="40">
        <v>1654.8820619999999</v>
      </c>
      <c r="H147" s="42">
        <v>460</v>
      </c>
      <c r="I147" s="64">
        <v>-3.9999999999999998E-6</v>
      </c>
      <c r="J147" s="64">
        <v>0.1653</v>
      </c>
      <c r="K147" s="40">
        <v>28221647959.119999</v>
      </c>
      <c r="L147" s="41">
        <f t="shared" si="84"/>
        <v>1.443046782642168E-2</v>
      </c>
      <c r="M147" s="40">
        <f>1.13*W137</f>
        <v>1631.0156709999999</v>
      </c>
      <c r="N147" s="40">
        <f>1.13*W137</f>
        <v>1631.0156709999999</v>
      </c>
      <c r="O147" s="42">
        <v>460</v>
      </c>
      <c r="P147" s="64">
        <v>3.5999999999999999E-3</v>
      </c>
      <c r="Q147" s="64">
        <v>0.1694</v>
      </c>
      <c r="R147" s="70">
        <f t="shared" si="86"/>
        <v>-3.9979104699251278E-3</v>
      </c>
      <c r="S147" s="70">
        <f t="shared" si="87"/>
        <v>-1.4421807781973543E-2</v>
      </c>
      <c r="T147" s="70">
        <f t="shared" si="88"/>
        <v>0</v>
      </c>
      <c r="U147" s="70">
        <f t="shared" si="89"/>
        <v>3.604E-3</v>
      </c>
      <c r="V147" s="71">
        <f t="shared" si="90"/>
        <v>4.0999999999999925E-3</v>
      </c>
      <c r="X147" s="92"/>
    </row>
    <row r="148" spans="1:24">
      <c r="A148" s="159">
        <v>131</v>
      </c>
      <c r="B148" s="160" t="s">
        <v>206</v>
      </c>
      <c r="C148" s="155" t="s">
        <v>106</v>
      </c>
      <c r="D148" s="46">
        <v>465195801.37119997</v>
      </c>
      <c r="E148" s="41">
        <f t="shared" si="85"/>
        <v>2.3804161151660838E-4</v>
      </c>
      <c r="F148" s="40">
        <v>1934.8824</v>
      </c>
      <c r="G148" s="40">
        <v>1934.8824</v>
      </c>
      <c r="H148" s="42">
        <v>2</v>
      </c>
      <c r="I148" s="64">
        <v>1.1841000000000001E-2</v>
      </c>
      <c r="J148" s="64">
        <v>0.19101599999999999</v>
      </c>
      <c r="K148" s="46">
        <f>318615.72 *1449.14</f>
        <v>461718784.48079997</v>
      </c>
      <c r="L148" s="41">
        <f t="shared" si="84"/>
        <v>2.3608890855544737E-4</v>
      </c>
      <c r="M148" s="40">
        <f>1.33*1449.14</f>
        <v>1927.3562000000002</v>
      </c>
      <c r="N148" s="40">
        <f>1.33*1449.14</f>
        <v>1927.3562000000002</v>
      </c>
      <c r="O148" s="42">
        <v>2</v>
      </c>
      <c r="P148" s="64">
        <v>3.9500000000000004E-3</v>
      </c>
      <c r="Q148" s="64">
        <v>0.19572000000000001</v>
      </c>
      <c r="R148" s="70">
        <f t="shared" si="86"/>
        <v>-7.4743084098162988E-3</v>
      </c>
      <c r="S148" s="70">
        <f t="shared" si="87"/>
        <v>-3.8897454439607232E-3</v>
      </c>
      <c r="T148" s="70">
        <f t="shared" si="88"/>
        <v>0</v>
      </c>
      <c r="U148" s="70">
        <f t="shared" ref="U148" si="97">P148-I148</f>
        <v>-7.8910000000000004E-3</v>
      </c>
      <c r="V148" s="71">
        <f t="shared" ref="V148" si="98">Q148-J148</f>
        <v>4.7040000000000137E-3</v>
      </c>
    </row>
    <row r="149" spans="1:24">
      <c r="A149" s="159">
        <v>132</v>
      </c>
      <c r="B149" s="160" t="s">
        <v>207</v>
      </c>
      <c r="C149" s="155" t="s">
        <v>111</v>
      </c>
      <c r="D149" s="46">
        <v>925728870.15437996</v>
      </c>
      <c r="E149" s="41">
        <f t="shared" si="85"/>
        <v>4.7369729354706987E-4</v>
      </c>
      <c r="F149" s="40">
        <v>1592.7873722399997</v>
      </c>
      <c r="G149" s="40">
        <v>1592.7873722399997</v>
      </c>
      <c r="H149" s="42">
        <v>9</v>
      </c>
      <c r="I149" s="64">
        <v>6.2600000000000003E-2</v>
      </c>
      <c r="J149" s="64">
        <v>0.113</v>
      </c>
      <c r="K149" s="46">
        <f>633029.26*W137</f>
        <v>913699684.30224204</v>
      </c>
      <c r="L149" s="41">
        <f t="shared" si="84"/>
        <v>4.6719858161487339E-4</v>
      </c>
      <c r="M149" s="40">
        <f>1.0892*W137</f>
        <v>1572.1259016399999</v>
      </c>
      <c r="N149" s="40">
        <f>1.0892*W137</f>
        <v>1572.1259016399999</v>
      </c>
      <c r="O149" s="42">
        <v>9</v>
      </c>
      <c r="P149" s="64">
        <v>8.3400000000000002E-2</v>
      </c>
      <c r="Q149" s="64">
        <v>0.1123</v>
      </c>
      <c r="R149" s="70">
        <f t="shared" ref="R149" si="99">((K149-D149)/D149)</f>
        <v>-1.2994286167322259E-2</v>
      </c>
      <c r="S149" s="70">
        <f t="shared" ref="S149" si="100">((N149-G149)/G149)</f>
        <v>-1.2971895031376825E-2</v>
      </c>
      <c r="T149" s="70">
        <f t="shared" si="88"/>
        <v>0</v>
      </c>
      <c r="U149" s="70">
        <f t="shared" si="89"/>
        <v>2.0799999999999999E-2</v>
      </c>
      <c r="V149" s="71">
        <f t="shared" si="90"/>
        <v>-7.0000000000000617E-4</v>
      </c>
    </row>
    <row r="150" spans="1:24">
      <c r="A150" s="159">
        <v>133</v>
      </c>
      <c r="B150" s="160" t="s">
        <v>208</v>
      </c>
      <c r="C150" s="155" t="s">
        <v>50</v>
      </c>
      <c r="D150" s="46">
        <v>1024320355439.91</v>
      </c>
      <c r="E150" s="41">
        <f t="shared" si="85"/>
        <v>0.52414675153875268</v>
      </c>
      <c r="F150" s="40">
        <v>2448.8000000000002</v>
      </c>
      <c r="G150" s="40">
        <v>2448.8000000000002</v>
      </c>
      <c r="H150" s="42">
        <v>12795</v>
      </c>
      <c r="I150" s="64">
        <v>8.0000000000000004E-4</v>
      </c>
      <c r="J150" s="64">
        <v>6.0999999999999999E-2</v>
      </c>
      <c r="K150" s="46">
        <v>1017737450703.85</v>
      </c>
      <c r="L150" s="41">
        <f t="shared" si="84"/>
        <v>0.52039581669362855</v>
      </c>
      <c r="M150" s="40">
        <v>2422.38</v>
      </c>
      <c r="N150" s="40">
        <v>2422.38</v>
      </c>
      <c r="O150" s="42">
        <v>12830</v>
      </c>
      <c r="P150" s="64">
        <v>5.9999999999999995E-4</v>
      </c>
      <c r="Q150" s="64">
        <v>6.1600000000000002E-2</v>
      </c>
      <c r="R150" s="70">
        <f t="shared" si="86"/>
        <v>-6.4266073607733096E-3</v>
      </c>
      <c r="S150" s="70">
        <f t="shared" si="87"/>
        <v>-1.0788957856909536E-2</v>
      </c>
      <c r="T150" s="70">
        <f t="shared" si="88"/>
        <v>2.7354435326299334E-3</v>
      </c>
      <c r="U150" s="70">
        <f t="shared" si="89"/>
        <v>-2.0000000000000009E-4</v>
      </c>
      <c r="V150" s="71">
        <f t="shared" si="90"/>
        <v>6.0000000000000331E-4</v>
      </c>
    </row>
    <row r="151" spans="1:24">
      <c r="A151" s="159">
        <v>134</v>
      </c>
      <c r="B151" s="160" t="s">
        <v>209</v>
      </c>
      <c r="C151" s="160" t="s">
        <v>117</v>
      </c>
      <c r="D151" s="46">
        <v>581569315.76911199</v>
      </c>
      <c r="E151" s="41">
        <f t="shared" si="85"/>
        <v>2.9759016897021659E-4</v>
      </c>
      <c r="F151" s="40">
        <v>164931.69718799999</v>
      </c>
      <c r="G151" s="40">
        <v>164931.69718799999</v>
      </c>
      <c r="H151" s="42">
        <v>30</v>
      </c>
      <c r="I151" s="64">
        <v>0</v>
      </c>
      <c r="J151" s="64">
        <v>7.6499999999999999E-2</v>
      </c>
      <c r="K151" s="46">
        <f>397706.4*W137</f>
        <v>574040151.20088005</v>
      </c>
      <c r="L151" s="41">
        <f t="shared" si="84"/>
        <v>2.9352176545387095E-4</v>
      </c>
      <c r="M151" s="40">
        <f>112.78*W137</f>
        <v>162784.02422600001</v>
      </c>
      <c r="N151" s="40">
        <f>112.78*W137</f>
        <v>162784.02422600001</v>
      </c>
      <c r="O151" s="42">
        <v>30</v>
      </c>
      <c r="P151" s="64">
        <v>0</v>
      </c>
      <c r="Q151" s="64">
        <v>7.6499999999999999E-2</v>
      </c>
      <c r="R151" s="70">
        <f t="shared" ref="R151" si="101">((K151-D151)/D151)</f>
        <v>-1.2946289228266444E-2</v>
      </c>
      <c r="S151" s="70">
        <f t="shared" ref="S151" si="102">((N151-G151)/G151)</f>
        <v>-1.3021590140747314E-2</v>
      </c>
      <c r="T151" s="70">
        <f t="shared" ref="T151" si="103">((O151-H151)/H151)</f>
        <v>0</v>
      </c>
      <c r="U151" s="70">
        <f t="shared" ref="U151" si="104">P151-I151</f>
        <v>0</v>
      </c>
      <c r="V151" s="71">
        <f t="shared" ref="V151" si="105">Q151-J151</f>
        <v>0</v>
      </c>
    </row>
    <row r="152" spans="1:24" ht="16.5" customHeight="1">
      <c r="A152" s="159">
        <v>135</v>
      </c>
      <c r="B152" s="160" t="s">
        <v>210</v>
      </c>
      <c r="C152" s="155" t="s">
        <v>53</v>
      </c>
      <c r="D152" s="46">
        <v>179870136811.00461</v>
      </c>
      <c r="E152" s="41">
        <f t="shared" si="85"/>
        <v>9.2039904711089915E-2</v>
      </c>
      <c r="F152" s="40">
        <v>1826.5583019999999</v>
      </c>
      <c r="G152" s="40">
        <v>1826.5583019999999</v>
      </c>
      <c r="H152" s="42">
        <v>917</v>
      </c>
      <c r="I152" s="64">
        <v>1.1000000000000001E-3</v>
      </c>
      <c r="J152" s="64">
        <v>8.9700000000000002E-2</v>
      </c>
      <c r="K152" s="46">
        <f>133075041.03*1459.56</f>
        <v>194231006885.7468</v>
      </c>
      <c r="L152" s="41">
        <f t="shared" si="84"/>
        <v>9.9315401418736099E-2</v>
      </c>
      <c r="M152" s="40">
        <f>1.2473*1459.56</f>
        <v>1820.509188</v>
      </c>
      <c r="N152" s="40">
        <f>1.2473*1459.56</f>
        <v>1820.509188</v>
      </c>
      <c r="O152" s="42">
        <v>883</v>
      </c>
      <c r="P152" s="64">
        <v>8.8900000000000007E-2</v>
      </c>
      <c r="Q152" s="64">
        <v>8.7599999999999997E-2</v>
      </c>
      <c r="R152" s="70">
        <f t="shared" si="86"/>
        <v>7.984021321911608E-2</v>
      </c>
      <c r="S152" s="70">
        <f t="shared" si="87"/>
        <v>-3.3117552247724081E-3</v>
      </c>
      <c r="T152" s="70">
        <f t="shared" si="88"/>
        <v>-3.7077426390403491E-2</v>
      </c>
      <c r="U152" s="70">
        <f t="shared" si="89"/>
        <v>8.7800000000000003E-2</v>
      </c>
      <c r="V152" s="71">
        <f t="shared" si="90"/>
        <v>-2.1000000000000046E-3</v>
      </c>
    </row>
    <row r="153" spans="1:24" ht="16.5" customHeight="1">
      <c r="A153" s="159">
        <v>136</v>
      </c>
      <c r="B153" s="160" t="s">
        <v>211</v>
      </c>
      <c r="C153" s="155" t="s">
        <v>113</v>
      </c>
      <c r="D153" s="40">
        <v>1939464128.2568996</v>
      </c>
      <c r="E153" s="41">
        <f t="shared" si="85"/>
        <v>9.9242762984556106E-4</v>
      </c>
      <c r="F153" s="40">
        <v>162837.465906</v>
      </c>
      <c r="G153" s="40">
        <v>162720.30611400001</v>
      </c>
      <c r="H153" s="42">
        <v>31</v>
      </c>
      <c r="I153" s="64">
        <v>6.9999999999999999E-4</v>
      </c>
      <c r="J153" s="64">
        <v>8.2400000000000001E-2</v>
      </c>
      <c r="K153" s="40">
        <f>1330185.24430905*W137</f>
        <v>1919958388.3194904</v>
      </c>
      <c r="L153" s="41">
        <f t="shared" si="84"/>
        <v>9.8172501445860805E-4</v>
      </c>
      <c r="M153" s="40">
        <f>111.69*W137</f>
        <v>161210.74362299999</v>
      </c>
      <c r="N153" s="40">
        <f>111.69*W137</f>
        <v>161210.74362299999</v>
      </c>
      <c r="O153" s="42">
        <v>31</v>
      </c>
      <c r="P153" s="64">
        <v>4.0000000000000001E-3</v>
      </c>
      <c r="Q153" s="64">
        <v>8.5699999999999998E-2</v>
      </c>
      <c r="R153" s="70">
        <f t="shared" si="86"/>
        <v>-1.005728317075914E-2</v>
      </c>
      <c r="S153" s="70">
        <f t="shared" si="87"/>
        <v>-9.2770381708994348E-3</v>
      </c>
      <c r="T153" s="70">
        <f t="shared" si="88"/>
        <v>0</v>
      </c>
      <c r="U153" s="70">
        <f t="shared" si="89"/>
        <v>3.3E-3</v>
      </c>
      <c r="V153" s="71">
        <f t="shared" si="90"/>
        <v>3.2999999999999974E-3</v>
      </c>
    </row>
    <row r="154" spans="1:24" ht="16.5" customHeight="1">
      <c r="A154" s="159">
        <v>137</v>
      </c>
      <c r="B154" s="160" t="s">
        <v>212</v>
      </c>
      <c r="C154" s="155" t="s">
        <v>124</v>
      </c>
      <c r="D154" s="40">
        <v>4975449695.4499559</v>
      </c>
      <c r="E154" s="41">
        <f t="shared" si="85"/>
        <v>2.5459474484372446E-3</v>
      </c>
      <c r="F154" s="40">
        <v>1684.1720099999998</v>
      </c>
      <c r="G154" s="40">
        <v>1684.1720099999998</v>
      </c>
      <c r="H154" s="42">
        <v>45</v>
      </c>
      <c r="I154" s="64">
        <v>0.15110000000000001</v>
      </c>
      <c r="J154" s="64">
        <v>0.15570000000000001</v>
      </c>
      <c r="K154" s="40">
        <f>3413026.07*W137</f>
        <v>4926282305.9305687</v>
      </c>
      <c r="L154" s="41">
        <f t="shared" si="84"/>
        <v>2.5189371798052199E-3</v>
      </c>
      <c r="M154" s="40">
        <f>1.16*W137</f>
        <v>1674.3169719999999</v>
      </c>
      <c r="N154" s="40">
        <f>1.16*W137</f>
        <v>1674.3169719999999</v>
      </c>
      <c r="O154" s="42">
        <v>45</v>
      </c>
      <c r="P154" s="64">
        <v>0.15659999999999999</v>
      </c>
      <c r="Q154" s="64">
        <v>0.161</v>
      </c>
      <c r="R154" s="70">
        <f t="shared" ref="R154" si="106">((K154-D154)/D154)</f>
        <v>-9.8819991214765517E-3</v>
      </c>
      <c r="S154" s="70">
        <f t="shared" ref="S154" si="107">((N154-G154)/G154)</f>
        <v>-5.8515626322515144E-3</v>
      </c>
      <c r="T154" s="70">
        <f t="shared" si="88"/>
        <v>0</v>
      </c>
      <c r="U154" s="70">
        <f t="shared" si="89"/>
        <v>5.4999999999999771E-3</v>
      </c>
      <c r="V154" s="71">
        <f t="shared" si="90"/>
        <v>5.2999999999999992E-3</v>
      </c>
    </row>
    <row r="155" spans="1:24">
      <c r="A155" s="159">
        <v>138</v>
      </c>
      <c r="B155" s="160" t="s">
        <v>213</v>
      </c>
      <c r="C155" s="155" t="s">
        <v>126</v>
      </c>
      <c r="D155" s="40">
        <v>1781281880.6706901</v>
      </c>
      <c r="E155" s="41">
        <f t="shared" si="85"/>
        <v>9.1148546094001095E-4</v>
      </c>
      <c r="F155" s="40">
        <v>2182.101126</v>
      </c>
      <c r="G155" s="40">
        <v>2182.101126</v>
      </c>
      <c r="H155" s="42">
        <v>123</v>
      </c>
      <c r="I155" s="64">
        <v>1.5E-3</v>
      </c>
      <c r="J155" s="64">
        <v>0.19439999999999999</v>
      </c>
      <c r="K155" s="40">
        <f>1217589.66*W137</f>
        <v>1757440545.404922</v>
      </c>
      <c r="L155" s="41">
        <f t="shared" si="84"/>
        <v>8.986253844584307E-4</v>
      </c>
      <c r="M155" s="40">
        <f>1.49*W137</f>
        <v>2150.6312830000002</v>
      </c>
      <c r="N155" s="40">
        <f>1.49*W137</f>
        <v>2150.6312830000002</v>
      </c>
      <c r="O155" s="42">
        <v>123</v>
      </c>
      <c r="P155" s="64">
        <v>5.9999999999999995E-4</v>
      </c>
      <c r="Q155" s="64">
        <v>0.19539999999999999</v>
      </c>
      <c r="R155" s="70">
        <f t="shared" si="86"/>
        <v>-1.3384369719626456E-2</v>
      </c>
      <c r="S155" s="70">
        <f t="shared" si="87"/>
        <v>-1.4421807781973462E-2</v>
      </c>
      <c r="T155" s="70">
        <f t="shared" si="88"/>
        <v>0</v>
      </c>
      <c r="U155" s="70">
        <f t="shared" si="89"/>
        <v>-9.0000000000000008E-4</v>
      </c>
      <c r="V155" s="71">
        <f t="shared" si="90"/>
        <v>1.0000000000000009E-3</v>
      </c>
    </row>
    <row r="156" spans="1:24">
      <c r="A156" s="49"/>
      <c r="B156" s="50"/>
      <c r="C156" s="85" t="s">
        <v>56</v>
      </c>
      <c r="D156" s="73">
        <f>SUM(D118:D155)</f>
        <v>1954262527494.0337</v>
      </c>
      <c r="E156" s="53">
        <f>(D156/$D$231)</f>
        <v>0.25703208574356634</v>
      </c>
      <c r="F156" s="54"/>
      <c r="G156" s="59"/>
      <c r="H156" s="56">
        <f>SUM(H118:H155)</f>
        <v>28529</v>
      </c>
      <c r="I156" s="89"/>
      <c r="J156" s="89"/>
      <c r="K156" s="73">
        <f>SUM(K118:K155)</f>
        <v>1955698754786.5325</v>
      </c>
      <c r="L156" s="53">
        <f>(K156/$K$231)</f>
        <v>0.25489935693228621</v>
      </c>
      <c r="M156" s="54"/>
      <c r="N156" s="59"/>
      <c r="O156" s="56">
        <f>SUM(O118:O155)</f>
        <v>28505</v>
      </c>
      <c r="P156" s="89"/>
      <c r="Q156" s="89"/>
      <c r="R156" s="70">
        <f t="shared" si="86"/>
        <v>7.3492034580454496E-4</v>
      </c>
      <c r="S156" s="70" t="e">
        <f t="shared" si="87"/>
        <v>#DIV/0!</v>
      </c>
      <c r="T156" s="70">
        <f t="shared" si="88"/>
        <v>-8.4124925514388862E-4</v>
      </c>
      <c r="U156" s="70">
        <f t="shared" si="89"/>
        <v>0</v>
      </c>
      <c r="V156" s="71">
        <f t="shared" si="90"/>
        <v>0</v>
      </c>
    </row>
    <row r="157" spans="1:24" ht="6" customHeight="1">
      <c r="A157" s="49"/>
      <c r="B157" s="187"/>
      <c r="C157" s="187"/>
      <c r="D157" s="187"/>
      <c r="E157" s="187"/>
      <c r="F157" s="187"/>
      <c r="G157" s="187"/>
      <c r="H157" s="187"/>
      <c r="I157" s="187"/>
      <c r="J157" s="187"/>
      <c r="K157" s="187"/>
      <c r="L157" s="187"/>
      <c r="M157" s="187"/>
      <c r="N157" s="187"/>
      <c r="O157" s="187"/>
      <c r="P157" s="187"/>
      <c r="Q157" s="187"/>
      <c r="R157" s="187"/>
      <c r="S157" s="187"/>
      <c r="T157" s="187"/>
      <c r="U157" s="187"/>
      <c r="V157" s="187"/>
    </row>
    <row r="158" spans="1:24">
      <c r="A158" s="189" t="s">
        <v>214</v>
      </c>
      <c r="B158" s="189"/>
      <c r="C158" s="189"/>
      <c r="D158" s="189"/>
      <c r="E158" s="189"/>
      <c r="F158" s="189"/>
      <c r="G158" s="189"/>
      <c r="H158" s="189"/>
      <c r="I158" s="189"/>
      <c r="J158" s="189"/>
      <c r="K158" s="189"/>
      <c r="L158" s="189"/>
      <c r="M158" s="189"/>
      <c r="N158" s="189"/>
      <c r="O158" s="189"/>
      <c r="P158" s="189"/>
      <c r="Q158" s="189"/>
      <c r="R158" s="189"/>
      <c r="S158" s="189"/>
      <c r="T158" s="189"/>
      <c r="U158" s="189"/>
      <c r="V158" s="189"/>
    </row>
    <row r="159" spans="1:24">
      <c r="A159" s="159">
        <v>139</v>
      </c>
      <c r="B159" s="160" t="s">
        <v>215</v>
      </c>
      <c r="C159" s="155" t="s">
        <v>216</v>
      </c>
      <c r="D159" s="86">
        <v>2557851925.1097102</v>
      </c>
      <c r="E159" s="41">
        <f>(D159/$D$165)</f>
        <v>5.3028682308914211E-3</v>
      </c>
      <c r="F159" s="74">
        <v>120.539676018365</v>
      </c>
      <c r="G159" s="74">
        <v>120.539676018365</v>
      </c>
      <c r="H159" s="42">
        <v>8</v>
      </c>
      <c r="I159" s="64">
        <v>3.0000000000000001E-3</v>
      </c>
      <c r="J159" s="64">
        <v>0.14319999999999999</v>
      </c>
      <c r="K159" s="86">
        <v>2573222057.3277001</v>
      </c>
      <c r="L159" s="41">
        <f>(K159/$K$165)</f>
        <v>5.3269714116814561E-3</v>
      </c>
      <c r="M159" s="74">
        <v>121.26</v>
      </c>
      <c r="N159" s="74">
        <v>121.26</v>
      </c>
      <c r="O159" s="42">
        <v>8</v>
      </c>
      <c r="P159" s="64">
        <v>3.0000000000000001E-3</v>
      </c>
      <c r="Q159" s="64">
        <v>0.15010000000000001</v>
      </c>
      <c r="R159" s="70">
        <f t="shared" ref="R159:R165" si="108">((K159-D159)/D159)</f>
        <v>6.0090000000022174E-3</v>
      </c>
      <c r="S159" s="70">
        <f t="shared" ref="S159:T165" si="109">((N159-G159)/G159)</f>
        <v>5.9758247693088113E-3</v>
      </c>
      <c r="T159" s="70">
        <f t="shared" si="109"/>
        <v>0</v>
      </c>
      <c r="U159" s="70">
        <f t="shared" ref="U159:V165" si="110">P159-I159</f>
        <v>0</v>
      </c>
      <c r="V159" s="71">
        <f t="shared" si="110"/>
        <v>6.9000000000000172E-3</v>
      </c>
    </row>
    <row r="160" spans="1:24">
      <c r="A160" s="159">
        <v>140</v>
      </c>
      <c r="B160" s="160" t="s">
        <v>217</v>
      </c>
      <c r="C160" s="155" t="s">
        <v>24</v>
      </c>
      <c r="D160" s="86">
        <v>269200405555.01999</v>
      </c>
      <c r="E160" s="41">
        <v>0</v>
      </c>
      <c r="F160" s="74">
        <v>107.6802</v>
      </c>
      <c r="G160" s="74">
        <v>107.6802</v>
      </c>
      <c r="H160" s="42">
        <v>45</v>
      </c>
      <c r="I160" s="64">
        <v>0.1346</v>
      </c>
      <c r="J160" s="64">
        <v>0.1012</v>
      </c>
      <c r="K160" s="86">
        <v>269848683583.47</v>
      </c>
      <c r="L160" s="41">
        <f t="shared" ref="L160:L164" si="111">(K160/$K$165)</f>
        <v>0.55862890605789517</v>
      </c>
      <c r="M160" s="74">
        <v>107.9395</v>
      </c>
      <c r="N160" s="74">
        <v>107.9395</v>
      </c>
      <c r="O160" s="42">
        <v>45</v>
      </c>
      <c r="P160" s="64">
        <v>0.12559999999999999</v>
      </c>
      <c r="Q160" s="64">
        <v>0.10199999999999999</v>
      </c>
      <c r="R160" s="70">
        <f t="shared" ref="R160" si="112">((K160-D160)/D160)</f>
        <v>2.4081614108769061E-3</v>
      </c>
      <c r="S160" s="70">
        <f t="shared" ref="S160" si="113">((N160-G160)/G160)</f>
        <v>2.4080564486321171E-3</v>
      </c>
      <c r="T160" s="70">
        <f t="shared" ref="T160" si="114">((O160-H160)/H160)</f>
        <v>0</v>
      </c>
      <c r="U160" s="70">
        <f t="shared" ref="U160" si="115">P160-I160</f>
        <v>-9.000000000000008E-3</v>
      </c>
      <c r="V160" s="71">
        <f t="shared" ref="V160" si="116">Q160-J160</f>
        <v>7.9999999999999516E-4</v>
      </c>
    </row>
    <row r="161" spans="1:22">
      <c r="A161" s="159">
        <v>141</v>
      </c>
      <c r="B161" s="160" t="s">
        <v>218</v>
      </c>
      <c r="C161" s="155" t="s">
        <v>48</v>
      </c>
      <c r="D161" s="46">
        <v>163627573866</v>
      </c>
      <c r="E161" s="41">
        <f>(D161/$D$165)</f>
        <v>0.33922818386550424</v>
      </c>
      <c r="F161" s="74">
        <v>103</v>
      </c>
      <c r="G161" s="74">
        <v>103</v>
      </c>
      <c r="H161" s="42">
        <v>851</v>
      </c>
      <c r="I161" s="64">
        <v>9.2999999999999999E-2</v>
      </c>
      <c r="J161" s="64">
        <v>9.2999999999999999E-2</v>
      </c>
      <c r="K161" s="46">
        <v>163627573866</v>
      </c>
      <c r="L161" s="41">
        <f t="shared" si="111"/>
        <v>0.33873462481204525</v>
      </c>
      <c r="M161" s="74">
        <v>103</v>
      </c>
      <c r="N161" s="74">
        <v>103</v>
      </c>
      <c r="O161" s="42">
        <v>851</v>
      </c>
      <c r="P161" s="64">
        <v>9.2999999999999999E-2</v>
      </c>
      <c r="Q161" s="64">
        <v>9.2999999999999999E-2</v>
      </c>
      <c r="R161" s="70">
        <f t="shared" si="108"/>
        <v>0</v>
      </c>
      <c r="S161" s="70">
        <f t="shared" si="109"/>
        <v>0</v>
      </c>
      <c r="T161" s="70">
        <f t="shared" si="109"/>
        <v>0</v>
      </c>
      <c r="U161" s="70">
        <f t="shared" si="110"/>
        <v>0</v>
      </c>
      <c r="V161" s="71">
        <f t="shared" si="110"/>
        <v>0</v>
      </c>
    </row>
    <row r="162" spans="1:22" ht="15.75" customHeight="1">
      <c r="A162" s="159">
        <v>142</v>
      </c>
      <c r="B162" s="160" t="s">
        <v>220</v>
      </c>
      <c r="C162" s="155" t="s">
        <v>162</v>
      </c>
      <c r="D162" s="46">
        <v>3024749303.31708</v>
      </c>
      <c r="E162" s="41">
        <f>(D162/$D$165)</f>
        <v>6.2708270285361141E-3</v>
      </c>
      <c r="F162" s="74">
        <v>418.75</v>
      </c>
      <c r="G162" s="74">
        <v>418.75</v>
      </c>
      <c r="H162" s="42">
        <v>3871</v>
      </c>
      <c r="I162" s="64">
        <v>0.6371</v>
      </c>
      <c r="J162" s="64">
        <v>0.2424</v>
      </c>
      <c r="K162" s="46">
        <v>3049990506.2774901</v>
      </c>
      <c r="L162" s="41">
        <f t="shared" si="111"/>
        <v>6.3139565380971527E-3</v>
      </c>
      <c r="M162" s="74">
        <v>418.75</v>
      </c>
      <c r="N162" s="74">
        <v>418.75</v>
      </c>
      <c r="O162" s="42">
        <v>3871</v>
      </c>
      <c r="P162" s="64">
        <v>0.53339999999999999</v>
      </c>
      <c r="Q162" s="64">
        <v>0.2515</v>
      </c>
      <c r="R162" s="70">
        <f t="shared" si="108"/>
        <v>8.3448909080595362E-3</v>
      </c>
      <c r="S162" s="70">
        <f t="shared" si="109"/>
        <v>0</v>
      </c>
      <c r="T162" s="70">
        <f t="shared" si="109"/>
        <v>0</v>
      </c>
      <c r="U162" s="70">
        <f t="shared" si="110"/>
        <v>-0.10370000000000001</v>
      </c>
      <c r="V162" s="71">
        <f t="shared" si="110"/>
        <v>9.099999999999997E-3</v>
      </c>
    </row>
    <row r="163" spans="1:22">
      <c r="A163" s="159">
        <v>143</v>
      </c>
      <c r="B163" s="160" t="s">
        <v>219</v>
      </c>
      <c r="C163" s="155" t="s">
        <v>162</v>
      </c>
      <c r="D163" s="46">
        <v>10849100091.610001</v>
      </c>
      <c r="E163" s="41">
        <f>(D163/$D$165)</f>
        <v>2.2492055792906102E-2</v>
      </c>
      <c r="F163" s="74">
        <v>62.72</v>
      </c>
      <c r="G163" s="74">
        <v>62.72</v>
      </c>
      <c r="H163" s="42">
        <v>5970</v>
      </c>
      <c r="I163" s="64">
        <v>3.3300000000000003E-2</v>
      </c>
      <c r="J163" s="64">
        <v>0.20710000000000001</v>
      </c>
      <c r="K163" s="46">
        <v>10852776222.459999</v>
      </c>
      <c r="L163" s="41">
        <f t="shared" si="111"/>
        <v>2.2466941206954787E-2</v>
      </c>
      <c r="M163" s="74">
        <v>62.74</v>
      </c>
      <c r="N163" s="74">
        <v>62.74</v>
      </c>
      <c r="O163" s="42">
        <v>5970</v>
      </c>
      <c r="P163" s="64">
        <v>1.66E-2</v>
      </c>
      <c r="Q163" s="64">
        <v>0.20369999999999999</v>
      </c>
      <c r="R163" s="70">
        <f t="shared" si="108"/>
        <v>3.3884200707497928E-4</v>
      </c>
      <c r="S163" s="70">
        <f t="shared" si="109"/>
        <v>3.1887755102045801E-4</v>
      </c>
      <c r="T163" s="70">
        <f t="shared" si="109"/>
        <v>0</v>
      </c>
      <c r="U163" s="70">
        <f t="shared" si="110"/>
        <v>-1.6700000000000003E-2</v>
      </c>
      <c r="V163" s="71">
        <f t="shared" si="110"/>
        <v>-3.4000000000000141E-3</v>
      </c>
    </row>
    <row r="164" spans="1:22">
      <c r="A164" s="159">
        <v>144</v>
      </c>
      <c r="B164" s="160" t="s">
        <v>327</v>
      </c>
      <c r="C164" s="155" t="s">
        <v>50</v>
      </c>
      <c r="D164" s="46">
        <v>33092852593.48</v>
      </c>
      <c r="E164" s="41">
        <f>(D164/$D$165)</f>
        <v>6.8607191434668743E-2</v>
      </c>
      <c r="F164" s="74">
        <v>6.95</v>
      </c>
      <c r="G164" s="74">
        <v>6.95</v>
      </c>
      <c r="H164" s="42">
        <v>211092</v>
      </c>
      <c r="I164" s="64">
        <v>-7.1000000000000004E-3</v>
      </c>
      <c r="J164" s="64">
        <v>0.39</v>
      </c>
      <c r="K164" s="46">
        <v>33103107071.77</v>
      </c>
      <c r="L164" s="41">
        <f t="shared" si="111"/>
        <v>6.852859997332604E-2</v>
      </c>
      <c r="M164" s="74">
        <v>6.9</v>
      </c>
      <c r="N164" s="74">
        <v>6.9</v>
      </c>
      <c r="O164" s="42">
        <v>211092</v>
      </c>
      <c r="P164" s="64">
        <v>-7.1999999999999998E-3</v>
      </c>
      <c r="Q164" s="64">
        <v>0.38</v>
      </c>
      <c r="R164" s="70">
        <f t="shared" si="108"/>
        <v>3.0986988084615188E-4</v>
      </c>
      <c r="S164" s="70">
        <f t="shared" si="109"/>
        <v>-7.1942446043165211E-3</v>
      </c>
      <c r="T164" s="70">
        <f t="shared" si="109"/>
        <v>0</v>
      </c>
      <c r="U164" s="70">
        <f t="shared" si="110"/>
        <v>-9.9999999999999395E-5</v>
      </c>
      <c r="V164" s="71">
        <f t="shared" si="110"/>
        <v>-1.0000000000000009E-2</v>
      </c>
    </row>
    <row r="165" spans="1:22">
      <c r="A165" s="49"/>
      <c r="B165" s="87"/>
      <c r="C165" s="51" t="s">
        <v>56</v>
      </c>
      <c r="D165" s="52">
        <f>SUM(D159:D164)</f>
        <v>482352533334.53674</v>
      </c>
      <c r="E165" s="53">
        <f>(D165/$D$231)</f>
        <v>6.3440850941173049E-2</v>
      </c>
      <c r="F165" s="54"/>
      <c r="G165" s="88"/>
      <c r="H165" s="56">
        <f>SUM(H159:H164)</f>
        <v>221837</v>
      </c>
      <c r="I165" s="90"/>
      <c r="J165" s="90"/>
      <c r="K165" s="52">
        <f>SUM(K159:K164)</f>
        <v>483055353307.30524</v>
      </c>
      <c r="L165" s="53">
        <f>(K165/$K$231)</f>
        <v>6.2959849322075323E-2</v>
      </c>
      <c r="M165" s="54"/>
      <c r="N165" s="88"/>
      <c r="O165" s="56">
        <f>SUM(O159:O164)</f>
        <v>221837</v>
      </c>
      <c r="P165" s="90"/>
      <c r="Q165" s="90"/>
      <c r="R165" s="70">
        <f t="shared" si="108"/>
        <v>1.4570670291909739E-3</v>
      </c>
      <c r="S165" s="70" t="e">
        <f t="shared" si="109"/>
        <v>#DIV/0!</v>
      </c>
      <c r="T165" s="70">
        <f t="shared" si="109"/>
        <v>0</v>
      </c>
      <c r="U165" s="70">
        <f t="shared" si="110"/>
        <v>0</v>
      </c>
      <c r="V165" s="71">
        <f t="shared" si="110"/>
        <v>0</v>
      </c>
    </row>
    <row r="166" spans="1:22" ht="5.25" customHeight="1">
      <c r="A166" s="49"/>
      <c r="B166" s="187"/>
      <c r="C166" s="187"/>
      <c r="D166" s="187"/>
      <c r="E166" s="187"/>
      <c r="F166" s="187"/>
      <c r="G166" s="187"/>
      <c r="H166" s="187"/>
      <c r="I166" s="187"/>
      <c r="J166" s="187"/>
      <c r="K166" s="187"/>
      <c r="L166" s="187"/>
      <c r="M166" s="187"/>
      <c r="N166" s="187"/>
      <c r="O166" s="187"/>
      <c r="P166" s="187"/>
      <c r="Q166" s="187"/>
      <c r="R166" s="187"/>
      <c r="S166" s="187"/>
      <c r="T166" s="187"/>
      <c r="U166" s="187"/>
      <c r="V166" s="187"/>
    </row>
    <row r="167" spans="1:22" ht="15" customHeight="1">
      <c r="A167" s="189" t="s">
        <v>221</v>
      </c>
      <c r="B167" s="189"/>
      <c r="C167" s="189"/>
      <c r="D167" s="189"/>
      <c r="E167" s="189"/>
      <c r="F167" s="189"/>
      <c r="G167" s="189"/>
      <c r="H167" s="189"/>
      <c r="I167" s="189"/>
      <c r="J167" s="189"/>
      <c r="K167" s="189"/>
      <c r="L167" s="189"/>
      <c r="M167" s="189"/>
      <c r="N167" s="189"/>
      <c r="O167" s="189"/>
      <c r="P167" s="189"/>
      <c r="Q167" s="189"/>
      <c r="R167" s="189"/>
      <c r="S167" s="189"/>
      <c r="T167" s="189"/>
      <c r="U167" s="189"/>
      <c r="V167" s="189"/>
    </row>
    <row r="168" spans="1:22">
      <c r="A168" s="163">
        <v>145</v>
      </c>
      <c r="B168" s="160" t="s">
        <v>222</v>
      </c>
      <c r="C168" s="155" t="s">
        <v>60</v>
      </c>
      <c r="D168" s="40">
        <v>597474375.71000004</v>
      </c>
      <c r="E168" s="41">
        <f t="shared" ref="E168:E196" si="117">(D168/$D$197)</f>
        <v>7.124838684150963E-3</v>
      </c>
      <c r="F168" s="40">
        <v>7.73</v>
      </c>
      <c r="G168" s="40">
        <v>7.84</v>
      </c>
      <c r="H168" s="44">
        <v>11939</v>
      </c>
      <c r="I168" s="65">
        <v>1.4282E-2</v>
      </c>
      <c r="J168" s="65">
        <v>0.35325200000000001</v>
      </c>
      <c r="K168" s="40">
        <v>595674829.94000006</v>
      </c>
      <c r="L168" s="68">
        <f t="shared" ref="L168:L196" si="118">(K168/$K$197)</f>
        <v>7.1326623062336735E-3</v>
      </c>
      <c r="M168" s="40">
        <v>7.76</v>
      </c>
      <c r="N168" s="40">
        <v>7.87</v>
      </c>
      <c r="O168" s="44">
        <v>11940</v>
      </c>
      <c r="P168" s="65">
        <v>5.5830000000000003E-3</v>
      </c>
      <c r="Q168" s="65">
        <v>0.35883599999999999</v>
      </c>
      <c r="R168" s="70">
        <f>((K168-D168)/D168)</f>
        <v>-3.0119212524579264E-3</v>
      </c>
      <c r="S168" s="70">
        <f>((N168-G168)/G168)</f>
        <v>3.82653061224493E-3</v>
      </c>
      <c r="T168" s="70">
        <f>((O168-H168)/H168)</f>
        <v>8.375910880308233E-5</v>
      </c>
      <c r="U168" s="70">
        <f>P168-I168</f>
        <v>-8.6989999999999984E-3</v>
      </c>
      <c r="V168" s="71">
        <f>Q168-J168</f>
        <v>5.5839999999999779E-3</v>
      </c>
    </row>
    <row r="169" spans="1:22">
      <c r="A169" s="163">
        <v>146</v>
      </c>
      <c r="B169" s="160" t="s">
        <v>223</v>
      </c>
      <c r="C169" s="160" t="s">
        <v>224</v>
      </c>
      <c r="D169" s="40">
        <v>2077942817.3896899</v>
      </c>
      <c r="E169" s="41">
        <f t="shared" si="117"/>
        <v>2.4779317692408796E-2</v>
      </c>
      <c r="F169" s="40">
        <v>2189.83</v>
      </c>
      <c r="G169" s="40">
        <v>2202.64</v>
      </c>
      <c r="H169" s="44">
        <v>173</v>
      </c>
      <c r="I169" s="65">
        <v>-5.1000000000000004E-3</v>
      </c>
      <c r="J169" s="65">
        <v>0.45689999999999997</v>
      </c>
      <c r="K169" s="40">
        <v>2010877739.7191463</v>
      </c>
      <c r="L169" s="68">
        <f t="shared" si="118"/>
        <v>2.4078425234089255E-2</v>
      </c>
      <c r="M169" s="40">
        <v>2189.3893879956199</v>
      </c>
      <c r="N169" s="40">
        <v>2202.4423104389639</v>
      </c>
      <c r="O169" s="44">
        <v>179</v>
      </c>
      <c r="P169" s="65">
        <v>0</v>
      </c>
      <c r="Q169" s="65">
        <v>0.4491</v>
      </c>
      <c r="R169" s="70">
        <f>((K169-D169)/D169)</f>
        <v>-3.2274746498939161E-2</v>
      </c>
      <c r="S169" s="70">
        <f>((N169-G169)/G169)</f>
        <v>-8.9751189952051228E-5</v>
      </c>
      <c r="T169" s="70">
        <f>((O169-H169)/H169)</f>
        <v>3.4682080924855488E-2</v>
      </c>
      <c r="U169" s="70">
        <f>P169-I169</f>
        <v>5.1000000000000004E-3</v>
      </c>
      <c r="V169" s="71">
        <f>Q169-J169</f>
        <v>-7.7999999999999736E-3</v>
      </c>
    </row>
    <row r="170" spans="1:22">
      <c r="A170" s="163">
        <v>147</v>
      </c>
      <c r="B170" s="160" t="s">
        <v>225</v>
      </c>
      <c r="C170" s="155" t="s">
        <v>24</v>
      </c>
      <c r="D170" s="40">
        <v>9842433707.0100002</v>
      </c>
      <c r="E170" s="41">
        <f t="shared" si="117"/>
        <v>0.11737030954434371</v>
      </c>
      <c r="F170" s="40">
        <v>1046.5383999999999</v>
      </c>
      <c r="G170" s="40">
        <v>1078.0923</v>
      </c>
      <c r="H170" s="44">
        <v>22328</v>
      </c>
      <c r="I170" s="65">
        <v>8.2799999999999999E-2</v>
      </c>
      <c r="J170" s="65">
        <v>0.32740000000000002</v>
      </c>
      <c r="K170" s="40">
        <v>9893847014.0499992</v>
      </c>
      <c r="L170" s="68">
        <f t="shared" si="118"/>
        <v>0.11846978605402077</v>
      </c>
      <c r="M170" s="40">
        <v>1049.1917000000001</v>
      </c>
      <c r="N170" s="40">
        <v>1080.8255999999999</v>
      </c>
      <c r="O170" s="44">
        <v>22328</v>
      </c>
      <c r="P170" s="65">
        <v>0.13220000000000001</v>
      </c>
      <c r="Q170" s="65">
        <v>0.32440000000000002</v>
      </c>
      <c r="R170" s="70">
        <f t="shared" ref="R170:R196" si="119">((K170-D170)/D170)</f>
        <v>5.2236376256597295E-3</v>
      </c>
      <c r="S170" s="70">
        <f t="shared" ref="S170:T196" si="120">((N170-G170)/G170)</f>
        <v>2.5353116797141319E-3</v>
      </c>
      <c r="T170" s="70">
        <f t="shared" si="120"/>
        <v>0</v>
      </c>
      <c r="U170" s="70">
        <f t="shared" ref="U170:V196" si="121">P170-I170</f>
        <v>4.9400000000000013E-2</v>
      </c>
      <c r="V170" s="71">
        <f t="shared" si="121"/>
        <v>-3.0000000000000027E-3</v>
      </c>
    </row>
    <row r="171" spans="1:22">
      <c r="A171" s="163">
        <v>148</v>
      </c>
      <c r="B171" s="160" t="s">
        <v>226</v>
      </c>
      <c r="C171" s="155" t="s">
        <v>128</v>
      </c>
      <c r="D171" s="40">
        <v>5834643804.25</v>
      </c>
      <c r="E171" s="41">
        <f t="shared" si="117"/>
        <v>6.9577705044441385E-2</v>
      </c>
      <c r="F171" s="40">
        <v>34.162799999999997</v>
      </c>
      <c r="G171" s="40">
        <v>34.569600000000001</v>
      </c>
      <c r="H171" s="42">
        <v>6190</v>
      </c>
      <c r="I171" s="64">
        <v>1.67E-2</v>
      </c>
      <c r="J171" s="64">
        <v>0.60629999999999995</v>
      </c>
      <c r="K171" s="40">
        <v>5464589300.7600002</v>
      </c>
      <c r="L171" s="68">
        <f t="shared" si="118"/>
        <v>6.543346833792639E-2</v>
      </c>
      <c r="M171" s="40">
        <v>31.991800000000001</v>
      </c>
      <c r="N171" s="40">
        <v>32.3506</v>
      </c>
      <c r="O171" s="42">
        <v>6188</v>
      </c>
      <c r="P171" s="64">
        <v>-5.79E-2</v>
      </c>
      <c r="Q171" s="64">
        <v>0.50439999999999996</v>
      </c>
      <c r="R171" s="70">
        <f t="shared" si="119"/>
        <v>-6.3423666620479754E-2</v>
      </c>
      <c r="S171" s="70">
        <f t="shared" si="120"/>
        <v>-6.4189345552161464E-2</v>
      </c>
      <c r="T171" s="70">
        <f t="shared" si="120"/>
        <v>-3.2310177705977385E-4</v>
      </c>
      <c r="U171" s="70">
        <f t="shared" si="121"/>
        <v>-7.46E-2</v>
      </c>
      <c r="V171" s="71">
        <f t="shared" si="121"/>
        <v>-0.10189999999999999</v>
      </c>
    </row>
    <row r="172" spans="1:22">
      <c r="A172" s="163">
        <v>149</v>
      </c>
      <c r="B172" s="160" t="s">
        <v>227</v>
      </c>
      <c r="C172" s="155" t="s">
        <v>136</v>
      </c>
      <c r="D172" s="46">
        <v>2496417734.0999999</v>
      </c>
      <c r="E172" s="41">
        <f t="shared" si="117"/>
        <v>2.9769600784267533E-2</v>
      </c>
      <c r="F172" s="40">
        <v>5.9558</v>
      </c>
      <c r="G172" s="40">
        <v>6.09</v>
      </c>
      <c r="H172" s="42">
        <v>2736</v>
      </c>
      <c r="I172" s="64">
        <v>0.1047</v>
      </c>
      <c r="J172" s="64">
        <v>0.37130000000000002</v>
      </c>
      <c r="K172" s="46">
        <v>2507589035.7399998</v>
      </c>
      <c r="L172" s="68">
        <f t="shared" si="118"/>
        <v>3.0026089563913762E-2</v>
      </c>
      <c r="M172" s="40">
        <v>5.9832999999999998</v>
      </c>
      <c r="N172" s="40">
        <v>6.1184000000000003</v>
      </c>
      <c r="O172" s="42">
        <v>2736</v>
      </c>
      <c r="P172" s="64">
        <v>0.2432</v>
      </c>
      <c r="Q172" s="64">
        <v>0.37230000000000002</v>
      </c>
      <c r="R172" s="70">
        <f t="shared" si="119"/>
        <v>4.474932815692125E-3</v>
      </c>
      <c r="S172" s="70">
        <f t="shared" si="120"/>
        <v>4.6633825944171472E-3</v>
      </c>
      <c r="T172" s="70">
        <f t="shared" si="120"/>
        <v>0</v>
      </c>
      <c r="U172" s="70">
        <f t="shared" si="121"/>
        <v>0.13850000000000001</v>
      </c>
      <c r="V172" s="71">
        <f t="shared" si="121"/>
        <v>1.0000000000000009E-3</v>
      </c>
    </row>
    <row r="173" spans="1:22">
      <c r="A173" s="163">
        <v>150</v>
      </c>
      <c r="B173" s="160" t="s">
        <v>228</v>
      </c>
      <c r="C173" s="155" t="s">
        <v>28</v>
      </c>
      <c r="D173" s="46">
        <v>1078746525.72</v>
      </c>
      <c r="E173" s="41">
        <f t="shared" si="117"/>
        <v>1.2863974237740132E-2</v>
      </c>
      <c r="F173" s="40">
        <v>1.1899</v>
      </c>
      <c r="G173" s="40">
        <v>1.1988000000000001</v>
      </c>
      <c r="H173" s="42">
        <v>219</v>
      </c>
      <c r="I173" s="64">
        <v>5.0000000000000001E-4</v>
      </c>
      <c r="J173" s="64">
        <v>0.1943</v>
      </c>
      <c r="K173" s="46">
        <v>1117666057.0999999</v>
      </c>
      <c r="L173" s="68">
        <f t="shared" si="118"/>
        <v>1.3383030733793072E-2</v>
      </c>
      <c r="M173" s="40">
        <v>1.2277</v>
      </c>
      <c r="N173" s="40">
        <v>1.238</v>
      </c>
      <c r="O173" s="42">
        <v>226</v>
      </c>
      <c r="P173" s="64">
        <v>3.2199999999999999E-2</v>
      </c>
      <c r="Q173" s="64">
        <v>0.2329</v>
      </c>
      <c r="R173" s="70">
        <f t="shared" ref="R173" si="122">((K173-D173)/D173)</f>
        <v>3.6078476687582725E-2</v>
      </c>
      <c r="S173" s="70">
        <f t="shared" ref="S173" si="123">((N173-G173)/G173)</f>
        <v>3.2699366032699281E-2</v>
      </c>
      <c r="T173" s="70">
        <f t="shared" ref="T173" si="124">((O173-H173)/H173)</f>
        <v>3.1963470319634701E-2</v>
      </c>
      <c r="U173" s="70">
        <f t="shared" ref="U173" si="125">P173-I173</f>
        <v>3.1699999999999999E-2</v>
      </c>
      <c r="V173" s="71">
        <f t="shared" ref="V173" si="126">Q173-J173</f>
        <v>3.8599999999999995E-2</v>
      </c>
    </row>
    <row r="174" spans="1:22">
      <c r="A174" s="163">
        <v>151</v>
      </c>
      <c r="B174" s="160" t="s">
        <v>229</v>
      </c>
      <c r="C174" s="155" t="s">
        <v>71</v>
      </c>
      <c r="D174" s="40">
        <v>6252862334.8428497</v>
      </c>
      <c r="E174" s="41">
        <f t="shared" si="117"/>
        <v>7.4564930750407071E-2</v>
      </c>
      <c r="F174" s="40">
        <v>11089.139516490901</v>
      </c>
      <c r="G174" s="40">
        <v>11172.0155196748</v>
      </c>
      <c r="H174" s="42">
        <v>1350</v>
      </c>
      <c r="I174" s="64">
        <v>-9.5100000000000004E-2</v>
      </c>
      <c r="J174" s="64">
        <v>0.46650000000000003</v>
      </c>
      <c r="K174" s="40">
        <v>6264457730.0389204</v>
      </c>
      <c r="L174" s="68">
        <f t="shared" si="118"/>
        <v>7.501116259107915E-2</v>
      </c>
      <c r="M174" s="40">
        <v>11115.431317673099</v>
      </c>
      <c r="N174" s="40">
        <v>11198.4729041379</v>
      </c>
      <c r="O174" s="42">
        <v>1357</v>
      </c>
      <c r="P174" s="64">
        <v>0.1236</v>
      </c>
      <c r="Q174" s="64">
        <v>0.46089999999999998</v>
      </c>
      <c r="R174" s="70">
        <f t="shared" si="119"/>
        <v>1.8544139587813415E-3</v>
      </c>
      <c r="S174" s="70">
        <f t="shared" si="120"/>
        <v>2.3681836474811527E-3</v>
      </c>
      <c r="T174" s="70">
        <f t="shared" si="120"/>
        <v>5.185185185185185E-3</v>
      </c>
      <c r="U174" s="70">
        <f t="shared" si="121"/>
        <v>0.21870000000000001</v>
      </c>
      <c r="V174" s="71">
        <f t="shared" si="121"/>
        <v>-5.6000000000000494E-3</v>
      </c>
    </row>
    <row r="175" spans="1:22">
      <c r="A175" s="163">
        <v>152</v>
      </c>
      <c r="B175" s="160" t="s">
        <v>230</v>
      </c>
      <c r="C175" s="155" t="s">
        <v>73</v>
      </c>
      <c r="D175" s="40">
        <v>1276623031.1500001</v>
      </c>
      <c r="E175" s="41">
        <f t="shared" si="117"/>
        <v>1.522363724236173E-2</v>
      </c>
      <c r="F175" s="40">
        <v>230.33</v>
      </c>
      <c r="G175" s="40">
        <v>232.04</v>
      </c>
      <c r="H175" s="42">
        <v>508</v>
      </c>
      <c r="I175" s="64">
        <v>-1.1999999999999999E-3</v>
      </c>
      <c r="J175" s="64">
        <v>0.24979999999999999</v>
      </c>
      <c r="K175" s="40">
        <v>1290019898.23</v>
      </c>
      <c r="L175" s="68">
        <f t="shared" si="118"/>
        <v>1.5446810642180951E-2</v>
      </c>
      <c r="M175" s="40">
        <v>230.59</v>
      </c>
      <c r="N175" s="40">
        <v>232.28</v>
      </c>
      <c r="O175" s="42">
        <v>508</v>
      </c>
      <c r="P175" s="64">
        <v>1.1000000000000001E-3</v>
      </c>
      <c r="Q175" s="64">
        <v>0.251</v>
      </c>
      <c r="R175" s="70">
        <f t="shared" si="119"/>
        <v>1.0493988243288887E-2</v>
      </c>
      <c r="S175" s="70">
        <f t="shared" si="120"/>
        <v>1.0343044302706821E-3</v>
      </c>
      <c r="T175" s="70">
        <f t="shared" si="120"/>
        <v>0</v>
      </c>
      <c r="U175" s="70">
        <f t="shared" si="121"/>
        <v>2.3E-3</v>
      </c>
      <c r="V175" s="71">
        <f t="shared" si="121"/>
        <v>1.2000000000000066E-3</v>
      </c>
    </row>
    <row r="176" spans="1:22">
      <c r="A176" s="163">
        <v>153</v>
      </c>
      <c r="B176" s="160" t="s">
        <v>231</v>
      </c>
      <c r="C176" s="155" t="s">
        <v>232</v>
      </c>
      <c r="D176" s="40">
        <v>1193351568.4100001</v>
      </c>
      <c r="E176" s="41">
        <f t="shared" si="117"/>
        <v>1.4230631076514445E-2</v>
      </c>
      <c r="F176" s="40">
        <v>2.1109</v>
      </c>
      <c r="G176" s="40">
        <v>2.1475</v>
      </c>
      <c r="H176" s="42">
        <v>3676</v>
      </c>
      <c r="I176" s="64">
        <v>9.7999999999999997E-3</v>
      </c>
      <c r="J176" s="64">
        <v>0.442</v>
      </c>
      <c r="K176" s="40">
        <v>1193351568.4100001</v>
      </c>
      <c r="L176" s="68">
        <f t="shared" si="118"/>
        <v>1.4289295639602902E-2</v>
      </c>
      <c r="M176" s="40">
        <v>2.1135000000000002</v>
      </c>
      <c r="N176" s="40">
        <v>2.1494</v>
      </c>
      <c r="O176" s="42">
        <v>3726</v>
      </c>
      <c r="P176" s="64">
        <v>1.23170211758028E-3</v>
      </c>
      <c r="Q176" s="64">
        <v>0.44374615752442126</v>
      </c>
      <c r="R176" s="70">
        <f t="shared" si="119"/>
        <v>0</v>
      </c>
      <c r="S176" s="70">
        <f t="shared" si="120"/>
        <v>8.8474970896391752E-4</v>
      </c>
      <c r="T176" s="70">
        <f t="shared" si="120"/>
        <v>1.3601741022850925E-2</v>
      </c>
      <c r="U176" s="70">
        <f t="shared" si="121"/>
        <v>-8.5682978824197197E-3</v>
      </c>
      <c r="V176" s="71">
        <f t="shared" si="121"/>
        <v>1.7461575244212546E-3</v>
      </c>
    </row>
    <row r="177" spans="1:22">
      <c r="A177" s="163">
        <v>154</v>
      </c>
      <c r="B177" s="160" t="s">
        <v>233</v>
      </c>
      <c r="C177" s="155" t="s">
        <v>30</v>
      </c>
      <c r="D177" s="58">
        <v>200698966.52000001</v>
      </c>
      <c r="E177" s="41">
        <f t="shared" si="117"/>
        <v>2.3933206488254118E-3</v>
      </c>
      <c r="F177" s="40">
        <v>207.79239999999999</v>
      </c>
      <c r="G177" s="40">
        <v>209.07230000000001</v>
      </c>
      <c r="H177" s="42">
        <v>163</v>
      </c>
      <c r="I177" s="64">
        <v>2.6389999999999999E-3</v>
      </c>
      <c r="J177" s="64">
        <v>0.3</v>
      </c>
      <c r="K177" s="58">
        <v>202128987.96000001</v>
      </c>
      <c r="L177" s="68">
        <f t="shared" si="118"/>
        <v>2.4203101104081745E-3</v>
      </c>
      <c r="M177" s="40">
        <v>209.02430000000001</v>
      </c>
      <c r="N177" s="40">
        <v>210.3124</v>
      </c>
      <c r="O177" s="42">
        <v>164</v>
      </c>
      <c r="P177" s="64">
        <v>2.6389999999999999E-3</v>
      </c>
      <c r="Q177" s="64">
        <v>0.30769999999999997</v>
      </c>
      <c r="R177" s="70">
        <f t="shared" si="119"/>
        <v>7.1252057984937025E-3</v>
      </c>
      <c r="S177" s="70">
        <f t="shared" si="120"/>
        <v>5.9314409417219969E-3</v>
      </c>
      <c r="T177" s="70">
        <f t="shared" si="120"/>
        <v>6.1349693251533744E-3</v>
      </c>
      <c r="U177" s="70">
        <f t="shared" si="121"/>
        <v>0</v>
      </c>
      <c r="V177" s="71">
        <f t="shared" si="121"/>
        <v>7.6999999999999846E-3</v>
      </c>
    </row>
    <row r="178" spans="1:22">
      <c r="A178" s="163">
        <v>155</v>
      </c>
      <c r="B178" s="160" t="s">
        <v>234</v>
      </c>
      <c r="C178" s="155" t="s">
        <v>79</v>
      </c>
      <c r="D178" s="58">
        <v>441993767.77999997</v>
      </c>
      <c r="E178" s="41">
        <f t="shared" si="117"/>
        <v>5.2707436885311666E-3</v>
      </c>
      <c r="F178" s="40">
        <v>171.56</v>
      </c>
      <c r="G178" s="40">
        <v>172.62</v>
      </c>
      <c r="H178" s="42">
        <v>53</v>
      </c>
      <c r="I178" s="64">
        <v>4.1799999999999997E-2</v>
      </c>
      <c r="J178" s="64">
        <v>0.49419999999999997</v>
      </c>
      <c r="K178" s="58">
        <v>497631667.72000003</v>
      </c>
      <c r="L178" s="68">
        <f t="shared" si="118"/>
        <v>5.9586849407287619E-3</v>
      </c>
      <c r="M178" s="40">
        <v>173.9</v>
      </c>
      <c r="N178" s="40">
        <v>175.38</v>
      </c>
      <c r="O178" s="42">
        <v>53</v>
      </c>
      <c r="P178" s="64">
        <v>2.7699999999999999E-2</v>
      </c>
      <c r="Q178" s="64">
        <v>0.52200000000000002</v>
      </c>
      <c r="R178" s="70">
        <f t="shared" si="119"/>
        <v>0.12587937657911394</v>
      </c>
      <c r="S178" s="70">
        <f t="shared" si="120"/>
        <v>1.5988877302745862E-2</v>
      </c>
      <c r="T178" s="70">
        <f t="shared" si="120"/>
        <v>0</v>
      </c>
      <c r="U178" s="70">
        <f t="shared" si="121"/>
        <v>-1.4099999999999998E-2</v>
      </c>
      <c r="V178" s="71">
        <f t="shared" si="121"/>
        <v>2.7800000000000047E-2</v>
      </c>
    </row>
    <row r="179" spans="1:22" ht="15.75" customHeight="1">
      <c r="A179" s="163">
        <v>156</v>
      </c>
      <c r="B179" s="160" t="s">
        <v>235</v>
      </c>
      <c r="C179" s="155" t="s">
        <v>82</v>
      </c>
      <c r="D179" s="46">
        <v>541955878.58000004</v>
      </c>
      <c r="E179" s="41">
        <f t="shared" si="117"/>
        <v>6.4627846243970367E-3</v>
      </c>
      <c r="F179" s="40">
        <v>1.81002</v>
      </c>
      <c r="G179" s="40">
        <v>1.8297300000000001</v>
      </c>
      <c r="H179" s="42">
        <v>126</v>
      </c>
      <c r="I179" s="64">
        <v>0.43509999999999999</v>
      </c>
      <c r="J179" s="64">
        <v>0.48959999999999998</v>
      </c>
      <c r="K179" s="46">
        <v>525428278.16000003</v>
      </c>
      <c r="L179" s="68">
        <f t="shared" si="118"/>
        <v>6.2915239756539407E-3</v>
      </c>
      <c r="M179" s="40">
        <v>1.8</v>
      </c>
      <c r="N179" s="40">
        <v>1.82</v>
      </c>
      <c r="O179" s="42">
        <v>128</v>
      </c>
      <c r="P179" s="64">
        <v>0.43509999999999999</v>
      </c>
      <c r="Q179" s="64">
        <v>0.48199999999999998</v>
      </c>
      <c r="R179" s="70">
        <f t="shared" si="119"/>
        <v>-3.0496210251108696E-2</v>
      </c>
      <c r="S179" s="70">
        <f t="shared" si="120"/>
        <v>-5.3177244730096881E-3</v>
      </c>
      <c r="T179" s="70">
        <f t="shared" si="120"/>
        <v>1.5873015873015872E-2</v>
      </c>
      <c r="U179" s="70">
        <f t="shared" si="121"/>
        <v>0</v>
      </c>
      <c r="V179" s="71">
        <f t="shared" si="121"/>
        <v>-7.5999999999999956E-3</v>
      </c>
    </row>
    <row r="180" spans="1:22">
      <c r="A180" s="163">
        <v>157</v>
      </c>
      <c r="B180" s="160" t="s">
        <v>236</v>
      </c>
      <c r="C180" s="155" t="s">
        <v>32</v>
      </c>
      <c r="D180" s="40">
        <v>14081241211.639999</v>
      </c>
      <c r="E180" s="41">
        <f t="shared" si="117"/>
        <v>0.16791778222510684</v>
      </c>
      <c r="F180" s="40">
        <v>422.73</v>
      </c>
      <c r="G180" s="40">
        <v>426.71</v>
      </c>
      <c r="H180" s="42">
        <v>5549</v>
      </c>
      <c r="I180" s="64">
        <v>5.7000000000000002E-3</v>
      </c>
      <c r="J180" s="64">
        <v>0.43509999999999999</v>
      </c>
      <c r="K180" s="40">
        <v>14110202394.629999</v>
      </c>
      <c r="L180" s="68">
        <f t="shared" si="118"/>
        <v>0.16895679269114477</v>
      </c>
      <c r="M180" s="40">
        <v>423.53</v>
      </c>
      <c r="N180" s="40">
        <v>427.5</v>
      </c>
      <c r="O180" s="42">
        <v>5550</v>
      </c>
      <c r="P180" s="64">
        <v>1.9E-3</v>
      </c>
      <c r="Q180" s="64">
        <v>0.43759999999999999</v>
      </c>
      <c r="R180" s="70">
        <f t="shared" si="119"/>
        <v>2.0567208923357935E-3</v>
      </c>
      <c r="S180" s="70">
        <f t="shared" si="120"/>
        <v>1.8513744697804609E-3</v>
      </c>
      <c r="T180" s="70">
        <f t="shared" si="120"/>
        <v>1.8021265092809516E-4</v>
      </c>
      <c r="U180" s="70">
        <f t="shared" si="121"/>
        <v>-3.8000000000000004E-3</v>
      </c>
      <c r="V180" s="71">
        <f t="shared" si="121"/>
        <v>2.5000000000000022E-3</v>
      </c>
    </row>
    <row r="181" spans="1:22">
      <c r="A181" s="163">
        <v>158</v>
      </c>
      <c r="B181" s="160" t="s">
        <v>237</v>
      </c>
      <c r="C181" s="155" t="s">
        <v>92</v>
      </c>
      <c r="D181" s="40">
        <v>4400642941.1000004</v>
      </c>
      <c r="E181" s="41">
        <f t="shared" si="117"/>
        <v>5.2477348546749361E-2</v>
      </c>
      <c r="F181" s="40">
        <v>3.0373999999999999</v>
      </c>
      <c r="G181" s="40">
        <v>3.0964</v>
      </c>
      <c r="H181" s="42">
        <v>10207</v>
      </c>
      <c r="I181" s="64">
        <v>5.0000000000000001E-3</v>
      </c>
      <c r="J181" s="64">
        <v>0.31140000000000001</v>
      </c>
      <c r="K181" s="40">
        <v>4426191798.6400003</v>
      </c>
      <c r="L181" s="68">
        <f t="shared" si="118"/>
        <v>5.29996061869865E-2</v>
      </c>
      <c r="M181" s="40">
        <v>3.0548999999999999</v>
      </c>
      <c r="N181" s="40">
        <v>3.1145</v>
      </c>
      <c r="O181" s="42">
        <v>10207</v>
      </c>
      <c r="P181" s="64">
        <v>5.7999999999999996E-3</v>
      </c>
      <c r="Q181" s="64">
        <v>0.31900000000000001</v>
      </c>
      <c r="R181" s="70">
        <f t="shared" si="119"/>
        <v>5.8057101841608805E-3</v>
      </c>
      <c r="S181" s="70">
        <f t="shared" si="120"/>
        <v>5.8454979976747205E-3</v>
      </c>
      <c r="T181" s="70">
        <f t="shared" si="120"/>
        <v>0</v>
      </c>
      <c r="U181" s="70">
        <f t="shared" si="121"/>
        <v>7.999999999999995E-4</v>
      </c>
      <c r="V181" s="71">
        <f t="shared" si="121"/>
        <v>7.5999999999999956E-3</v>
      </c>
    </row>
    <row r="182" spans="1:22">
      <c r="A182" s="163">
        <v>159</v>
      </c>
      <c r="B182" s="160" t="s">
        <v>238</v>
      </c>
      <c r="C182" s="155" t="s">
        <v>94</v>
      </c>
      <c r="D182" s="40">
        <v>305616172.81999999</v>
      </c>
      <c r="E182" s="41">
        <f t="shared" si="117"/>
        <v>3.6444507398707133E-3</v>
      </c>
      <c r="F182" s="40">
        <v>348.38</v>
      </c>
      <c r="G182" s="40">
        <v>350.78</v>
      </c>
      <c r="H182" s="42">
        <v>32</v>
      </c>
      <c r="I182" s="64">
        <v>4.5199999999999997E-2</v>
      </c>
      <c r="J182" s="64">
        <v>0.20549999999999999</v>
      </c>
      <c r="K182" s="40">
        <v>304676647.04000002</v>
      </c>
      <c r="L182" s="68">
        <f t="shared" si="118"/>
        <v>3.6482247137263847E-3</v>
      </c>
      <c r="M182" s="40">
        <v>347.31</v>
      </c>
      <c r="N182" s="40">
        <v>349.71</v>
      </c>
      <c r="O182" s="42">
        <v>32</v>
      </c>
      <c r="P182" s="64">
        <v>-3.3999999999999998E-3</v>
      </c>
      <c r="Q182" s="64">
        <v>0.20219999999999999</v>
      </c>
      <c r="R182" s="70">
        <f t="shared" si="119"/>
        <v>-3.0742017718850493E-3</v>
      </c>
      <c r="S182" s="70">
        <f t="shared" si="120"/>
        <v>-3.0503449455498983E-3</v>
      </c>
      <c r="T182" s="70">
        <f t="shared" si="120"/>
        <v>0</v>
      </c>
      <c r="U182" s="70">
        <f t="shared" si="121"/>
        <v>-4.8599999999999997E-2</v>
      </c>
      <c r="V182" s="71">
        <f t="shared" si="121"/>
        <v>-3.2999999999999974E-3</v>
      </c>
    </row>
    <row r="183" spans="1:22">
      <c r="A183" s="163">
        <v>160</v>
      </c>
      <c r="B183" s="160" t="s">
        <v>239</v>
      </c>
      <c r="C183" s="160" t="s">
        <v>96</v>
      </c>
      <c r="D183" s="61">
        <v>72248685.439999998</v>
      </c>
      <c r="E183" s="41">
        <f t="shared" si="117"/>
        <v>8.6156034439177176E-4</v>
      </c>
      <c r="F183" s="40">
        <v>1.43</v>
      </c>
      <c r="G183" s="40">
        <v>1.43</v>
      </c>
      <c r="H183" s="42">
        <v>23</v>
      </c>
      <c r="I183" s="64">
        <v>2.2000000000000001E-3</v>
      </c>
      <c r="J183" s="64">
        <v>0.1825</v>
      </c>
      <c r="K183" s="61">
        <v>72630262.260000005</v>
      </c>
      <c r="L183" s="68">
        <f t="shared" si="118"/>
        <v>8.6968108752546926E-4</v>
      </c>
      <c r="M183" s="40">
        <v>1.4363999999999999</v>
      </c>
      <c r="N183" s="40">
        <v>1.4363999999999999</v>
      </c>
      <c r="O183" s="42">
        <v>23</v>
      </c>
      <c r="P183" s="64">
        <v>5.3E-3</v>
      </c>
      <c r="Q183" s="64">
        <v>0.18870000000000001</v>
      </c>
      <c r="R183" s="70">
        <f t="shared" si="119"/>
        <v>5.2814361628336325E-3</v>
      </c>
      <c r="S183" s="70">
        <f t="shared" si="120"/>
        <v>4.4755244755244486E-3</v>
      </c>
      <c r="T183" s="70">
        <f t="shared" si="120"/>
        <v>0</v>
      </c>
      <c r="U183" s="70">
        <f t="shared" si="121"/>
        <v>3.0999999999999999E-3</v>
      </c>
      <c r="V183" s="71">
        <f t="shared" si="121"/>
        <v>6.2000000000000111E-3</v>
      </c>
    </row>
    <row r="184" spans="1:22" ht="13.5" customHeight="1">
      <c r="A184" s="163">
        <v>161</v>
      </c>
      <c r="B184" s="160" t="s">
        <v>240</v>
      </c>
      <c r="C184" s="155" t="s">
        <v>38</v>
      </c>
      <c r="D184" s="46">
        <v>5579070809.0600004</v>
      </c>
      <c r="E184" s="41">
        <f t="shared" si="117"/>
        <v>6.6530015575599857E-2</v>
      </c>
      <c r="F184" s="40">
        <v>6.1699729999999997</v>
      </c>
      <c r="G184" s="40">
        <v>6.3135760000000003</v>
      </c>
      <c r="H184" s="42">
        <v>3923</v>
      </c>
      <c r="I184" s="64">
        <v>1.06E-2</v>
      </c>
      <c r="J184" s="64">
        <v>0.45540000000000003</v>
      </c>
      <c r="K184" s="46">
        <v>5690053842.04</v>
      </c>
      <c r="L184" s="68">
        <f t="shared" si="118"/>
        <v>6.8133200396677474E-2</v>
      </c>
      <c r="M184" s="40">
        <v>6.2074999999999996</v>
      </c>
      <c r="N184" s="40">
        <v>6.3521999999999998</v>
      </c>
      <c r="O184" s="42">
        <v>3969</v>
      </c>
      <c r="P184" s="64">
        <v>6.1000000000000004E-3</v>
      </c>
      <c r="Q184" s="64">
        <v>0.46429999999999999</v>
      </c>
      <c r="R184" s="70">
        <f t="shared" si="119"/>
        <v>1.9892745006887393E-2</v>
      </c>
      <c r="S184" s="70">
        <f t="shared" si="120"/>
        <v>6.1176106852914329E-3</v>
      </c>
      <c r="T184" s="70">
        <f t="shared" si="120"/>
        <v>1.1725720112159062E-2</v>
      </c>
      <c r="U184" s="70">
        <f t="shared" si="121"/>
        <v>-4.4999999999999997E-3</v>
      </c>
      <c r="V184" s="71">
        <f t="shared" si="121"/>
        <v>8.8999999999999635E-3</v>
      </c>
    </row>
    <row r="185" spans="1:22" ht="13.5" customHeight="1">
      <c r="A185" s="163">
        <v>162</v>
      </c>
      <c r="B185" s="160" t="s">
        <v>241</v>
      </c>
      <c r="C185" s="155" t="s">
        <v>242</v>
      </c>
      <c r="D185" s="46">
        <v>100347180.88</v>
      </c>
      <c r="E185" s="41">
        <f t="shared" si="117"/>
        <v>1.1966328686978558E-3</v>
      </c>
      <c r="F185" s="40">
        <v>2.79</v>
      </c>
      <c r="G185" s="40">
        <v>2.8</v>
      </c>
      <c r="H185" s="42">
        <v>111</v>
      </c>
      <c r="I185" s="64">
        <v>3.0000000000000001E-3</v>
      </c>
      <c r="J185" s="64">
        <v>0.32700000000000001</v>
      </c>
      <c r="K185" s="46">
        <v>100661503.70999999</v>
      </c>
      <c r="L185" s="68">
        <f t="shared" si="118"/>
        <v>1.2053296146043936E-3</v>
      </c>
      <c r="M185" s="40">
        <v>2.7970999999999999</v>
      </c>
      <c r="N185" s="40">
        <v>2.8117000000000001</v>
      </c>
      <c r="O185" s="42">
        <v>111</v>
      </c>
      <c r="P185" s="64">
        <v>2E-3</v>
      </c>
      <c r="Q185" s="64">
        <v>0.33</v>
      </c>
      <c r="R185" s="70">
        <f t="shared" si="119"/>
        <v>3.132353368012208E-3</v>
      </c>
      <c r="S185" s="70">
        <f t="shared" si="120"/>
        <v>4.1785714285715236E-3</v>
      </c>
      <c r="T185" s="70">
        <f t="shared" si="120"/>
        <v>0</v>
      </c>
      <c r="U185" s="70">
        <f>P185-I185</f>
        <v>-1E-3</v>
      </c>
      <c r="V185" s="71">
        <f>Q185-J185</f>
        <v>3.0000000000000027E-3</v>
      </c>
    </row>
    <row r="186" spans="1:22">
      <c r="A186" s="163">
        <v>163</v>
      </c>
      <c r="B186" s="160" t="s">
        <v>243</v>
      </c>
      <c r="C186" s="155" t="s">
        <v>152</v>
      </c>
      <c r="D186" s="46">
        <v>959432147.90999997</v>
      </c>
      <c r="E186" s="41">
        <f t="shared" si="117"/>
        <v>1.1441158918529339E-2</v>
      </c>
      <c r="F186" s="40">
        <v>359.89</v>
      </c>
      <c r="G186" s="40">
        <v>364.19</v>
      </c>
      <c r="H186" s="42">
        <v>158</v>
      </c>
      <c r="I186" s="64">
        <v>1.37E-2</v>
      </c>
      <c r="J186" s="64">
        <v>0.44629999999999997</v>
      </c>
      <c r="K186" s="46">
        <v>972531509.88</v>
      </c>
      <c r="L186" s="68">
        <f t="shared" si="118"/>
        <v>1.1645177021906915E-2</v>
      </c>
      <c r="M186" s="40">
        <v>364.26</v>
      </c>
      <c r="N186" s="40">
        <v>364.64</v>
      </c>
      <c r="O186" s="42">
        <v>158</v>
      </c>
      <c r="P186" s="64">
        <v>1.37E-2</v>
      </c>
      <c r="Q186" s="64">
        <v>0.44629999999999997</v>
      </c>
      <c r="R186" s="70">
        <f t="shared" si="119"/>
        <v>1.3653244784985901E-2</v>
      </c>
      <c r="S186" s="70">
        <f t="shared" si="120"/>
        <v>1.2356187704220013E-3</v>
      </c>
      <c r="T186" s="70">
        <f t="shared" si="120"/>
        <v>0</v>
      </c>
      <c r="U186" s="70">
        <f t="shared" si="121"/>
        <v>0</v>
      </c>
      <c r="V186" s="71">
        <f t="shared" si="121"/>
        <v>0</v>
      </c>
    </row>
    <row r="187" spans="1:22">
      <c r="A187" s="163">
        <v>164</v>
      </c>
      <c r="B187" s="160" t="s">
        <v>244</v>
      </c>
      <c r="C187" s="155" t="s">
        <v>34</v>
      </c>
      <c r="D187" s="46">
        <v>2147604019.8400002</v>
      </c>
      <c r="E187" s="41">
        <f t="shared" si="117"/>
        <v>2.5610022489434846E-2</v>
      </c>
      <c r="F187" s="40">
        <v>552.22</v>
      </c>
      <c r="G187" s="40">
        <v>552.22</v>
      </c>
      <c r="H187" s="42">
        <v>823</v>
      </c>
      <c r="I187" s="64">
        <v>6.0299999999999998E-3</v>
      </c>
      <c r="J187" s="64">
        <v>-1.4999999999999999E-2</v>
      </c>
      <c r="K187" s="46">
        <v>2143762415.6199999</v>
      </c>
      <c r="L187" s="68">
        <f t="shared" si="118"/>
        <v>2.5669597919645848E-2</v>
      </c>
      <c r="M187" s="40">
        <v>552.22</v>
      </c>
      <c r="N187" s="40">
        <v>552.22</v>
      </c>
      <c r="O187" s="42">
        <v>823</v>
      </c>
      <c r="P187" s="64">
        <v>6.0299999999999998E-3</v>
      </c>
      <c r="Q187" s="64">
        <v>-1.4999999999999999E-2</v>
      </c>
      <c r="R187" s="70">
        <f t="shared" si="119"/>
        <v>-1.7887861004685923E-3</v>
      </c>
      <c r="S187" s="70">
        <f t="shared" si="120"/>
        <v>0</v>
      </c>
      <c r="T187" s="70">
        <f t="shared" si="120"/>
        <v>0</v>
      </c>
      <c r="U187" s="70">
        <f t="shared" si="121"/>
        <v>0</v>
      </c>
      <c r="V187" s="71">
        <f t="shared" si="121"/>
        <v>0</v>
      </c>
    </row>
    <row r="188" spans="1:22">
      <c r="A188" s="163">
        <v>165</v>
      </c>
      <c r="B188" s="160" t="s">
        <v>245</v>
      </c>
      <c r="C188" s="155" t="s">
        <v>106</v>
      </c>
      <c r="D188" s="40">
        <v>47066641.969999999</v>
      </c>
      <c r="E188" s="41">
        <f t="shared" si="117"/>
        <v>5.612662987302848E-4</v>
      </c>
      <c r="F188" s="40">
        <v>2.62</v>
      </c>
      <c r="G188" s="40">
        <v>2.62</v>
      </c>
      <c r="H188" s="42">
        <v>8</v>
      </c>
      <c r="I188" s="64">
        <v>-6.7229999999999998E-3</v>
      </c>
      <c r="J188" s="64">
        <v>0.39623799999999998</v>
      </c>
      <c r="K188" s="40">
        <v>47024192.840000004</v>
      </c>
      <c r="L188" s="68">
        <f t="shared" si="118"/>
        <v>5.6307178160392595E-4</v>
      </c>
      <c r="M188" s="40">
        <v>2.61</v>
      </c>
      <c r="N188" s="40">
        <v>2.61</v>
      </c>
      <c r="O188" s="42">
        <v>8</v>
      </c>
      <c r="P188" s="64">
        <v>-9.0200000000000002E-4</v>
      </c>
      <c r="Q188" s="64">
        <v>0.39497900000000002</v>
      </c>
      <c r="R188" s="70">
        <f t="shared" si="119"/>
        <v>-9.0189417012269662E-4</v>
      </c>
      <c r="S188" s="70">
        <f t="shared" si="120"/>
        <v>-3.8167938931298589E-3</v>
      </c>
      <c r="T188" s="70">
        <f t="shared" si="120"/>
        <v>0</v>
      </c>
      <c r="U188" s="70">
        <f t="shared" si="121"/>
        <v>5.8209999999999998E-3</v>
      </c>
      <c r="V188" s="71">
        <f t="shared" si="121"/>
        <v>-1.2589999999999546E-3</v>
      </c>
    </row>
    <row r="189" spans="1:22">
      <c r="A189" s="163">
        <v>166</v>
      </c>
      <c r="B189" s="160" t="s">
        <v>246</v>
      </c>
      <c r="C189" s="155" t="s">
        <v>46</v>
      </c>
      <c r="D189" s="40">
        <v>417864326.83999997</v>
      </c>
      <c r="E189" s="41">
        <f t="shared" si="117"/>
        <v>4.9830018518508042E-3</v>
      </c>
      <c r="F189" s="40">
        <v>3.51</v>
      </c>
      <c r="G189" s="40">
        <v>3.58</v>
      </c>
      <c r="H189" s="42">
        <v>139</v>
      </c>
      <c r="I189" s="64">
        <v>2.2000000000000001E-3</v>
      </c>
      <c r="J189" s="64">
        <v>0.3402</v>
      </c>
      <c r="K189" s="40">
        <v>419328773.56</v>
      </c>
      <c r="L189" s="68">
        <f t="shared" si="118"/>
        <v>5.0210792646583234E-3</v>
      </c>
      <c r="M189" s="40">
        <v>3.5184950000000002</v>
      </c>
      <c r="N189" s="40">
        <v>3.588387</v>
      </c>
      <c r="O189" s="42">
        <v>139</v>
      </c>
      <c r="P189" s="64">
        <v>-5.1299999999999998E-2</v>
      </c>
      <c r="Q189" s="64">
        <v>0.2888</v>
      </c>
      <c r="R189" s="70">
        <f t="shared" si="119"/>
        <v>3.5045985645019285E-3</v>
      </c>
      <c r="S189" s="70">
        <f t="shared" si="120"/>
        <v>2.3427374301675762E-3</v>
      </c>
      <c r="T189" s="70">
        <f t="shared" si="120"/>
        <v>0</v>
      </c>
      <c r="U189" s="70">
        <f t="shared" si="121"/>
        <v>-5.3499999999999999E-2</v>
      </c>
      <c r="V189" s="71">
        <f t="shared" si="121"/>
        <v>-5.1400000000000001E-2</v>
      </c>
    </row>
    <row r="190" spans="1:22">
      <c r="A190" s="163">
        <v>167</v>
      </c>
      <c r="B190" s="160" t="s">
        <v>328</v>
      </c>
      <c r="C190" s="155" t="s">
        <v>329</v>
      </c>
      <c r="D190" s="40">
        <v>201649397.28440401</v>
      </c>
      <c r="E190" s="41">
        <f t="shared" si="117"/>
        <v>2.4046544668971672E-3</v>
      </c>
      <c r="F190" s="40">
        <v>112.27</v>
      </c>
      <c r="G190" s="40">
        <v>112.84</v>
      </c>
      <c r="H190" s="42">
        <v>99</v>
      </c>
      <c r="I190" s="64">
        <v>3.6900000000000002E-2</v>
      </c>
      <c r="J190" s="64">
        <v>0.1227</v>
      </c>
      <c r="K190" s="40">
        <v>206838669.93629</v>
      </c>
      <c r="L190" s="41">
        <f t="shared" si="118"/>
        <v>2.4767042526787409E-3</v>
      </c>
      <c r="M190" s="40">
        <v>115.12</v>
      </c>
      <c r="N190" s="40">
        <v>115.73</v>
      </c>
      <c r="O190" s="42">
        <v>99</v>
      </c>
      <c r="P190" s="64">
        <v>2.5499999999999998E-2</v>
      </c>
      <c r="Q190" s="64">
        <v>0.1517</v>
      </c>
      <c r="R190" s="70">
        <f t="shared" ref="R190" si="127">((K190-D190)/D190)</f>
        <v>2.5734134204066554E-2</v>
      </c>
      <c r="S190" s="70">
        <f t="shared" ref="S190" si="128">((N190-G190)/G190)</f>
        <v>2.5611485288904647E-2</v>
      </c>
      <c r="T190" s="70">
        <f t="shared" ref="T190" si="129">((O190-H190)/H190)</f>
        <v>0</v>
      </c>
      <c r="U190" s="70">
        <f t="shared" ref="U190" si="130">P190-I190</f>
        <v>-1.1400000000000004E-2</v>
      </c>
      <c r="V190" s="71">
        <f t="shared" ref="V190" si="131">Q190-J190</f>
        <v>2.8999999999999998E-2</v>
      </c>
    </row>
    <row r="191" spans="1:22">
      <c r="A191" s="163">
        <v>168</v>
      </c>
      <c r="B191" s="160" t="s">
        <v>247</v>
      </c>
      <c r="C191" s="155" t="s">
        <v>50</v>
      </c>
      <c r="D191" s="46">
        <v>4772178433.3999996</v>
      </c>
      <c r="E191" s="41">
        <f t="shared" si="117"/>
        <v>5.6907882400068888E-2</v>
      </c>
      <c r="F191" s="40">
        <v>9674.01</v>
      </c>
      <c r="G191" s="40">
        <v>9764.02</v>
      </c>
      <c r="H191" s="42">
        <v>3644</v>
      </c>
      <c r="I191" s="64">
        <v>1.1000000000000001E-3</v>
      </c>
      <c r="J191" s="64">
        <v>0.51690000000000003</v>
      </c>
      <c r="K191" s="46">
        <v>4818182373.21</v>
      </c>
      <c r="L191" s="41">
        <f t="shared" si="118"/>
        <v>5.7693335475356697E-2</v>
      </c>
      <c r="M191" s="40">
        <v>9650.86</v>
      </c>
      <c r="N191" s="40">
        <v>9739.25</v>
      </c>
      <c r="O191" s="42">
        <v>3707</v>
      </c>
      <c r="P191" s="64">
        <v>-2.5000000000000001E-3</v>
      </c>
      <c r="Q191" s="64">
        <v>0.5131</v>
      </c>
      <c r="R191" s="70">
        <f t="shared" si="119"/>
        <v>9.6400292763622261E-3</v>
      </c>
      <c r="S191" s="70">
        <f t="shared" si="120"/>
        <v>-2.5368649388264708E-3</v>
      </c>
      <c r="T191" s="70">
        <f t="shared" si="120"/>
        <v>1.7288693743139408E-2</v>
      </c>
      <c r="U191" s="70">
        <f t="shared" si="121"/>
        <v>-3.5999999999999999E-3</v>
      </c>
      <c r="V191" s="71">
        <f t="shared" si="121"/>
        <v>-3.8000000000000256E-3</v>
      </c>
    </row>
    <row r="192" spans="1:22">
      <c r="A192" s="163">
        <v>169</v>
      </c>
      <c r="B192" s="160" t="s">
        <v>248</v>
      </c>
      <c r="C192" s="160" t="s">
        <v>117</v>
      </c>
      <c r="D192" s="46">
        <v>159940243.08000001</v>
      </c>
      <c r="E192" s="41">
        <f t="shared" si="117"/>
        <v>1.9072758219877239E-3</v>
      </c>
      <c r="F192" s="40">
        <v>1427.79</v>
      </c>
      <c r="G192" s="40">
        <v>1448.45</v>
      </c>
      <c r="H192" s="42">
        <v>51</v>
      </c>
      <c r="I192" s="64">
        <v>4.7999999999999996E-3</v>
      </c>
      <c r="J192" s="64">
        <v>0.28139999999999998</v>
      </c>
      <c r="K192" s="46">
        <v>163020851.19999999</v>
      </c>
      <c r="L192" s="41">
        <f t="shared" si="118"/>
        <v>1.9520258739176371E-3</v>
      </c>
      <c r="M192" s="40">
        <v>1436.14</v>
      </c>
      <c r="N192" s="40">
        <v>1456.68</v>
      </c>
      <c r="O192" s="42">
        <v>57</v>
      </c>
      <c r="P192" s="64">
        <v>1.8700000000000001E-2</v>
      </c>
      <c r="Q192" s="64">
        <v>0.28739999999999999</v>
      </c>
      <c r="R192" s="70">
        <f t="shared" si="119"/>
        <v>1.9260994360619392E-2</v>
      </c>
      <c r="S192" s="70">
        <f t="shared" si="120"/>
        <v>5.6819358624736914E-3</v>
      </c>
      <c r="T192" s="70">
        <f t="shared" si="120"/>
        <v>0.11764705882352941</v>
      </c>
      <c r="U192" s="70">
        <f t="shared" si="121"/>
        <v>1.3900000000000003E-2</v>
      </c>
      <c r="V192" s="71">
        <f t="shared" si="121"/>
        <v>6.0000000000000053E-3</v>
      </c>
    </row>
    <row r="193" spans="1:22">
      <c r="A193" s="163">
        <v>170</v>
      </c>
      <c r="B193" s="160" t="s">
        <v>249</v>
      </c>
      <c r="C193" s="160" t="s">
        <v>96</v>
      </c>
      <c r="D193" s="46">
        <v>798651479.64999998</v>
      </c>
      <c r="E193" s="41">
        <f t="shared" si="117"/>
        <v>9.5238610871014907E-3</v>
      </c>
      <c r="F193" s="40">
        <v>1.5209999999999999</v>
      </c>
      <c r="G193" s="40">
        <v>1.5209999999999999</v>
      </c>
      <c r="H193" s="42">
        <v>46</v>
      </c>
      <c r="I193" s="64">
        <v>3.5999999999999999E-3</v>
      </c>
      <c r="J193" s="64">
        <v>0.13289999999999999</v>
      </c>
      <c r="K193" s="46">
        <v>800796680.50999999</v>
      </c>
      <c r="L193" s="41">
        <f t="shared" si="118"/>
        <v>9.5888092142588175E-3</v>
      </c>
      <c r="M193" s="40">
        <v>1.5253000000000001</v>
      </c>
      <c r="N193" s="40">
        <v>1.5253000000000001</v>
      </c>
      <c r="O193" s="42">
        <v>46</v>
      </c>
      <c r="P193" s="64">
        <v>2.7000000000000001E-3</v>
      </c>
      <c r="Q193" s="64">
        <v>0.13589999999999999</v>
      </c>
      <c r="R193" s="70">
        <f t="shared" si="119"/>
        <v>2.6860287805891558E-3</v>
      </c>
      <c r="S193" s="70">
        <f t="shared" si="120"/>
        <v>2.8270874424721846E-3</v>
      </c>
      <c r="T193" s="70">
        <f t="shared" si="120"/>
        <v>0</v>
      </c>
      <c r="U193" s="70">
        <f t="shared" si="121"/>
        <v>-8.9999999999999976E-4</v>
      </c>
      <c r="V193" s="71">
        <f t="shared" si="121"/>
        <v>3.0000000000000027E-3</v>
      </c>
    </row>
    <row r="194" spans="1:22">
      <c r="A194" s="163">
        <v>171</v>
      </c>
      <c r="B194" s="160" t="s">
        <v>250</v>
      </c>
      <c r="C194" s="155" t="s">
        <v>53</v>
      </c>
      <c r="D194" s="40">
        <v>3636673325.6399999</v>
      </c>
      <c r="E194" s="41">
        <f t="shared" si="117"/>
        <v>4.3367066179782497E-2</v>
      </c>
      <c r="F194" s="40">
        <v>2.2075999999999998</v>
      </c>
      <c r="G194" s="40">
        <v>2.2238000000000002</v>
      </c>
      <c r="H194" s="42">
        <v>2916</v>
      </c>
      <c r="I194" s="64">
        <v>-4.1999999999999997E-3</v>
      </c>
      <c r="J194" s="64">
        <v>0.317</v>
      </c>
      <c r="K194" s="40">
        <v>3297198950.54</v>
      </c>
      <c r="L194" s="68">
        <f t="shared" si="118"/>
        <v>3.9480947471019948E-2</v>
      </c>
      <c r="M194" s="40">
        <v>2.2081</v>
      </c>
      <c r="N194" s="40">
        <v>2.2242999999999999</v>
      </c>
      <c r="O194" s="42">
        <v>2823</v>
      </c>
      <c r="P194" s="64">
        <v>2.0000000000000001E-4</v>
      </c>
      <c r="Q194" s="64">
        <v>0.31719999999999998</v>
      </c>
      <c r="R194" s="70">
        <f t="shared" si="119"/>
        <v>-9.3347503254298358E-2</v>
      </c>
      <c r="S194" s="70">
        <f t="shared" si="120"/>
        <v>2.2484036334190251E-4</v>
      </c>
      <c r="T194" s="70">
        <f t="shared" si="120"/>
        <v>-3.1893004115226338E-2</v>
      </c>
      <c r="U194" s="70">
        <f t="shared" si="121"/>
        <v>4.3999999999999994E-3</v>
      </c>
      <c r="V194" s="71">
        <f t="shared" si="121"/>
        <v>1.9999999999997797E-4</v>
      </c>
    </row>
    <row r="195" spans="1:22">
      <c r="A195" s="163">
        <v>172</v>
      </c>
      <c r="B195" s="160" t="s">
        <v>251</v>
      </c>
      <c r="C195" s="155" t="s">
        <v>53</v>
      </c>
      <c r="D195" s="40">
        <v>2443096319.2199998</v>
      </c>
      <c r="E195" s="41">
        <f t="shared" si="117"/>
        <v>2.9133746771316384E-2</v>
      </c>
      <c r="F195" s="40">
        <v>1.7794000000000001</v>
      </c>
      <c r="G195" s="40">
        <v>1.7916000000000001</v>
      </c>
      <c r="H195" s="42">
        <v>1459</v>
      </c>
      <c r="I195" s="64">
        <v>3.5999999999999999E-3</v>
      </c>
      <c r="J195" s="64">
        <v>0.37090000000000001</v>
      </c>
      <c r="K195" s="40">
        <v>2439508716.0300002</v>
      </c>
      <c r="L195" s="68">
        <f t="shared" si="118"/>
        <v>2.9210889884852681E-2</v>
      </c>
      <c r="M195" s="40">
        <v>1.7754000000000001</v>
      </c>
      <c r="N195" s="40">
        <v>1.7875000000000001</v>
      </c>
      <c r="O195" s="42">
        <v>1381</v>
      </c>
      <c r="P195" s="64">
        <v>-2.2000000000000001E-3</v>
      </c>
      <c r="Q195" s="64">
        <v>0.36830000000000002</v>
      </c>
      <c r="R195" s="70">
        <f t="shared" si="119"/>
        <v>-1.4684657177761145E-3</v>
      </c>
      <c r="S195" s="70">
        <f t="shared" si="120"/>
        <v>-2.2884572449207372E-3</v>
      </c>
      <c r="T195" s="70">
        <f t="shared" si="120"/>
        <v>-5.3461274845784786E-2</v>
      </c>
      <c r="U195" s="70">
        <f t="shared" si="121"/>
        <v>-5.7999999999999996E-3</v>
      </c>
      <c r="V195" s="71">
        <f t="shared" si="121"/>
        <v>-2.5999999999999912E-3</v>
      </c>
    </row>
    <row r="196" spans="1:22">
      <c r="A196" s="163">
        <v>173</v>
      </c>
      <c r="B196" s="160" t="s">
        <v>252</v>
      </c>
      <c r="C196" s="155" t="s">
        <v>122</v>
      </c>
      <c r="D196" s="46">
        <v>11899483496.85</v>
      </c>
      <c r="E196" s="41">
        <f t="shared" si="117"/>
        <v>0.14190047939549461</v>
      </c>
      <c r="F196" s="40">
        <v>685.17</v>
      </c>
      <c r="G196" s="40">
        <v>691.86</v>
      </c>
      <c r="H196" s="42">
        <v>39</v>
      </c>
      <c r="I196" s="64">
        <v>6.0000000000000001E-3</v>
      </c>
      <c r="J196" s="64">
        <v>0.32279999999999998</v>
      </c>
      <c r="K196" s="46">
        <v>11937801657.91</v>
      </c>
      <c r="L196" s="68">
        <f t="shared" si="118"/>
        <v>0.14294427701980486</v>
      </c>
      <c r="M196" s="40">
        <v>687.36</v>
      </c>
      <c r="N196" s="40">
        <v>694.11</v>
      </c>
      <c r="O196" s="42">
        <v>39</v>
      </c>
      <c r="P196" s="64">
        <v>3.2000000000000002E-3</v>
      </c>
      <c r="Q196" s="64">
        <v>0.3271</v>
      </c>
      <c r="R196" s="70">
        <f t="shared" si="119"/>
        <v>3.2201533007834289E-3</v>
      </c>
      <c r="S196" s="70">
        <f t="shared" si="120"/>
        <v>3.2521030266238833E-3</v>
      </c>
      <c r="T196" s="70">
        <f t="shared" si="120"/>
        <v>0</v>
      </c>
      <c r="U196" s="70">
        <f t="shared" si="121"/>
        <v>-2.8E-3</v>
      </c>
      <c r="V196" s="71">
        <f t="shared" si="121"/>
        <v>4.300000000000026E-3</v>
      </c>
    </row>
    <row r="197" spans="1:22">
      <c r="A197" s="49"/>
      <c r="B197" s="50"/>
      <c r="C197" s="51" t="s">
        <v>56</v>
      </c>
      <c r="D197" s="93">
        <f>SUM(D168:D196)</f>
        <v>83857951344.08696</v>
      </c>
      <c r="E197" s="53">
        <f>(D197/$D$231)</f>
        <v>1.1029318649317948E-2</v>
      </c>
      <c r="F197" s="54"/>
      <c r="G197" s="94"/>
      <c r="H197" s="56">
        <f>SUM(H168:H196)</f>
        <v>78688</v>
      </c>
      <c r="I197" s="112"/>
      <c r="J197" s="112"/>
      <c r="K197" s="93">
        <f>SUM(K168:K196)</f>
        <v>83513673347.384338</v>
      </c>
      <c r="L197" s="53">
        <f>(K197/$K$231)</f>
        <v>1.0884898085249764E-2</v>
      </c>
      <c r="M197" s="54"/>
      <c r="N197" s="94"/>
      <c r="O197" s="56">
        <f>SUM(O168:O196)</f>
        <v>78705</v>
      </c>
      <c r="P197" s="112"/>
      <c r="Q197" s="112"/>
      <c r="R197" s="70">
        <f t="shared" ref="R197" si="132">((K197-D197)/D197)</f>
        <v>-4.105490191263746E-3</v>
      </c>
      <c r="S197" s="70" t="e">
        <f t="shared" ref="S197" si="133">((N197-G197)/G197)</f>
        <v>#DIV/0!</v>
      </c>
      <c r="T197" s="70">
        <f t="shared" ref="T197" si="134">((O197-H197)/H197)</f>
        <v>2.1604310695404636E-4</v>
      </c>
      <c r="U197" s="70">
        <f t="shared" ref="U197" si="135">P197-I197</f>
        <v>0</v>
      </c>
      <c r="V197" s="71">
        <f t="shared" ref="V197" si="136">Q197-J197</f>
        <v>0</v>
      </c>
    </row>
    <row r="198" spans="1:22" ht="5.25" customHeight="1">
      <c r="A198" s="49"/>
      <c r="B198" s="187"/>
      <c r="C198" s="187"/>
      <c r="D198" s="187"/>
      <c r="E198" s="187"/>
      <c r="F198" s="187"/>
      <c r="G198" s="187"/>
      <c r="H198" s="187"/>
      <c r="I198" s="187"/>
      <c r="J198" s="187"/>
      <c r="K198" s="187"/>
      <c r="L198" s="187"/>
      <c r="M198" s="187"/>
      <c r="N198" s="187"/>
      <c r="O198" s="187"/>
      <c r="P198" s="187"/>
      <c r="Q198" s="187"/>
      <c r="R198" s="187"/>
      <c r="S198" s="187"/>
      <c r="T198" s="187"/>
      <c r="U198" s="187"/>
      <c r="V198" s="187"/>
    </row>
    <row r="199" spans="1:22" ht="15" customHeight="1">
      <c r="A199" s="189" t="s">
        <v>253</v>
      </c>
      <c r="B199" s="189"/>
      <c r="C199" s="189"/>
      <c r="D199" s="189"/>
      <c r="E199" s="189"/>
      <c r="F199" s="189"/>
      <c r="G199" s="189"/>
      <c r="H199" s="189"/>
      <c r="I199" s="189"/>
      <c r="J199" s="189"/>
      <c r="K199" s="189"/>
      <c r="L199" s="189"/>
      <c r="M199" s="189"/>
      <c r="N199" s="189"/>
      <c r="O199" s="189"/>
      <c r="P199" s="189"/>
      <c r="Q199" s="189"/>
      <c r="R199" s="189"/>
      <c r="S199" s="189"/>
      <c r="T199" s="189"/>
      <c r="U199" s="189"/>
      <c r="V199" s="189"/>
    </row>
    <row r="200" spans="1:22">
      <c r="A200" s="159">
        <v>174</v>
      </c>
      <c r="B200" s="160" t="s">
        <v>254</v>
      </c>
      <c r="C200" s="155" t="s">
        <v>255</v>
      </c>
      <c r="D200" s="95">
        <v>1433468846.46</v>
      </c>
      <c r="E200" s="41">
        <f>(D200/$D$202)</f>
        <v>0.1722335262411952</v>
      </c>
      <c r="F200" s="96">
        <v>40.070500000000003</v>
      </c>
      <c r="G200" s="96">
        <v>40.4437</v>
      </c>
      <c r="H200" s="42">
        <v>1502</v>
      </c>
      <c r="I200" s="64">
        <v>4.4999999999999997E-3</v>
      </c>
      <c r="J200" s="64">
        <v>0.50490000000000002</v>
      </c>
      <c r="K200" s="95">
        <v>1302977049.4300001</v>
      </c>
      <c r="L200" s="68">
        <f>(K200/$K$202)</f>
        <v>0.15930429343745015</v>
      </c>
      <c r="M200" s="96">
        <v>36.384500000000003</v>
      </c>
      <c r="N200" s="96">
        <v>36.677399999999999</v>
      </c>
      <c r="O200" s="42">
        <v>1502</v>
      </c>
      <c r="P200" s="64">
        <v>-8.6699999999999999E-2</v>
      </c>
      <c r="Q200" s="64">
        <v>0.3664</v>
      </c>
      <c r="R200" s="70">
        <f>((K200-D200)/D200)</f>
        <v>-9.1032182075148613E-2</v>
      </c>
      <c r="S200" s="70">
        <f t="shared" ref="S200:T202" si="137">((N200-G200)/G200)</f>
        <v>-9.3124516302909993E-2</v>
      </c>
      <c r="T200" s="70">
        <f t="shared" si="137"/>
        <v>0</v>
      </c>
      <c r="U200" s="70">
        <f t="shared" ref="U200:V202" si="138">P200-I200</f>
        <v>-9.1200000000000003E-2</v>
      </c>
      <c r="V200" s="71">
        <f t="shared" si="138"/>
        <v>-0.13850000000000001</v>
      </c>
    </row>
    <row r="201" spans="1:22">
      <c r="A201" s="159">
        <v>175</v>
      </c>
      <c r="B201" s="160" t="s">
        <v>256</v>
      </c>
      <c r="C201" s="155" t="s">
        <v>50</v>
      </c>
      <c r="D201" s="58">
        <v>6889352370.4300003</v>
      </c>
      <c r="E201" s="41">
        <f>(D201/$D$202)</f>
        <v>0.82776647375880485</v>
      </c>
      <c r="F201" s="96">
        <v>4.46</v>
      </c>
      <c r="G201" s="96">
        <v>4.5199999999999996</v>
      </c>
      <c r="H201" s="42">
        <v>11711</v>
      </c>
      <c r="I201" s="64">
        <v>-2.2000000000000001E-3</v>
      </c>
      <c r="J201" s="64">
        <v>0.55859999999999999</v>
      </c>
      <c r="K201" s="58">
        <v>6876193902.6800003</v>
      </c>
      <c r="L201" s="68">
        <f>(K201/$K$202)</f>
        <v>0.84069570656254977</v>
      </c>
      <c r="M201" s="96">
        <v>4.45</v>
      </c>
      <c r="N201" s="96">
        <v>4.51</v>
      </c>
      <c r="O201" s="42">
        <v>11764</v>
      </c>
      <c r="P201" s="64">
        <v>-2.2000000000000001E-3</v>
      </c>
      <c r="Q201" s="64">
        <v>0.55520000000000003</v>
      </c>
      <c r="R201" s="70">
        <f>((K201-D201)/D201)</f>
        <v>-1.9099716551700652E-3</v>
      </c>
      <c r="S201" s="70">
        <f t="shared" si="137"/>
        <v>-2.2123893805309266E-3</v>
      </c>
      <c r="T201" s="70">
        <f t="shared" si="137"/>
        <v>4.5256596362394331E-3</v>
      </c>
      <c r="U201" s="70">
        <f t="shared" si="138"/>
        <v>0</v>
      </c>
      <c r="V201" s="71">
        <f t="shared" si="138"/>
        <v>-3.3999999999999586E-3</v>
      </c>
    </row>
    <row r="202" spans="1:22">
      <c r="A202" s="49"/>
      <c r="B202" s="50"/>
      <c r="C202" s="85" t="s">
        <v>56</v>
      </c>
      <c r="D202" s="93">
        <f>SUM(D200:D201)</f>
        <v>8322821216.8900003</v>
      </c>
      <c r="E202" s="53">
        <f>(D202/$D$231)</f>
        <v>1.0946492943254651E-3</v>
      </c>
      <c r="F202" s="54"/>
      <c r="G202" s="94"/>
      <c r="H202" s="56">
        <f>SUM(H200:H201)</f>
        <v>13213</v>
      </c>
      <c r="I202" s="112"/>
      <c r="J202" s="112"/>
      <c r="K202" s="93">
        <f>SUM(K200:K201)</f>
        <v>8179170952.1100006</v>
      </c>
      <c r="L202" s="53">
        <f>(K202/$K$231)</f>
        <v>1.0660462971760906E-3</v>
      </c>
      <c r="M202" s="54"/>
      <c r="N202" s="94"/>
      <c r="O202" s="56">
        <f>SUM(O200:O201)</f>
        <v>13266</v>
      </c>
      <c r="P202" s="112"/>
      <c r="Q202" s="112"/>
      <c r="R202" s="70">
        <f>((K202-D202)/D202)</f>
        <v>-1.7259804222212731E-2</v>
      </c>
      <c r="S202" s="70" t="e">
        <f t="shared" si="137"/>
        <v>#DIV/0!</v>
      </c>
      <c r="T202" s="70">
        <f t="shared" si="137"/>
        <v>4.011201089835768E-3</v>
      </c>
      <c r="U202" s="70">
        <f t="shared" si="138"/>
        <v>0</v>
      </c>
      <c r="V202" s="71">
        <f t="shared" si="138"/>
        <v>0</v>
      </c>
    </row>
    <row r="203" spans="1:22" ht="6" customHeight="1">
      <c r="A203" s="49"/>
      <c r="B203" s="187"/>
      <c r="C203" s="187"/>
      <c r="D203" s="187"/>
      <c r="E203" s="187"/>
      <c r="F203" s="187"/>
      <c r="G203" s="187"/>
      <c r="H203" s="187"/>
      <c r="I203" s="187"/>
      <c r="J203" s="187"/>
      <c r="K203" s="187"/>
      <c r="L203" s="187"/>
      <c r="M203" s="187"/>
      <c r="N203" s="187"/>
      <c r="O203" s="187"/>
      <c r="P203" s="187"/>
      <c r="Q203" s="187"/>
      <c r="R203" s="187"/>
      <c r="S203" s="187"/>
      <c r="T203" s="187"/>
      <c r="U203" s="187"/>
      <c r="V203" s="187"/>
    </row>
    <row r="204" spans="1:22" ht="15" customHeight="1">
      <c r="A204" s="185" t="s">
        <v>257</v>
      </c>
      <c r="B204" s="185"/>
      <c r="C204" s="185"/>
      <c r="D204" s="185"/>
      <c r="E204" s="185"/>
      <c r="F204" s="185"/>
      <c r="G204" s="185"/>
      <c r="H204" s="185"/>
      <c r="I204" s="185"/>
      <c r="J204" s="185"/>
      <c r="K204" s="185"/>
      <c r="L204" s="185"/>
      <c r="M204" s="185"/>
      <c r="N204" s="185"/>
      <c r="O204" s="185"/>
      <c r="P204" s="185"/>
      <c r="Q204" s="185"/>
      <c r="R204" s="185"/>
      <c r="S204" s="185"/>
      <c r="T204" s="185"/>
      <c r="U204" s="185"/>
      <c r="V204" s="185"/>
    </row>
    <row r="205" spans="1:22">
      <c r="A205" s="188" t="s">
        <v>258</v>
      </c>
      <c r="B205" s="188"/>
      <c r="C205" s="188"/>
      <c r="D205" s="188"/>
      <c r="E205" s="188"/>
      <c r="F205" s="188"/>
      <c r="G205" s="188"/>
      <c r="H205" s="188"/>
      <c r="I205" s="188"/>
      <c r="J205" s="188"/>
      <c r="K205" s="188"/>
      <c r="L205" s="188"/>
      <c r="M205" s="188"/>
      <c r="N205" s="188"/>
      <c r="O205" s="188"/>
      <c r="P205" s="188"/>
      <c r="Q205" s="188"/>
      <c r="R205" s="188"/>
      <c r="S205" s="188"/>
      <c r="T205" s="188"/>
      <c r="U205" s="188"/>
      <c r="V205" s="188"/>
    </row>
    <row r="206" spans="1:22">
      <c r="A206" s="159">
        <v>176</v>
      </c>
      <c r="B206" s="160" t="s">
        <v>259</v>
      </c>
      <c r="C206" s="155" t="s">
        <v>260</v>
      </c>
      <c r="D206" s="62">
        <v>8458739575.29</v>
      </c>
      <c r="E206" s="41">
        <f>(D206/$D$230)</f>
        <v>0.10808061885606032</v>
      </c>
      <c r="F206" s="97">
        <v>2.95</v>
      </c>
      <c r="G206" s="97">
        <v>3</v>
      </c>
      <c r="H206" s="60">
        <v>15424</v>
      </c>
      <c r="I206" s="67">
        <v>1.2999999999999999E-2</v>
      </c>
      <c r="J206" s="67">
        <v>0.36449999999999999</v>
      </c>
      <c r="K206" s="62">
        <v>8470374556.1999998</v>
      </c>
      <c r="L206" s="41">
        <f>(K206/$K$230)</f>
        <v>0.10572094404520001</v>
      </c>
      <c r="M206" s="97">
        <v>2.95</v>
      </c>
      <c r="N206" s="97">
        <v>3.01</v>
      </c>
      <c r="O206" s="60">
        <v>15424</v>
      </c>
      <c r="P206" s="67">
        <v>1.1000000000000001E-3</v>
      </c>
      <c r="Q206" s="67">
        <v>0.36599999999999999</v>
      </c>
      <c r="R206" s="69">
        <f>((K206-D206)/D206)</f>
        <v>1.3754981822573669E-3</v>
      </c>
      <c r="S206" s="69">
        <f>((N206-G206)/G206)</f>
        <v>3.3333333333332624E-3</v>
      </c>
      <c r="T206" s="69">
        <f>((O206-H206)/H206)</f>
        <v>0</v>
      </c>
      <c r="U206" s="69">
        <f>P206-I206</f>
        <v>-1.1899999999999999E-2</v>
      </c>
      <c r="V206" s="116">
        <f>Q206-J206</f>
        <v>1.5000000000000013E-3</v>
      </c>
    </row>
    <row r="207" spans="1:22">
      <c r="A207" s="159">
        <v>177</v>
      </c>
      <c r="B207" s="160" t="s">
        <v>261</v>
      </c>
      <c r="C207" s="155" t="s">
        <v>50</v>
      </c>
      <c r="D207" s="62">
        <v>4478617436.54</v>
      </c>
      <c r="E207" s="41">
        <f>(D207/$D$230)</f>
        <v>5.7225043974023802E-2</v>
      </c>
      <c r="F207" s="97">
        <v>934.25</v>
      </c>
      <c r="G207" s="97">
        <v>946.43</v>
      </c>
      <c r="H207" s="60">
        <v>2538</v>
      </c>
      <c r="I207" s="67">
        <v>1.1599999999999999E-2</v>
      </c>
      <c r="J207" s="67">
        <v>0.87529999999999997</v>
      </c>
      <c r="K207" s="62">
        <v>4636603850.8299999</v>
      </c>
      <c r="L207" s="41">
        <f>(K207/$K$230)</f>
        <v>5.787065648880417E-2</v>
      </c>
      <c r="M207" s="97">
        <v>931.81</v>
      </c>
      <c r="N207" s="97">
        <v>943.63</v>
      </c>
      <c r="O207" s="60">
        <v>2614</v>
      </c>
      <c r="P207" s="67">
        <v>-3.0000000000000001E-3</v>
      </c>
      <c r="Q207" s="67">
        <v>0.86970000000000003</v>
      </c>
      <c r="R207" s="69">
        <f>((K207-D207)/D207)</f>
        <v>3.5275710981926139E-2</v>
      </c>
      <c r="S207" s="69">
        <f>((N207-G207)/G207)</f>
        <v>-2.958486100398291E-3</v>
      </c>
      <c r="T207" s="69">
        <f>((O207-H207)/H207)</f>
        <v>2.9944838455476755E-2</v>
      </c>
      <c r="U207" s="69">
        <f>P207-I207</f>
        <v>-1.4599999999999998E-2</v>
      </c>
      <c r="V207" s="116">
        <f>Q207-J207</f>
        <v>-5.5999999999999384E-3</v>
      </c>
    </row>
    <row r="208" spans="1:22" ht="6" customHeight="1">
      <c r="A208" s="84"/>
      <c r="B208" s="187"/>
      <c r="C208" s="187"/>
      <c r="D208" s="187"/>
      <c r="E208" s="187"/>
      <c r="F208" s="187"/>
      <c r="G208" s="187"/>
      <c r="H208" s="187"/>
      <c r="I208" s="187"/>
      <c r="J208" s="187"/>
      <c r="K208" s="187"/>
      <c r="L208" s="187"/>
      <c r="M208" s="187"/>
      <c r="N208" s="187"/>
      <c r="O208" s="187"/>
      <c r="P208" s="187"/>
      <c r="Q208" s="187"/>
      <c r="R208" s="187"/>
      <c r="S208" s="187"/>
      <c r="T208" s="187"/>
      <c r="U208" s="187"/>
      <c r="V208" s="187"/>
    </row>
    <row r="209" spans="1:24" ht="15" customHeight="1">
      <c r="A209" s="188" t="s">
        <v>194</v>
      </c>
      <c r="B209" s="188"/>
      <c r="C209" s="188"/>
      <c r="D209" s="188"/>
      <c r="E209" s="188"/>
      <c r="F209" s="188"/>
      <c r="G209" s="188"/>
      <c r="H209" s="188"/>
      <c r="I209" s="188"/>
      <c r="J209" s="188"/>
      <c r="K209" s="188"/>
      <c r="L209" s="188"/>
      <c r="M209" s="188"/>
      <c r="N209" s="188"/>
      <c r="O209" s="188"/>
      <c r="P209" s="188"/>
      <c r="Q209" s="188"/>
      <c r="R209" s="188"/>
      <c r="S209" s="188"/>
      <c r="T209" s="188"/>
      <c r="U209" s="188"/>
      <c r="V209" s="188"/>
    </row>
    <row r="210" spans="1:24">
      <c r="A210" s="159">
        <v>178</v>
      </c>
      <c r="B210" s="160" t="s">
        <v>262</v>
      </c>
      <c r="C210" s="155" t="s">
        <v>24</v>
      </c>
      <c r="D210" s="46">
        <v>1265814714.25</v>
      </c>
      <c r="E210" s="41">
        <f>(D210/$D$230)</f>
        <v>1.6173808929276175E-2</v>
      </c>
      <c r="F210" s="96">
        <v>1.1447000000000001</v>
      </c>
      <c r="G210" s="96">
        <v>1.1447000000000001</v>
      </c>
      <c r="H210" s="42">
        <v>735</v>
      </c>
      <c r="I210" s="64">
        <v>0.13239999999999999</v>
      </c>
      <c r="J210" s="64">
        <v>0.1343</v>
      </c>
      <c r="K210" s="46">
        <v>1265598063.3</v>
      </c>
      <c r="L210" s="41">
        <f t="shared" ref="L210:L223" si="139">(K210/$K$230)</f>
        <v>1.5796258022133861E-2</v>
      </c>
      <c r="M210" s="96">
        <v>1.1477999999999999</v>
      </c>
      <c r="N210" s="96">
        <v>1.1477999999999999</v>
      </c>
      <c r="O210" s="42">
        <v>735</v>
      </c>
      <c r="P210" s="64">
        <v>0.14119999999999999</v>
      </c>
      <c r="Q210" s="64">
        <v>0.1348</v>
      </c>
      <c r="R210" s="70">
        <f>((K210-D210)/D210)</f>
        <v>-1.7115534174242411E-4</v>
      </c>
      <c r="S210" s="70">
        <f>((N210-G210)/G210)</f>
        <v>2.7081331353191931E-3</v>
      </c>
      <c r="T210" s="70">
        <f>((O210-H210)/H210)</f>
        <v>0</v>
      </c>
      <c r="U210" s="70">
        <f>P210-I210</f>
        <v>8.8000000000000023E-3</v>
      </c>
      <c r="V210" s="71">
        <f>Q210-J210</f>
        <v>5.0000000000000044E-4</v>
      </c>
      <c r="X210" s="117"/>
    </row>
    <row r="211" spans="1:24">
      <c r="A211" s="159">
        <v>179</v>
      </c>
      <c r="B211" s="160" t="s">
        <v>263</v>
      </c>
      <c r="C211" s="155" t="s">
        <v>264</v>
      </c>
      <c r="D211" s="46">
        <v>370364435.73000002</v>
      </c>
      <c r="E211" s="41">
        <f>(D211/$D$230)</f>
        <v>4.7322910298490447E-3</v>
      </c>
      <c r="F211" s="96">
        <v>1119.3499999999999</v>
      </c>
      <c r="G211" s="96">
        <v>1119.3499999999999</v>
      </c>
      <c r="H211" s="42">
        <v>17</v>
      </c>
      <c r="I211" s="64">
        <v>2.4400000000000002E-2</v>
      </c>
      <c r="J211" s="64">
        <v>0.11020000000000001</v>
      </c>
      <c r="K211" s="46">
        <v>371144955.19</v>
      </c>
      <c r="L211" s="41">
        <f t="shared" si="139"/>
        <v>4.6323565481032527E-3</v>
      </c>
      <c r="M211" s="96">
        <v>1121.71</v>
      </c>
      <c r="N211" s="96">
        <v>1121.71</v>
      </c>
      <c r="O211" s="42">
        <v>17</v>
      </c>
      <c r="P211" s="64">
        <v>2.3E-3</v>
      </c>
      <c r="Q211" s="64">
        <v>0.1125</v>
      </c>
      <c r="R211" s="70">
        <f>((K211-D211)/D211)</f>
        <v>2.1074363105667801E-3</v>
      </c>
      <c r="S211" s="70">
        <f>((N211-G211)/G211)</f>
        <v>2.1083664626793475E-3</v>
      </c>
      <c r="T211" s="70">
        <f>((O211-H211)/H211)</f>
        <v>0</v>
      </c>
      <c r="U211" s="70">
        <f>P211-I211</f>
        <v>-2.2100000000000002E-2</v>
      </c>
      <c r="V211" s="71">
        <f>Q211-J211</f>
        <v>2.2999999999999965E-3</v>
      </c>
      <c r="X211" s="117"/>
    </row>
    <row r="212" spans="1:24">
      <c r="A212" s="159">
        <v>180</v>
      </c>
      <c r="B212" s="160" t="s">
        <v>265</v>
      </c>
      <c r="C212" s="155" t="s">
        <v>73</v>
      </c>
      <c r="D212" s="46">
        <v>317040763.64999998</v>
      </c>
      <c r="E212" s="41">
        <f>(D212/$D$230)</f>
        <v>4.0509536477501941E-3</v>
      </c>
      <c r="F212" s="96">
        <v>122.31</v>
      </c>
      <c r="G212" s="96">
        <v>122.31</v>
      </c>
      <c r="H212" s="42">
        <v>80</v>
      </c>
      <c r="I212" s="64">
        <v>2.5999999999999999E-3</v>
      </c>
      <c r="J212" s="64">
        <v>0.13389999999999999</v>
      </c>
      <c r="K212" s="46">
        <v>317200169.5</v>
      </c>
      <c r="L212" s="41">
        <f t="shared" si="139"/>
        <v>3.9590576719291948E-3</v>
      </c>
      <c r="M212" s="96">
        <v>122.53</v>
      </c>
      <c r="N212" s="96">
        <v>122.53</v>
      </c>
      <c r="O212" s="42">
        <v>80</v>
      </c>
      <c r="P212" s="64">
        <v>1.8E-3</v>
      </c>
      <c r="Q212" s="64">
        <v>0.13389999999999999</v>
      </c>
      <c r="R212" s="70">
        <f t="shared" ref="R212:R231" si="140">((K212-D212)/D212)</f>
        <v>5.0279291585356319E-4</v>
      </c>
      <c r="S212" s="70">
        <f t="shared" ref="S212:S230" si="141">((N212-G212)/G212)</f>
        <v>1.7987082004741956E-3</v>
      </c>
      <c r="T212" s="70">
        <f t="shared" ref="T212:T230" si="142">((O212-H212)/H212)</f>
        <v>0</v>
      </c>
      <c r="U212" s="70">
        <f t="shared" ref="U212:U230" si="143">P212-I212</f>
        <v>-7.9999999999999993E-4</v>
      </c>
      <c r="V212" s="71">
        <f t="shared" ref="V212:V230" si="144">Q212-J212</f>
        <v>0</v>
      </c>
    </row>
    <row r="213" spans="1:24">
      <c r="A213" s="159">
        <v>181</v>
      </c>
      <c r="B213" s="165" t="s">
        <v>266</v>
      </c>
      <c r="C213" s="155" t="s">
        <v>267</v>
      </c>
      <c r="D213" s="46">
        <v>54801640.567116499</v>
      </c>
      <c r="E213" s="41">
        <v>0</v>
      </c>
      <c r="F213" s="96">
        <v>105.233966831393</v>
      </c>
      <c r="G213" s="96">
        <v>105.233966831393</v>
      </c>
      <c r="H213" s="42">
        <v>13</v>
      </c>
      <c r="I213" s="64">
        <v>4.0000000000000001E-3</v>
      </c>
      <c r="J213" s="64">
        <v>5.2299999999999999E-2</v>
      </c>
      <c r="K213" s="46">
        <v>54970158.900133699</v>
      </c>
      <c r="L213" s="41">
        <f t="shared" si="139"/>
        <v>6.8609682543294235E-4</v>
      </c>
      <c r="M213" s="96">
        <v>105.54</v>
      </c>
      <c r="N213" s="96">
        <v>105.54</v>
      </c>
      <c r="O213" s="42">
        <v>14</v>
      </c>
      <c r="P213" s="64">
        <v>3.0999999999999999E-3</v>
      </c>
      <c r="Q213" s="64">
        <v>5.5399999999999998E-2</v>
      </c>
      <c r="R213" s="70">
        <f t="shared" si="140"/>
        <v>3.0750600031911996E-3</v>
      </c>
      <c r="S213" s="70">
        <f t="shared" si="141"/>
        <v>2.9081215677950363E-3</v>
      </c>
      <c r="T213" s="70">
        <f t="shared" si="142"/>
        <v>7.6923076923076927E-2</v>
      </c>
      <c r="U213" s="70">
        <f t="shared" si="143"/>
        <v>-9.0000000000000019E-4</v>
      </c>
      <c r="V213" s="71">
        <f t="shared" si="144"/>
        <v>3.0999999999999986E-3</v>
      </c>
    </row>
    <row r="214" spans="1:24">
      <c r="A214" s="159">
        <v>182</v>
      </c>
      <c r="B214" s="165" t="s">
        <v>268</v>
      </c>
      <c r="C214" s="155" t="s">
        <v>79</v>
      </c>
      <c r="D214" s="58">
        <v>68371777.109999999</v>
      </c>
      <c r="E214" s="41">
        <f>(D214/$D$230)</f>
        <v>8.7361289664531036E-4</v>
      </c>
      <c r="F214" s="96">
        <v>103.88</v>
      </c>
      <c r="G214" s="96">
        <v>103.88</v>
      </c>
      <c r="H214" s="42">
        <v>15</v>
      </c>
      <c r="I214" s="64">
        <v>4.3E-3</v>
      </c>
      <c r="J214" s="64">
        <v>0.10970000000000001</v>
      </c>
      <c r="K214" s="58">
        <v>68325110.700000003</v>
      </c>
      <c r="L214" s="41">
        <f t="shared" si="139"/>
        <v>8.5278344626561276E-4</v>
      </c>
      <c r="M214" s="96">
        <v>103.87</v>
      </c>
      <c r="N214" s="96">
        <v>104.1</v>
      </c>
      <c r="O214" s="42">
        <v>15</v>
      </c>
      <c r="P214" s="64">
        <v>2.2000000000000001E-3</v>
      </c>
      <c r="Q214" s="64">
        <v>0.112</v>
      </c>
      <c r="R214" s="70">
        <f t="shared" si="140"/>
        <v>-6.8253908224320575E-4</v>
      </c>
      <c r="S214" s="70">
        <f t="shared" si="141"/>
        <v>2.1178282633808132E-3</v>
      </c>
      <c r="T214" s="70">
        <f t="shared" si="142"/>
        <v>0</v>
      </c>
      <c r="U214" s="70">
        <f t="shared" si="143"/>
        <v>-2.0999999999999999E-3</v>
      </c>
      <c r="V214" s="71">
        <f t="shared" si="144"/>
        <v>2.2999999999999965E-3</v>
      </c>
    </row>
    <row r="215" spans="1:24">
      <c r="A215" s="159">
        <v>183</v>
      </c>
      <c r="B215" s="160" t="s">
        <v>269</v>
      </c>
      <c r="C215" s="155" t="s">
        <v>82</v>
      </c>
      <c r="D215" s="58">
        <v>265527185.63999999</v>
      </c>
      <c r="E215" s="41">
        <v>0</v>
      </c>
      <c r="F215" s="96">
        <v>1.1622600000000001</v>
      </c>
      <c r="G215" s="96">
        <v>1.1622600000000001</v>
      </c>
      <c r="H215" s="42">
        <v>57</v>
      </c>
      <c r="I215" s="64">
        <v>1.8E-3</v>
      </c>
      <c r="J215" s="64">
        <v>0.10879999999999999</v>
      </c>
      <c r="K215" s="58">
        <v>265660149.46000001</v>
      </c>
      <c r="L215" s="41">
        <f t="shared" si="139"/>
        <v>3.3157733001951298E-3</v>
      </c>
      <c r="M215" s="96">
        <v>1.1622600000000001</v>
      </c>
      <c r="N215" s="96">
        <v>1.1622600000000001</v>
      </c>
      <c r="O215" s="42">
        <v>57</v>
      </c>
      <c r="P215" s="64">
        <v>1.8E-3</v>
      </c>
      <c r="Q215" s="64">
        <v>0.10879999999999999</v>
      </c>
      <c r="R215" s="70">
        <f t="shared" ref="R215:R216" si="145">((K215-D215)/D215)</f>
        <v>5.0075407412442552E-4</v>
      </c>
      <c r="S215" s="70">
        <f t="shared" ref="S215:S216" si="146">((N215-G215)/G215)</f>
        <v>0</v>
      </c>
      <c r="T215" s="70">
        <f t="shared" ref="T215" si="147">((O215-H215)/H215)</f>
        <v>0</v>
      </c>
      <c r="U215" s="70">
        <f t="shared" ref="U215" si="148">P215-I215</f>
        <v>0</v>
      </c>
      <c r="V215" s="71">
        <f t="shared" ref="V215" si="149">Q215-J215</f>
        <v>0</v>
      </c>
    </row>
    <row r="216" spans="1:24">
      <c r="A216" s="159">
        <v>184</v>
      </c>
      <c r="B216" s="160" t="s">
        <v>270</v>
      </c>
      <c r="C216" s="155" t="s">
        <v>32</v>
      </c>
      <c r="D216" s="46">
        <v>5017101030.5500002</v>
      </c>
      <c r="E216" s="41">
        <f t="shared" ref="E216:E223" si="150">(D216/$D$230)</f>
        <v>6.4105459143022667E-2</v>
      </c>
      <c r="F216" s="96">
        <v>141.6</v>
      </c>
      <c r="G216" s="96">
        <v>141.6</v>
      </c>
      <c r="H216" s="42">
        <v>759</v>
      </c>
      <c r="I216" s="64">
        <v>2.8E-3</v>
      </c>
      <c r="J216" s="64">
        <v>0.151</v>
      </c>
      <c r="K216" s="46">
        <v>5101620834.2399998</v>
      </c>
      <c r="L216" s="41">
        <f t="shared" si="139"/>
        <v>6.3674654193624849E-2</v>
      </c>
      <c r="M216" s="96">
        <v>141.9</v>
      </c>
      <c r="N216" s="96">
        <v>141.9</v>
      </c>
      <c r="O216" s="42">
        <v>765</v>
      </c>
      <c r="P216" s="64">
        <v>2.0999999999999999E-3</v>
      </c>
      <c r="Q216" s="64">
        <v>0.15310000000000001</v>
      </c>
      <c r="R216" s="70">
        <f t="shared" si="145"/>
        <v>1.6846342773514787E-2</v>
      </c>
      <c r="S216" s="70">
        <f t="shared" si="146"/>
        <v>2.1186440677966904E-3</v>
      </c>
      <c r="T216" s="70">
        <f t="shared" si="142"/>
        <v>7.9051383399209481E-3</v>
      </c>
      <c r="U216" s="70">
        <f t="shared" si="143"/>
        <v>-7.000000000000001E-4</v>
      </c>
      <c r="V216" s="71">
        <f t="shared" si="144"/>
        <v>2.1000000000000185E-3</v>
      </c>
    </row>
    <row r="217" spans="1:24">
      <c r="A217" s="159">
        <v>185</v>
      </c>
      <c r="B217" s="160" t="s">
        <v>271</v>
      </c>
      <c r="C217" s="155" t="s">
        <v>71</v>
      </c>
      <c r="D217" s="46">
        <v>900926715.71402097</v>
      </c>
      <c r="E217" s="41">
        <f t="shared" si="150"/>
        <v>1.1511492476110542E-2</v>
      </c>
      <c r="F217" s="45">
        <v>1319.84800651248</v>
      </c>
      <c r="G217" s="45">
        <v>1319.84800651248</v>
      </c>
      <c r="H217" s="42">
        <v>297</v>
      </c>
      <c r="I217" s="64">
        <v>0.1129</v>
      </c>
      <c r="J217" s="64">
        <v>0.1157</v>
      </c>
      <c r="K217" s="46">
        <v>914444979.49873304</v>
      </c>
      <c r="L217" s="41">
        <f t="shared" si="139"/>
        <v>1.1413425211431339E-2</v>
      </c>
      <c r="M217" s="45">
        <v>1322.7906838469301</v>
      </c>
      <c r="N217" s="45">
        <v>1322.7906838469301</v>
      </c>
      <c r="O217" s="42">
        <v>297</v>
      </c>
      <c r="P217" s="64">
        <v>0.1163</v>
      </c>
      <c r="Q217" s="64">
        <v>0.11600000000000001</v>
      </c>
      <c r="R217" s="70">
        <f t="shared" si="140"/>
        <v>1.5004842845622915E-2</v>
      </c>
      <c r="S217" s="70">
        <f t="shared" si="141"/>
        <v>2.2295577368985908E-3</v>
      </c>
      <c r="T217" s="70">
        <f t="shared" si="142"/>
        <v>0</v>
      </c>
      <c r="U217" s="70">
        <f t="shared" si="143"/>
        <v>3.4000000000000002E-3</v>
      </c>
      <c r="V217" s="71">
        <f t="shared" si="144"/>
        <v>3.0000000000000859E-4</v>
      </c>
    </row>
    <row r="218" spans="1:24">
      <c r="A218" s="159">
        <v>186</v>
      </c>
      <c r="B218" s="160" t="s">
        <v>272</v>
      </c>
      <c r="C218" s="155" t="s">
        <v>260</v>
      </c>
      <c r="D218" s="46">
        <v>39339752714.400002</v>
      </c>
      <c r="E218" s="41">
        <f t="shared" si="150"/>
        <v>0.50265938337166027</v>
      </c>
      <c r="F218" s="45">
        <v>1295.6300000000001</v>
      </c>
      <c r="G218" s="45">
        <v>1295.6300000000001</v>
      </c>
      <c r="H218" s="42">
        <v>11630</v>
      </c>
      <c r="I218" s="64">
        <v>2.3E-3</v>
      </c>
      <c r="J218" s="64">
        <v>0.1462</v>
      </c>
      <c r="K218" s="46">
        <v>40833498331.389999</v>
      </c>
      <c r="L218" s="41">
        <f t="shared" si="139"/>
        <v>0.50965349449662745</v>
      </c>
      <c r="M218" s="45">
        <v>1297.8399999999999</v>
      </c>
      <c r="N218" s="45">
        <v>1297.8399999999999</v>
      </c>
      <c r="O218" s="42">
        <v>11630</v>
      </c>
      <c r="P218" s="64">
        <v>1.6999999999999999E-3</v>
      </c>
      <c r="Q218" s="64">
        <v>0.14799999999999999</v>
      </c>
      <c r="R218" s="70">
        <f t="shared" si="140"/>
        <v>3.7970386540920588E-2</v>
      </c>
      <c r="S218" s="70">
        <f t="shared" si="141"/>
        <v>1.7057338900764948E-3</v>
      </c>
      <c r="T218" s="70">
        <f t="shared" si="142"/>
        <v>0</v>
      </c>
      <c r="U218" s="70">
        <f t="shared" si="143"/>
        <v>-6.0000000000000006E-4</v>
      </c>
      <c r="V218" s="71">
        <f t="shared" si="144"/>
        <v>1.799999999999996E-3</v>
      </c>
    </row>
    <row r="219" spans="1:24">
      <c r="A219" s="159">
        <v>187</v>
      </c>
      <c r="B219" s="160" t="s">
        <v>273</v>
      </c>
      <c r="C219" s="155" t="s">
        <v>274</v>
      </c>
      <c r="D219" s="46">
        <v>325067595.37</v>
      </c>
      <c r="E219" s="41">
        <f t="shared" si="150"/>
        <v>4.1535156112707831E-3</v>
      </c>
      <c r="F219" s="97">
        <v>119.77</v>
      </c>
      <c r="G219" s="97">
        <v>120.53</v>
      </c>
      <c r="H219" s="60">
        <v>129</v>
      </c>
      <c r="I219" s="64">
        <v>1.01E-2</v>
      </c>
      <c r="J219" s="64">
        <v>-3.5900000000000001E-2</v>
      </c>
      <c r="K219" s="46">
        <v>325669443.31</v>
      </c>
      <c r="L219" s="41">
        <f t="shared" si="139"/>
        <v>4.0647648772752796E-3</v>
      </c>
      <c r="M219" s="97">
        <v>120</v>
      </c>
      <c r="N219" s="97">
        <v>120.7</v>
      </c>
      <c r="O219" s="60">
        <v>129</v>
      </c>
      <c r="P219" s="64">
        <v>1.4E-3</v>
      </c>
      <c r="Q219" s="64">
        <v>-3.4599999999999999E-2</v>
      </c>
      <c r="R219" s="70">
        <f t="shared" si="140"/>
        <v>1.8514547391749686E-3</v>
      </c>
      <c r="S219" s="70">
        <f t="shared" si="141"/>
        <v>1.4104372355430324E-3</v>
      </c>
      <c r="T219" s="70">
        <f t="shared" si="142"/>
        <v>0</v>
      </c>
      <c r="U219" s="70">
        <f t="shared" si="143"/>
        <v>-8.6999999999999994E-3</v>
      </c>
      <c r="V219" s="71">
        <f t="shared" si="144"/>
        <v>1.3000000000000025E-3</v>
      </c>
    </row>
    <row r="220" spans="1:24">
      <c r="A220" s="159">
        <v>188</v>
      </c>
      <c r="B220" s="160" t="s">
        <v>275</v>
      </c>
      <c r="C220" s="155" t="s">
        <v>274</v>
      </c>
      <c r="D220" s="46">
        <v>454582937.17000002</v>
      </c>
      <c r="E220" s="41">
        <f t="shared" si="150"/>
        <v>5.8083837117133092E-3</v>
      </c>
      <c r="F220" s="97">
        <v>134.88999999999999</v>
      </c>
      <c r="G220" s="97">
        <v>134.88999999999999</v>
      </c>
      <c r="H220" s="60">
        <v>140</v>
      </c>
      <c r="I220" s="64">
        <v>3.5000000000000001E-3</v>
      </c>
      <c r="J220" s="64">
        <v>0.2077</v>
      </c>
      <c r="K220" s="46">
        <v>454582937.17000002</v>
      </c>
      <c r="L220" s="41">
        <f t="shared" si="139"/>
        <v>5.6737676646512495E-3</v>
      </c>
      <c r="M220" s="97">
        <v>135.18</v>
      </c>
      <c r="N220" s="97">
        <v>135.18</v>
      </c>
      <c r="O220" s="60">
        <v>142</v>
      </c>
      <c r="P220" s="64">
        <v>2.0999999999999999E-3</v>
      </c>
      <c r="Q220" s="64">
        <v>0.2102</v>
      </c>
      <c r="R220" s="70">
        <f t="shared" si="140"/>
        <v>0</v>
      </c>
      <c r="S220" s="70">
        <f t="shared" si="141"/>
        <v>2.1498999184522238E-3</v>
      </c>
      <c r="T220" s="70">
        <f t="shared" si="142"/>
        <v>1.4285714285714285E-2</v>
      </c>
      <c r="U220" s="70">
        <f t="shared" si="143"/>
        <v>-1.4000000000000002E-3</v>
      </c>
      <c r="V220" s="71">
        <f t="shared" si="144"/>
        <v>2.5000000000000022E-3</v>
      </c>
    </row>
    <row r="221" spans="1:24" ht="13.5" customHeight="1">
      <c r="A221" s="159">
        <v>189</v>
      </c>
      <c r="B221" s="160" t="s">
        <v>276</v>
      </c>
      <c r="C221" s="155" t="s">
        <v>104</v>
      </c>
      <c r="D221" s="46">
        <v>2354175455</v>
      </c>
      <c r="E221" s="41">
        <f t="shared" si="150"/>
        <v>3.0080219139909402E-2</v>
      </c>
      <c r="F221" s="74">
        <v>107.58</v>
      </c>
      <c r="G221" s="74">
        <v>107.58</v>
      </c>
      <c r="H221" s="42">
        <v>758</v>
      </c>
      <c r="I221" s="64">
        <v>3.3E-3</v>
      </c>
      <c r="J221" s="64">
        <v>0.15490000000000001</v>
      </c>
      <c r="K221" s="46">
        <v>2377195456</v>
      </c>
      <c r="L221" s="41">
        <f t="shared" si="139"/>
        <v>2.9670393690480107E-2</v>
      </c>
      <c r="M221" s="74">
        <v>107.86</v>
      </c>
      <c r="N221" s="74">
        <v>107.86</v>
      </c>
      <c r="O221" s="42">
        <v>762</v>
      </c>
      <c r="P221" s="64">
        <v>2.5999999999999999E-3</v>
      </c>
      <c r="Q221" s="64">
        <v>0.1555</v>
      </c>
      <c r="R221" s="70">
        <f t="shared" si="140"/>
        <v>9.7783710008139558E-3</v>
      </c>
      <c r="S221" s="70">
        <f t="shared" si="141"/>
        <v>2.6027142591559874E-3</v>
      </c>
      <c r="T221" s="70">
        <f t="shared" si="142"/>
        <v>5.2770448548812663E-3</v>
      </c>
      <c r="U221" s="70">
        <f t="shared" si="143"/>
        <v>-7.000000000000001E-4</v>
      </c>
      <c r="V221" s="71">
        <f t="shared" si="144"/>
        <v>5.9999999999998943E-4</v>
      </c>
    </row>
    <row r="222" spans="1:24" ht="15.75" customHeight="1">
      <c r="A222" s="159">
        <v>190</v>
      </c>
      <c r="B222" s="160" t="s">
        <v>277</v>
      </c>
      <c r="C222" s="155" t="s">
        <v>50</v>
      </c>
      <c r="D222" s="46">
        <v>5455792032.7200003</v>
      </c>
      <c r="E222" s="41">
        <f t="shared" si="150"/>
        <v>6.9710785395130787E-2</v>
      </c>
      <c r="F222" s="74">
        <v>143.96</v>
      </c>
      <c r="G222" s="74">
        <v>143.96</v>
      </c>
      <c r="H222" s="42">
        <v>1843</v>
      </c>
      <c r="I222" s="64">
        <v>1.9E-3</v>
      </c>
      <c r="J222" s="64">
        <v>7.1900000000000006E-2</v>
      </c>
      <c r="K222" s="46">
        <v>5503136104.8999996</v>
      </c>
      <c r="L222" s="41">
        <f t="shared" si="139"/>
        <v>6.8686070534318827E-2</v>
      </c>
      <c r="M222" s="74">
        <v>144.15</v>
      </c>
      <c r="N222" s="74">
        <v>144.15</v>
      </c>
      <c r="O222" s="42">
        <v>1868</v>
      </c>
      <c r="P222" s="64">
        <v>1.2999999999999999E-3</v>
      </c>
      <c r="Q222" s="64">
        <v>7.3300000000000004E-2</v>
      </c>
      <c r="R222" s="70">
        <f t="shared" si="140"/>
        <v>8.677763356092558E-3</v>
      </c>
      <c r="S222" s="70">
        <f t="shared" si="141"/>
        <v>1.3198110586273807E-3</v>
      </c>
      <c r="T222" s="70">
        <f t="shared" si="142"/>
        <v>1.3564839934888768E-2</v>
      </c>
      <c r="U222" s="70">
        <f t="shared" si="143"/>
        <v>-6.0000000000000006E-4</v>
      </c>
      <c r="V222" s="71">
        <f t="shared" si="144"/>
        <v>1.3999999999999985E-3</v>
      </c>
    </row>
    <row r="223" spans="1:24">
      <c r="A223" s="159">
        <v>191</v>
      </c>
      <c r="B223" s="160" t="s">
        <v>278</v>
      </c>
      <c r="C223" s="155" t="s">
        <v>53</v>
      </c>
      <c r="D223" s="46">
        <v>3961201781.5900002</v>
      </c>
      <c r="E223" s="41">
        <f t="shared" si="150"/>
        <v>5.0613822089835163E-2</v>
      </c>
      <c r="F223" s="74">
        <v>1.2164999999999999</v>
      </c>
      <c r="G223" s="74">
        <v>1.2164999999999999</v>
      </c>
      <c r="H223" s="42">
        <v>2029</v>
      </c>
      <c r="I223" s="64">
        <v>2E-3</v>
      </c>
      <c r="J223" s="64">
        <v>0.105</v>
      </c>
      <c r="K223" s="46">
        <v>3970186402.0999999</v>
      </c>
      <c r="L223" s="41">
        <f t="shared" si="139"/>
        <v>4.9552927285629871E-2</v>
      </c>
      <c r="M223" s="74">
        <v>1.2192000000000001</v>
      </c>
      <c r="N223" s="74">
        <v>1.2192000000000001</v>
      </c>
      <c r="O223" s="42">
        <v>1960</v>
      </c>
      <c r="P223" s="64">
        <v>0.1225</v>
      </c>
      <c r="Q223" s="64">
        <v>0.1036</v>
      </c>
      <c r="R223" s="70">
        <f t="shared" si="140"/>
        <v>2.2681552229317095E-3</v>
      </c>
      <c r="S223" s="70">
        <f t="shared" si="141"/>
        <v>2.2194821208385918E-3</v>
      </c>
      <c r="T223" s="70">
        <f t="shared" si="142"/>
        <v>-3.4006899950714639E-2</v>
      </c>
      <c r="U223" s="70">
        <f t="shared" si="143"/>
        <v>0.1205</v>
      </c>
      <c r="V223" s="71">
        <f t="shared" si="144"/>
        <v>-1.3999999999999985E-3</v>
      </c>
    </row>
    <row r="224" spans="1:24" ht="6" customHeight="1">
      <c r="A224" s="49"/>
      <c r="B224" s="187"/>
      <c r="C224" s="187"/>
      <c r="D224" s="187"/>
      <c r="E224" s="187"/>
      <c r="F224" s="187"/>
      <c r="G224" s="187"/>
      <c r="H224" s="187"/>
      <c r="I224" s="187"/>
      <c r="J224" s="187"/>
      <c r="K224" s="187"/>
      <c r="L224" s="187"/>
      <c r="M224" s="187"/>
      <c r="N224" s="187"/>
      <c r="O224" s="187"/>
      <c r="P224" s="187"/>
      <c r="Q224" s="187"/>
      <c r="R224" s="187"/>
      <c r="S224" s="187"/>
      <c r="T224" s="187"/>
      <c r="U224" s="187"/>
      <c r="V224" s="187"/>
    </row>
    <row r="225" spans="1:22">
      <c r="A225" s="188" t="s">
        <v>279</v>
      </c>
      <c r="B225" s="188"/>
      <c r="C225" s="188"/>
      <c r="D225" s="188"/>
      <c r="E225" s="188"/>
      <c r="F225" s="188"/>
      <c r="G225" s="188"/>
      <c r="H225" s="188"/>
      <c r="I225" s="188"/>
      <c r="J225" s="188"/>
      <c r="K225" s="188"/>
      <c r="L225" s="188"/>
      <c r="M225" s="188"/>
      <c r="N225" s="188"/>
      <c r="O225" s="188"/>
      <c r="P225" s="188"/>
      <c r="Q225" s="188"/>
      <c r="R225" s="188"/>
      <c r="S225" s="188"/>
      <c r="T225" s="188"/>
      <c r="U225" s="188"/>
      <c r="V225" s="188"/>
    </row>
    <row r="226" spans="1:22">
      <c r="A226" s="159">
        <v>192</v>
      </c>
      <c r="B226" s="160" t="s">
        <v>280</v>
      </c>
      <c r="C226" s="155" t="s">
        <v>20</v>
      </c>
      <c r="D226" s="95">
        <v>400090806.05000001</v>
      </c>
      <c r="E226" s="41">
        <f>(D226/$D$202)</f>
        <v>4.8071536757039998E-2</v>
      </c>
      <c r="F226" s="96">
        <v>104.62560000000001</v>
      </c>
      <c r="G226" s="96">
        <v>104.62560000000001</v>
      </c>
      <c r="H226" s="44">
        <v>121</v>
      </c>
      <c r="I226" s="65">
        <v>2.5999999999999999E-3</v>
      </c>
      <c r="J226" s="65">
        <v>4.6300000000000001E-2</v>
      </c>
      <c r="K226" s="95">
        <v>352127753.22000003</v>
      </c>
      <c r="L226" s="68">
        <f>(K226/$K$202)</f>
        <v>4.3051765916343979E-2</v>
      </c>
      <c r="M226" s="96">
        <v>104.6957</v>
      </c>
      <c r="N226" s="96">
        <v>104.6957</v>
      </c>
      <c r="O226" s="44">
        <v>121</v>
      </c>
      <c r="P226" s="65">
        <v>6.9999999999999999E-4</v>
      </c>
      <c r="Q226" s="65">
        <v>4.7E-2</v>
      </c>
      <c r="R226" s="70">
        <f>((K226-D226)/D226)</f>
        <v>-0.11988041740705724</v>
      </c>
      <c r="S226" s="70">
        <f t="shared" ref="S226" si="151">((N226-G226)/G226)</f>
        <v>6.7000810509088113E-4</v>
      </c>
      <c r="T226" s="70">
        <f t="shared" ref="T226" si="152">((O226-H226)/H226)</f>
        <v>0</v>
      </c>
      <c r="U226" s="70">
        <f t="shared" ref="U226" si="153">P226-I226</f>
        <v>-1.8999999999999998E-3</v>
      </c>
      <c r="V226" s="71">
        <f t="shared" ref="V226" si="154">Q226-J226</f>
        <v>6.9999999999999923E-4</v>
      </c>
    </row>
    <row r="227" spans="1:22">
      <c r="A227" s="159">
        <v>193</v>
      </c>
      <c r="B227" s="160" t="s">
        <v>281</v>
      </c>
      <c r="C227" s="155" t="s">
        <v>24</v>
      </c>
      <c r="D227" s="95">
        <v>4352360327.1199999</v>
      </c>
      <c r="E227" s="41">
        <f>(D227/$D$202)</f>
        <v>0.5229429076630282</v>
      </c>
      <c r="F227" s="96">
        <v>103.8527</v>
      </c>
      <c r="G227" s="96">
        <v>106.98399999999999</v>
      </c>
      <c r="H227" s="44">
        <v>3570</v>
      </c>
      <c r="I227" s="65">
        <v>0.50729999999999997</v>
      </c>
      <c r="J227" s="65">
        <v>0.53210000000000002</v>
      </c>
      <c r="K227" s="95">
        <v>4411560341.71</v>
      </c>
      <c r="L227" s="68">
        <f>(K227/$K$202)</f>
        <v>0.53936522020877176</v>
      </c>
      <c r="M227" s="96">
        <v>103.5034</v>
      </c>
      <c r="N227" s="96">
        <v>106.6241</v>
      </c>
      <c r="O227" s="44">
        <v>3570</v>
      </c>
      <c r="P227" s="65">
        <v>-0.1754</v>
      </c>
      <c r="Q227" s="65">
        <v>0.51659999999999995</v>
      </c>
      <c r="R227" s="70">
        <f>((K227-D227)/D227)</f>
        <v>1.3601818356150073E-2</v>
      </c>
      <c r="S227" s="70">
        <f t="shared" ref="S227" si="155">((N227-G227)/G227)</f>
        <v>-3.3640544380467746E-3</v>
      </c>
      <c r="T227" s="70">
        <f t="shared" ref="T227" si="156">((O227-H227)/H227)</f>
        <v>0</v>
      </c>
      <c r="U227" s="70">
        <f t="shared" ref="U227" si="157">P227-I227</f>
        <v>-0.68269999999999997</v>
      </c>
      <c r="V227" s="71">
        <f t="shared" ref="V227" si="158">Q227-J227</f>
        <v>-1.5500000000000069E-2</v>
      </c>
    </row>
    <row r="228" spans="1:22">
      <c r="A228" s="159">
        <v>194</v>
      </c>
      <c r="B228" s="160" t="s">
        <v>282</v>
      </c>
      <c r="C228" s="155" t="s">
        <v>260</v>
      </c>
      <c r="D228" s="46">
        <v>277710349.74000001</v>
      </c>
      <c r="E228" s="41">
        <f t="shared" ref="E228" si="159">(D228/$D$230)</f>
        <v>3.5484135899293378E-3</v>
      </c>
      <c r="F228" s="45">
        <v>1224.04</v>
      </c>
      <c r="G228" s="45">
        <v>1224.04</v>
      </c>
      <c r="H228" s="42">
        <v>167</v>
      </c>
      <c r="I228" s="64">
        <v>1.2999999999999999E-3</v>
      </c>
      <c r="J228" s="64">
        <v>0.1056</v>
      </c>
      <c r="K228" s="46">
        <v>278323846.68000001</v>
      </c>
      <c r="L228" s="41">
        <f t="shared" ref="L228" si="160">(K228/$K$230)</f>
        <v>3.4738321931423147E-3</v>
      </c>
      <c r="M228" s="45">
        <v>1225.73</v>
      </c>
      <c r="N228" s="45">
        <v>1225.73</v>
      </c>
      <c r="O228" s="42">
        <v>167</v>
      </c>
      <c r="P228" s="64">
        <v>1.4E-3</v>
      </c>
      <c r="Q228" s="64">
        <v>0.1069</v>
      </c>
      <c r="R228" s="70">
        <f t="shared" ref="R228" si="161">((K228-D228)/D228)</f>
        <v>2.2091252291258504E-3</v>
      </c>
      <c r="S228" s="70">
        <f t="shared" ref="S228" si="162">((N228-G228)/G228)</f>
        <v>1.3806738341884698E-3</v>
      </c>
      <c r="T228" s="70">
        <f t="shared" ref="T228" si="163">((O228-H228)/H228)</f>
        <v>0</v>
      </c>
      <c r="U228" s="70">
        <f t="shared" ref="U228" si="164">P228-I228</f>
        <v>1.0000000000000005E-4</v>
      </c>
      <c r="V228" s="71">
        <f t="shared" ref="V228" si="165">Q228-J228</f>
        <v>1.2999999999999956E-3</v>
      </c>
    </row>
    <row r="229" spans="1:22">
      <c r="A229" s="159">
        <v>195</v>
      </c>
      <c r="B229" s="160" t="s">
        <v>283</v>
      </c>
      <c r="C229" s="155" t="s">
        <v>284</v>
      </c>
      <c r="D229" s="46">
        <v>145202228.47</v>
      </c>
      <c r="E229" s="41">
        <f t="shared" ref="E229" si="166">(D229/$D$230)</f>
        <v>1.8553055774599399E-3</v>
      </c>
      <c r="F229" s="45">
        <v>113.52</v>
      </c>
      <c r="G229" s="45">
        <v>115.86</v>
      </c>
      <c r="H229" s="42">
        <v>312</v>
      </c>
      <c r="I229" s="64">
        <v>2.5999999999999999E-3</v>
      </c>
      <c r="J229" s="64">
        <v>7.5999999999999998E-2</v>
      </c>
      <c r="K229" s="46">
        <v>147894974.03999999</v>
      </c>
      <c r="L229" s="41">
        <f t="shared" ref="L229" si="167">(K229/$K$230)</f>
        <v>1.8459155697671563E-3</v>
      </c>
      <c r="M229" s="45">
        <v>115.63</v>
      </c>
      <c r="N229" s="45">
        <v>118.01</v>
      </c>
      <c r="O229" s="42">
        <v>312</v>
      </c>
      <c r="P229" s="64">
        <v>3.3E-3</v>
      </c>
      <c r="Q229" s="64">
        <v>9.5500000000000002E-2</v>
      </c>
      <c r="R229" s="70">
        <f t="shared" ref="R229" si="168">((K229-D229)/D229)</f>
        <v>1.8544795065292934E-2</v>
      </c>
      <c r="S229" s="70">
        <f t="shared" ref="S229" si="169">((N229-G229)/G229)</f>
        <v>1.8556878991886808E-2</v>
      </c>
      <c r="T229" s="70">
        <f t="shared" ref="T229" si="170">((O229-H229)/H229)</f>
        <v>0</v>
      </c>
      <c r="U229" s="70">
        <f t="shared" ref="U229" si="171">P229-I229</f>
        <v>7.000000000000001E-4</v>
      </c>
      <c r="V229" s="71">
        <f t="shared" ref="V229" si="172">Q229-J229</f>
        <v>1.9500000000000003E-2</v>
      </c>
    </row>
    <row r="230" spans="1:22">
      <c r="A230" s="49"/>
      <c r="B230" s="50"/>
      <c r="C230" s="85" t="s">
        <v>56</v>
      </c>
      <c r="D230" s="73">
        <f>SUM(D206:D229)</f>
        <v>78263241502.671127</v>
      </c>
      <c r="E230" s="53">
        <f>(D230/$D$231)</f>
        <v>1.0293481002411238E-2</v>
      </c>
      <c r="F230" s="54"/>
      <c r="G230" s="88"/>
      <c r="H230" s="98">
        <f>SUM(H206:H229)</f>
        <v>40634</v>
      </c>
      <c r="I230" s="90"/>
      <c r="J230" s="90"/>
      <c r="K230" s="73">
        <f>SUM(K206:K229)</f>
        <v>80120118418.338852</v>
      </c>
      <c r="L230" s="53">
        <f>(K230/$K$231)</f>
        <v>1.0442593273728575E-2</v>
      </c>
      <c r="M230" s="54"/>
      <c r="N230" s="88"/>
      <c r="O230" s="56">
        <f>SUM(O206:O229)</f>
        <v>40679</v>
      </c>
      <c r="P230" s="90"/>
      <c r="Q230" s="90"/>
      <c r="R230" s="70">
        <f t="shared" si="140"/>
        <v>2.3726041498093958E-2</v>
      </c>
      <c r="S230" s="70" t="e">
        <f t="shared" si="141"/>
        <v>#DIV/0!</v>
      </c>
      <c r="T230" s="70">
        <f t="shared" si="142"/>
        <v>1.1074469655953142E-3</v>
      </c>
      <c r="U230" s="70">
        <f t="shared" si="143"/>
        <v>0</v>
      </c>
      <c r="V230" s="71">
        <f t="shared" si="144"/>
        <v>0</v>
      </c>
    </row>
    <row r="231" spans="1:22">
      <c r="A231" s="99"/>
      <c r="B231" s="99"/>
      <c r="C231" s="100" t="s">
        <v>285</v>
      </c>
      <c r="D231" s="101">
        <f>SUM(D26,D72,D114,D156,D165,D197,D202,D230)</f>
        <v>7603185111464.0459</v>
      </c>
      <c r="E231" s="102"/>
      <c r="F231" s="102"/>
      <c r="G231" s="103"/>
      <c r="H231" s="101">
        <f>SUM(H26,H72,H114,H156,H165,H197,H202,H230)</f>
        <v>1100802</v>
      </c>
      <c r="I231" s="113"/>
      <c r="J231" s="113"/>
      <c r="K231" s="101">
        <f>SUM(K26,K72,K114,K156,K165,K197,K202,K230)</f>
        <v>7672435028174.9131</v>
      </c>
      <c r="L231" s="102"/>
      <c r="M231" s="102"/>
      <c r="N231" s="103"/>
      <c r="O231" s="101">
        <f>SUM(O26,O72,O114,O156,O165,O197,O202,O230)</f>
        <v>1100273</v>
      </c>
      <c r="P231" s="114"/>
      <c r="Q231" s="101"/>
      <c r="R231" s="118">
        <f t="shared" si="140"/>
        <v>9.1080140356509919E-3</v>
      </c>
      <c r="S231" s="118"/>
      <c r="T231" s="118"/>
      <c r="U231" s="118"/>
      <c r="V231" s="118"/>
    </row>
    <row r="232" spans="1:22" ht="6.75" customHeight="1">
      <c r="A232" s="49"/>
      <c r="B232" s="187"/>
      <c r="C232" s="187"/>
      <c r="D232" s="187"/>
      <c r="E232" s="187"/>
      <c r="F232" s="187"/>
      <c r="G232" s="187"/>
      <c r="H232" s="187"/>
      <c r="I232" s="187"/>
      <c r="J232" s="187"/>
      <c r="K232" s="187"/>
      <c r="L232" s="187"/>
      <c r="M232" s="187"/>
      <c r="N232" s="187"/>
      <c r="O232" s="187"/>
      <c r="P232" s="187"/>
      <c r="Q232" s="187"/>
      <c r="R232" s="187"/>
      <c r="S232" s="187"/>
      <c r="T232" s="187"/>
      <c r="U232" s="187"/>
      <c r="V232" s="50"/>
    </row>
    <row r="233" spans="1:22" ht="14.4" customHeight="1">
      <c r="A233" s="185" t="s">
        <v>286</v>
      </c>
      <c r="B233" s="185"/>
      <c r="C233" s="185"/>
      <c r="D233" s="185"/>
      <c r="E233" s="185"/>
      <c r="F233" s="185"/>
      <c r="G233" s="185"/>
      <c r="H233" s="185"/>
      <c r="I233" s="185"/>
      <c r="J233" s="185"/>
      <c r="K233" s="185"/>
      <c r="L233" s="185"/>
      <c r="M233" s="185"/>
      <c r="N233" s="185"/>
      <c r="O233" s="185"/>
      <c r="P233" s="185"/>
      <c r="Q233" s="185"/>
      <c r="R233" s="185"/>
      <c r="S233" s="185"/>
      <c r="T233" s="185"/>
      <c r="U233" s="185"/>
      <c r="V233" s="185"/>
    </row>
    <row r="234" spans="1:22" ht="14.4" customHeight="1">
      <c r="A234" s="159">
        <v>1</v>
      </c>
      <c r="B234" s="160" t="s">
        <v>287</v>
      </c>
      <c r="C234" s="155" t="s">
        <v>24</v>
      </c>
      <c r="D234" s="46">
        <v>1909183702.519794</v>
      </c>
      <c r="E234" s="41">
        <f t="shared" ref="E234:E237" si="173">(D234/$D$230)</f>
        <v>2.4394385740522048E-2</v>
      </c>
      <c r="F234" s="45">
        <v>1528.2030369000001</v>
      </c>
      <c r="G234" s="45">
        <v>1528.2030369000001</v>
      </c>
      <c r="H234" s="42">
        <v>50</v>
      </c>
      <c r="I234" s="64">
        <v>7.51E-2</v>
      </c>
      <c r="J234" s="64">
        <v>6.4299999999999996E-2</v>
      </c>
      <c r="K234" s="46">
        <f>1302654.82*W137</f>
        <v>1880221615.3306942</v>
      </c>
      <c r="L234" s="41">
        <f>(K234/$K$239)</f>
        <v>0.1002950886547861</v>
      </c>
      <c r="M234" s="45">
        <f>1.0451*W137</f>
        <v>1508.4729891699999</v>
      </c>
      <c r="N234" s="45">
        <f>1.0451*W137</f>
        <v>1508.4729891699999</v>
      </c>
      <c r="O234" s="42">
        <v>50</v>
      </c>
      <c r="P234" s="64">
        <v>0.08</v>
      </c>
      <c r="Q234" s="64">
        <v>6.4799999999999996E-2</v>
      </c>
      <c r="R234" s="70">
        <f t="shared" ref="R234" si="174">((K234-D234)/D234)</f>
        <v>-1.5169879750636262E-2</v>
      </c>
      <c r="S234" s="70">
        <f t="shared" ref="S234" si="175">((N234-G234)/G234)</f>
        <v>-1.2910619370331293E-2</v>
      </c>
      <c r="T234" s="70">
        <f t="shared" ref="T234" si="176">((O234-H234)/H234)</f>
        <v>0</v>
      </c>
      <c r="U234" s="70">
        <f t="shared" ref="U234" si="177">P234-I234</f>
        <v>4.9000000000000016E-3</v>
      </c>
      <c r="V234" s="71">
        <f t="shared" ref="V234" si="178">Q234-J234</f>
        <v>5.0000000000000044E-4</v>
      </c>
    </row>
    <row r="235" spans="1:22" ht="14.4" customHeight="1">
      <c r="A235" s="159">
        <v>2</v>
      </c>
      <c r="B235" s="160" t="s">
        <v>288</v>
      </c>
      <c r="C235" s="155" t="s">
        <v>216</v>
      </c>
      <c r="D235" s="46">
        <v>4158074735.4745202</v>
      </c>
      <c r="E235" s="41">
        <f t="shared" ref="E235" si="179">(D235/$D$230)</f>
        <v>5.3129344704341247E-2</v>
      </c>
      <c r="F235" s="45">
        <v>123.2</v>
      </c>
      <c r="G235" s="45">
        <v>123.2</v>
      </c>
      <c r="H235" s="42">
        <v>9</v>
      </c>
      <c r="I235" s="64">
        <v>0.25769999999999998</v>
      </c>
      <c r="J235" s="64">
        <v>0.25779999999999997</v>
      </c>
      <c r="K235" s="46">
        <v>4169362077.09935</v>
      </c>
      <c r="L235" s="41">
        <f>(K235/$K$239)</f>
        <v>0.22240279323830406</v>
      </c>
      <c r="M235" s="45">
        <v>123.2</v>
      </c>
      <c r="N235" s="45">
        <v>123.2</v>
      </c>
      <c r="O235" s="42">
        <v>9</v>
      </c>
      <c r="P235" s="64">
        <v>0.2407</v>
      </c>
      <c r="Q235" s="64">
        <v>0.25609999999999999</v>
      </c>
      <c r="R235" s="70">
        <f t="shared" ref="R235" si="180">((K235-D235)/D235)</f>
        <v>2.714559584158522E-3</v>
      </c>
      <c r="S235" s="70">
        <f t="shared" ref="S235" si="181">((N235-G235)/G235)</f>
        <v>0</v>
      </c>
      <c r="T235" s="70">
        <f t="shared" ref="T235" si="182">((O235-H235)/H235)</f>
        <v>0</v>
      </c>
      <c r="U235" s="70">
        <f t="shared" ref="U235" si="183">P235-I235</f>
        <v>-1.6999999999999987E-2</v>
      </c>
      <c r="V235" s="71">
        <f t="shared" ref="V235" si="184">Q235-J235</f>
        <v>-1.6999999999999793E-3</v>
      </c>
    </row>
    <row r="236" spans="1:22" ht="14.4" customHeight="1">
      <c r="A236" s="159">
        <v>3</v>
      </c>
      <c r="B236" s="160" t="s">
        <v>289</v>
      </c>
      <c r="C236" s="155" t="s">
        <v>32</v>
      </c>
      <c r="D236" s="46">
        <v>725108689.37603998</v>
      </c>
      <c r="E236" s="41">
        <f>(D236/$D$230)</f>
        <v>9.2649968932259474E-3</v>
      </c>
      <c r="F236" s="45">
        <v>163262.17015200001</v>
      </c>
      <c r="G236" s="45">
        <v>163262.17015200001</v>
      </c>
      <c r="H236" s="42">
        <v>7</v>
      </c>
      <c r="I236" s="64">
        <v>-2.0999999999999999E-3</v>
      </c>
      <c r="J236" s="64">
        <v>0.1148</v>
      </c>
      <c r="K236" s="46">
        <f>495565.19*W137</f>
        <v>715287248.57707298</v>
      </c>
      <c r="L236" s="41">
        <f>(K236/$K$239)</f>
        <v>3.8154969299753497E-2</v>
      </c>
      <c r="M236" s="45">
        <f>111.58*W137</f>
        <v>161051.972186</v>
      </c>
      <c r="N236" s="45">
        <f>111.58*W137</f>
        <v>161051.972186</v>
      </c>
      <c r="O236" s="42">
        <v>7</v>
      </c>
      <c r="P236" s="64">
        <v>8.9999999999999998E-4</v>
      </c>
      <c r="Q236" s="64">
        <v>0.1158</v>
      </c>
      <c r="R236" s="70">
        <f t="shared" ref="R236:R237" si="185">((K236-D236)/D236)</f>
        <v>-1.3544784310085165E-2</v>
      </c>
      <c r="S236" s="70">
        <f t="shared" ref="S236:S237" si="186">((N236-G236)/G236)</f>
        <v>-1.3537722571874876E-2</v>
      </c>
      <c r="T236" s="70">
        <f t="shared" ref="T236:T237" si="187">((O236-H236)/H236)</f>
        <v>0</v>
      </c>
      <c r="U236" s="70">
        <f t="shared" ref="U236:U237" si="188">P236-I236</f>
        <v>3.0000000000000001E-3</v>
      </c>
      <c r="V236" s="71">
        <f t="shared" ref="V236:V237" si="189">Q236-J236</f>
        <v>1.0000000000000009E-3</v>
      </c>
    </row>
    <row r="237" spans="1:22" ht="14.4" customHeight="1">
      <c r="A237" s="159">
        <v>4</v>
      </c>
      <c r="B237" s="160" t="s">
        <v>290</v>
      </c>
      <c r="C237" s="155" t="s">
        <v>42</v>
      </c>
      <c r="D237" s="46">
        <v>11724343088.809999</v>
      </c>
      <c r="E237" s="41">
        <f t="shared" si="173"/>
        <v>0.1498065102300912</v>
      </c>
      <c r="F237" s="45">
        <v>1.27</v>
      </c>
      <c r="G237" s="45">
        <v>1.27</v>
      </c>
      <c r="H237" s="42">
        <v>16</v>
      </c>
      <c r="I237" s="64">
        <v>1.4500000000000001E-2</v>
      </c>
      <c r="J237" s="64">
        <v>0.22650000000000001</v>
      </c>
      <c r="K237" s="46">
        <v>11809917000.030001</v>
      </c>
      <c r="L237" s="41">
        <f>(K237/$K$239)</f>
        <v>0.62996652249173735</v>
      </c>
      <c r="M237" s="45">
        <v>1.28</v>
      </c>
      <c r="N237" s="45">
        <v>1.28</v>
      </c>
      <c r="O237" s="42">
        <v>16</v>
      </c>
      <c r="P237" s="64">
        <v>1.9199999999999998E-2</v>
      </c>
      <c r="Q237" s="64">
        <v>0.2278</v>
      </c>
      <c r="R237" s="70">
        <f t="shared" si="185"/>
        <v>7.2988235308189724E-3</v>
      </c>
      <c r="S237" s="70">
        <f t="shared" si="186"/>
        <v>7.8740157480315029E-3</v>
      </c>
      <c r="T237" s="70">
        <f t="shared" si="187"/>
        <v>0</v>
      </c>
      <c r="U237" s="70">
        <f t="shared" si="188"/>
        <v>4.6999999999999976E-3</v>
      </c>
      <c r="V237" s="71">
        <f t="shared" si="189"/>
        <v>1.2999999999999956E-3</v>
      </c>
    </row>
    <row r="238" spans="1:22" ht="14.4" customHeight="1">
      <c r="A238" s="159">
        <v>5</v>
      </c>
      <c r="B238" s="160" t="s">
        <v>291</v>
      </c>
      <c r="C238" s="155" t="s">
        <v>53</v>
      </c>
      <c r="D238" s="46">
        <v>173147715.66</v>
      </c>
      <c r="E238" s="41">
        <f t="shared" ref="E238" si="190">(D238/$D$230)</f>
        <v>2.2123759805436943E-3</v>
      </c>
      <c r="F238" s="45">
        <v>1.1327</v>
      </c>
      <c r="G238" s="45">
        <v>1.1327</v>
      </c>
      <c r="H238" s="42">
        <v>15</v>
      </c>
      <c r="I238" s="64">
        <v>-4.3E-3</v>
      </c>
      <c r="J238" s="64">
        <v>0.13270000000000001</v>
      </c>
      <c r="K238" s="46">
        <v>172108248.49000001</v>
      </c>
      <c r="L238" s="41">
        <f>(K238/$K$239)</f>
        <v>9.1806263154189556E-3</v>
      </c>
      <c r="M238" s="45">
        <v>1.1258999999999999</v>
      </c>
      <c r="N238" s="45">
        <v>1.1258999999999999</v>
      </c>
      <c r="O238" s="42">
        <v>15</v>
      </c>
      <c r="P238" s="64">
        <v>1.3299999999999999E-2</v>
      </c>
      <c r="Q238" s="64">
        <v>0.12620000000000001</v>
      </c>
      <c r="R238" s="70">
        <f t="shared" ref="R238:R239" si="191">((K238-D238)/D238)</f>
        <v>-6.0033548004821934E-3</v>
      </c>
      <c r="S238" s="70">
        <f t="shared" ref="S238" si="192">((N238-G238)/G238)</f>
        <v>-6.0033548159266698E-3</v>
      </c>
      <c r="T238" s="70">
        <f t="shared" ref="T238" si="193">((O238-H238)/H238)</f>
        <v>0</v>
      </c>
      <c r="U238" s="70">
        <f t="shared" ref="U238" si="194">P238-I238</f>
        <v>1.7599999999999998E-2</v>
      </c>
      <c r="V238" s="71">
        <f t="shared" ref="V238" si="195">Q238-J238</f>
        <v>-6.5000000000000058E-3</v>
      </c>
    </row>
    <row r="239" spans="1:22" ht="14.4" customHeight="1">
      <c r="A239" s="104"/>
      <c r="B239" s="104"/>
      <c r="C239" s="104" t="s">
        <v>56</v>
      </c>
      <c r="D239" s="104">
        <f>SUM(D234:D238)</f>
        <v>18689857931.840351</v>
      </c>
      <c r="E239" s="104"/>
      <c r="F239" s="104"/>
      <c r="G239" s="104"/>
      <c r="H239" s="104">
        <f>SUM(H234:H238)</f>
        <v>97</v>
      </c>
      <c r="I239" s="104"/>
      <c r="J239" s="104"/>
      <c r="K239" s="104">
        <f>SUM(K234:K238)</f>
        <v>18746896189.527119</v>
      </c>
      <c r="L239" s="53"/>
      <c r="M239" s="104"/>
      <c r="N239" s="104"/>
      <c r="O239" s="104">
        <f>SUM(O234:O238)</f>
        <v>97</v>
      </c>
      <c r="P239" s="104"/>
      <c r="Q239" s="104"/>
      <c r="R239" s="118">
        <f t="shared" si="191"/>
        <v>3.0518293876164921E-3</v>
      </c>
      <c r="S239" s="104"/>
      <c r="T239" s="104"/>
      <c r="U239" s="104"/>
      <c r="V239" s="104"/>
    </row>
    <row r="240" spans="1:22" ht="6" customHeight="1">
      <c r="A240" s="49"/>
      <c r="B240" s="57"/>
      <c r="C240" s="85"/>
      <c r="D240" s="57"/>
      <c r="E240" s="57"/>
      <c r="F240" s="57"/>
      <c r="G240" s="57"/>
      <c r="H240" s="57"/>
      <c r="I240" s="57"/>
      <c r="J240" s="57"/>
      <c r="K240" s="57"/>
      <c r="L240" s="57"/>
      <c r="M240" s="57"/>
      <c r="N240" s="57"/>
      <c r="O240" s="57"/>
      <c r="P240" s="57"/>
      <c r="Q240" s="57"/>
      <c r="R240" s="57"/>
      <c r="S240" s="57"/>
      <c r="T240" s="57"/>
      <c r="U240" s="57"/>
      <c r="V240" s="50"/>
    </row>
    <row r="241" spans="1:22" ht="15.5">
      <c r="A241" s="185" t="s">
        <v>292</v>
      </c>
      <c r="B241" s="185"/>
      <c r="C241" s="185"/>
      <c r="D241" s="185"/>
      <c r="E241" s="185"/>
      <c r="F241" s="185"/>
      <c r="G241" s="185"/>
      <c r="H241" s="185"/>
      <c r="I241" s="185"/>
      <c r="J241" s="185"/>
      <c r="K241" s="185"/>
      <c r="L241" s="185"/>
      <c r="M241" s="185"/>
      <c r="N241" s="185"/>
      <c r="O241" s="185"/>
      <c r="P241" s="185"/>
      <c r="Q241" s="185"/>
      <c r="R241" s="185"/>
      <c r="S241" s="185"/>
      <c r="T241" s="185"/>
      <c r="U241" s="185"/>
      <c r="V241" s="185"/>
    </row>
    <row r="242" spans="1:22">
      <c r="A242" s="159">
        <v>1</v>
      </c>
      <c r="B242" s="160" t="s">
        <v>293</v>
      </c>
      <c r="C242" s="155" t="s">
        <v>294</v>
      </c>
      <c r="D242" s="46">
        <v>131430219149</v>
      </c>
      <c r="E242" s="41">
        <f>(D242/$D$244)</f>
        <v>0.89602420496695567</v>
      </c>
      <c r="F242" s="74">
        <v>108.35</v>
      </c>
      <c r="G242" s="74">
        <v>108.35</v>
      </c>
      <c r="H242" s="42">
        <v>0</v>
      </c>
      <c r="I242" s="64">
        <v>0.15</v>
      </c>
      <c r="J242" s="64">
        <v>0.15</v>
      </c>
      <c r="K242" s="46">
        <v>133144840826</v>
      </c>
      <c r="L242" s="41">
        <f>(K242/$K$244)</f>
        <v>0.89690436484740066</v>
      </c>
      <c r="M242" s="74">
        <v>108.35</v>
      </c>
      <c r="N242" s="74">
        <v>108.35</v>
      </c>
      <c r="O242" s="42">
        <v>0</v>
      </c>
      <c r="P242" s="64">
        <v>0.18099999999999999</v>
      </c>
      <c r="Q242" s="64">
        <v>0.18099999999999999</v>
      </c>
      <c r="R242" s="70">
        <f>((K242-D242)/D242)</f>
        <v>1.3045870942786492E-2</v>
      </c>
      <c r="S242" s="70">
        <f>((N242-G242)/G242)</f>
        <v>0</v>
      </c>
      <c r="T242" s="70" t="e">
        <f>((O242-H242)/H242)</f>
        <v>#DIV/0!</v>
      </c>
      <c r="U242" s="70">
        <f>P242-I242</f>
        <v>3.1E-2</v>
      </c>
      <c r="V242" s="71">
        <f>Q242-J242</f>
        <v>3.1E-2</v>
      </c>
    </row>
    <row r="243" spans="1:22" ht="14.4" customHeight="1">
      <c r="A243" s="159">
        <v>2</v>
      </c>
      <c r="B243" s="160" t="s">
        <v>295</v>
      </c>
      <c r="C243" s="155" t="s">
        <v>53</v>
      </c>
      <c r="D243" s="46">
        <v>15251330769.450001</v>
      </c>
      <c r="E243" s="41">
        <f>(D243/$D$244)</f>
        <v>0.1039757950330442</v>
      </c>
      <c r="F243" s="105">
        <v>1000000</v>
      </c>
      <c r="G243" s="105">
        <v>1000000</v>
      </c>
      <c r="H243" s="42">
        <v>26</v>
      </c>
      <c r="I243" s="64">
        <v>0.2082</v>
      </c>
      <c r="J243" s="64">
        <v>0.2082</v>
      </c>
      <c r="K243" s="46">
        <v>15304476675.82</v>
      </c>
      <c r="L243" s="41">
        <f>(K243/$K$244)</f>
        <v>0.10309563515259923</v>
      </c>
      <c r="M243" s="105">
        <v>1000000</v>
      </c>
      <c r="N243" s="105">
        <v>1000000</v>
      </c>
      <c r="O243" s="42">
        <v>26</v>
      </c>
      <c r="P243" s="64">
        <v>0.2084</v>
      </c>
      <c r="Q243" s="64">
        <v>0.2084</v>
      </c>
      <c r="R243" s="70">
        <f>((K243-D243)/D243)</f>
        <v>3.4846733818438783E-3</v>
      </c>
      <c r="S243" s="70">
        <f>((N243-G243)/G243)</f>
        <v>0</v>
      </c>
      <c r="T243" s="70">
        <f>((O243-H243)/H243)</f>
        <v>0</v>
      </c>
      <c r="U243" s="70">
        <f>P243-I243</f>
        <v>2.0000000000000573E-4</v>
      </c>
      <c r="V243" s="71">
        <f>Q243-J243</f>
        <v>2.0000000000000573E-4</v>
      </c>
    </row>
    <row r="244" spans="1:22" ht="15" customHeight="1">
      <c r="A244" s="99"/>
      <c r="B244" s="99"/>
      <c r="C244" s="100" t="s">
        <v>296</v>
      </c>
      <c r="D244" s="104">
        <f>SUM(D242:D243)</f>
        <v>146681549918.45001</v>
      </c>
      <c r="E244" s="106"/>
      <c r="F244" s="107"/>
      <c r="G244" s="107"/>
      <c r="H244" s="104">
        <f>SUM(H242:H243)</f>
        <v>26</v>
      </c>
      <c r="I244" s="115"/>
      <c r="J244" s="115"/>
      <c r="K244" s="104">
        <f>SUM(K242:K243)</f>
        <v>148449317501.82001</v>
      </c>
      <c r="L244" s="106"/>
      <c r="M244" s="107"/>
      <c r="N244" s="107"/>
      <c r="O244" s="104">
        <f>SUM(O242:O243)</f>
        <v>26</v>
      </c>
      <c r="P244" s="115"/>
      <c r="Q244" s="104"/>
      <c r="R244" s="118">
        <f>((K244-D244)/D244)</f>
        <v>1.2051737824919454E-2</v>
      </c>
      <c r="S244" s="119"/>
      <c r="T244" s="119"/>
      <c r="U244" s="118"/>
      <c r="V244" s="120"/>
    </row>
    <row r="245" spans="1:22" ht="4.5" customHeight="1">
      <c r="A245" s="49"/>
      <c r="B245" s="186"/>
      <c r="C245" s="186"/>
      <c r="D245" s="186"/>
      <c r="E245" s="186"/>
      <c r="F245" s="186"/>
      <c r="G245" s="186"/>
      <c r="H245" s="186"/>
      <c r="I245" s="186"/>
      <c r="J245" s="186"/>
      <c r="K245" s="186"/>
      <c r="L245" s="186"/>
      <c r="M245" s="186"/>
      <c r="N245" s="186"/>
      <c r="O245" s="186"/>
      <c r="P245" s="186"/>
      <c r="Q245" s="186"/>
      <c r="R245" s="186"/>
      <c r="S245" s="186"/>
      <c r="T245" s="186"/>
      <c r="U245" s="186"/>
      <c r="V245" s="186"/>
    </row>
    <row r="246" spans="1:22" ht="15.5">
      <c r="A246" s="185" t="s">
        <v>297</v>
      </c>
      <c r="B246" s="185"/>
      <c r="C246" s="185"/>
      <c r="D246" s="185"/>
      <c r="E246" s="185"/>
      <c r="F246" s="185"/>
      <c r="G246" s="185"/>
      <c r="H246" s="185"/>
      <c r="I246" s="185"/>
      <c r="J246" s="185"/>
      <c r="K246" s="185"/>
      <c r="L246" s="185"/>
      <c r="M246" s="185"/>
      <c r="N246" s="185"/>
      <c r="O246" s="185"/>
      <c r="P246" s="185"/>
      <c r="Q246" s="185"/>
      <c r="R246" s="185"/>
      <c r="S246" s="185"/>
      <c r="T246" s="185"/>
      <c r="U246" s="185"/>
      <c r="V246" s="185"/>
    </row>
    <row r="247" spans="1:22">
      <c r="A247" s="159">
        <v>1</v>
      </c>
      <c r="B247" s="160" t="s">
        <v>298</v>
      </c>
      <c r="C247" s="155" t="s">
        <v>94</v>
      </c>
      <c r="D247" s="108">
        <v>1443169801.9400001</v>
      </c>
      <c r="E247" s="109">
        <f t="shared" ref="E247:E258" si="196">(D247/$D$259)</f>
        <v>8.0441714850729248E-2</v>
      </c>
      <c r="F247" s="105">
        <v>352.68</v>
      </c>
      <c r="G247" s="105">
        <v>352.68</v>
      </c>
      <c r="H247" s="110">
        <v>266</v>
      </c>
      <c r="I247" s="66">
        <v>2.4799999999999999E-2</v>
      </c>
      <c r="J247" s="66">
        <v>0.44619999999999999</v>
      </c>
      <c r="K247" s="108">
        <v>1442573446.1300001</v>
      </c>
      <c r="L247" s="109">
        <f t="shared" ref="L247:L258" si="197">(K247/$K$259)</f>
        <v>7.9778790504455271E-2</v>
      </c>
      <c r="M247" s="105">
        <v>352.48</v>
      </c>
      <c r="N247" s="105">
        <v>352.48</v>
      </c>
      <c r="O247" s="110">
        <v>266</v>
      </c>
      <c r="P247" s="66">
        <v>-2.9999999999999997E-4</v>
      </c>
      <c r="Q247" s="66">
        <v>0.4456</v>
      </c>
      <c r="R247" s="70">
        <f>((K247-D247)/D247)</f>
        <v>-4.1322636407599688E-4</v>
      </c>
      <c r="S247" s="70">
        <f>((N247-G247)/G247)</f>
        <v>-5.6708631053643138E-4</v>
      </c>
      <c r="T247" s="70">
        <f>((O247-H247)/H247)</f>
        <v>0</v>
      </c>
      <c r="U247" s="70">
        <f>P247-I247</f>
        <v>-2.5100000000000001E-2</v>
      </c>
      <c r="V247" s="71">
        <f>Q247-J247</f>
        <v>-5.9999999999998943E-4</v>
      </c>
    </row>
    <row r="248" spans="1:22">
      <c r="A248" s="159">
        <v>2</v>
      </c>
      <c r="B248" s="160" t="s">
        <v>299</v>
      </c>
      <c r="C248" s="155" t="s">
        <v>260</v>
      </c>
      <c r="D248" s="108">
        <v>2049389633.24</v>
      </c>
      <c r="E248" s="109">
        <f t="shared" si="196"/>
        <v>0.11423216885048611</v>
      </c>
      <c r="F248" s="105">
        <v>58.29</v>
      </c>
      <c r="G248" s="105">
        <v>64.430000000000007</v>
      </c>
      <c r="H248" s="110">
        <v>547</v>
      </c>
      <c r="I248" s="66">
        <v>1.5900000000000001E-2</v>
      </c>
      <c r="J248" s="66">
        <v>0.90139999999999998</v>
      </c>
      <c r="K248" s="108">
        <v>2036512240.25</v>
      </c>
      <c r="L248" s="109">
        <f t="shared" si="197"/>
        <v>0.11262544989339995</v>
      </c>
      <c r="M248" s="105">
        <v>57.92</v>
      </c>
      <c r="N248" s="105">
        <v>64.02</v>
      </c>
      <c r="O248" s="110">
        <v>547</v>
      </c>
      <c r="P248" s="66">
        <v>-6.3E-3</v>
      </c>
      <c r="Q248" s="66">
        <v>0.88949999999999996</v>
      </c>
      <c r="R248" s="70">
        <f t="shared" ref="R248:R259" si="198">((K248-D248)/D248)</f>
        <v>-6.2835259733608519E-3</v>
      </c>
      <c r="S248" s="70">
        <f t="shared" ref="S248:S259" si="199">((N248-G248)/G248)</f>
        <v>-6.363495266180518E-3</v>
      </c>
      <c r="T248" s="70">
        <f t="shared" ref="T248:T259" si="200">((O248-H248)/H248)</f>
        <v>0</v>
      </c>
      <c r="U248" s="70">
        <f t="shared" ref="U248:U259" si="201">P248-I248</f>
        <v>-2.2200000000000001E-2</v>
      </c>
      <c r="V248" s="71">
        <f t="shared" ref="V248:V259" si="202">Q248-J248</f>
        <v>-1.1900000000000022E-2</v>
      </c>
    </row>
    <row r="249" spans="1:22">
      <c r="A249" s="159">
        <v>3</v>
      </c>
      <c r="B249" s="160" t="s">
        <v>300</v>
      </c>
      <c r="C249" s="155" t="s">
        <v>44</v>
      </c>
      <c r="D249" s="108">
        <v>476183410.47000003</v>
      </c>
      <c r="E249" s="109">
        <f t="shared" si="196"/>
        <v>2.6542275254224063E-2</v>
      </c>
      <c r="F249" s="105">
        <v>39.672516000000002</v>
      </c>
      <c r="G249" s="105">
        <v>40.012690999999997</v>
      </c>
      <c r="H249" s="110">
        <v>218</v>
      </c>
      <c r="I249" s="66">
        <v>4.7000000000000002E-3</v>
      </c>
      <c r="J249" s="66">
        <v>0.2424</v>
      </c>
      <c r="K249" s="108">
        <v>474894245.50999999</v>
      </c>
      <c r="L249" s="109">
        <f t="shared" si="197"/>
        <v>2.626312623870343E-2</v>
      </c>
      <c r="M249" s="105">
        <v>39.57</v>
      </c>
      <c r="N249" s="105">
        <v>39.92</v>
      </c>
      <c r="O249" s="110">
        <v>218</v>
      </c>
      <c r="P249" s="66">
        <v>1.3299999999999999E-2</v>
      </c>
      <c r="Q249" s="66">
        <v>0.23899999999999999</v>
      </c>
      <c r="R249" s="70">
        <f t="shared" si="198"/>
        <v>-2.7072865867536489E-3</v>
      </c>
      <c r="S249" s="70">
        <f t="shared" si="199"/>
        <v>-2.3165400197651034E-3</v>
      </c>
      <c r="T249" s="70">
        <f t="shared" si="200"/>
        <v>0</v>
      </c>
      <c r="U249" s="70">
        <f t="shared" si="201"/>
        <v>8.6E-3</v>
      </c>
      <c r="V249" s="71">
        <f t="shared" si="202"/>
        <v>-3.4000000000000141E-3</v>
      </c>
    </row>
    <row r="250" spans="1:22">
      <c r="A250" s="159">
        <v>4</v>
      </c>
      <c r="B250" s="160" t="s">
        <v>301</v>
      </c>
      <c r="C250" s="155" t="s">
        <v>44</v>
      </c>
      <c r="D250" s="108">
        <v>962814017.66999996</v>
      </c>
      <c r="E250" s="109">
        <f t="shared" si="196"/>
        <v>5.3666873128568375E-2</v>
      </c>
      <c r="F250" s="105">
        <v>81.757596000000007</v>
      </c>
      <c r="G250" s="105">
        <v>82.190708999999998</v>
      </c>
      <c r="H250" s="110">
        <v>261</v>
      </c>
      <c r="I250" s="66">
        <v>8.8999999999999999E-3</v>
      </c>
      <c r="J250" s="66">
        <v>8.9099999999999999E-2</v>
      </c>
      <c r="K250" s="108">
        <v>975591288.78999996</v>
      </c>
      <c r="L250" s="109">
        <f t="shared" si="197"/>
        <v>5.3953227307176568E-2</v>
      </c>
      <c r="M250" s="105">
        <v>82.84</v>
      </c>
      <c r="N250" s="105">
        <v>83.29</v>
      </c>
      <c r="O250" s="110">
        <v>261</v>
      </c>
      <c r="P250" s="66">
        <v>-2.7000000000000001E-3</v>
      </c>
      <c r="Q250" s="66">
        <v>0.1036</v>
      </c>
      <c r="R250" s="70">
        <f t="shared" si="198"/>
        <v>1.3270757265168272E-2</v>
      </c>
      <c r="S250" s="70">
        <f t="shared" si="199"/>
        <v>1.3374881581810032E-2</v>
      </c>
      <c r="T250" s="70">
        <f t="shared" si="200"/>
        <v>0</v>
      </c>
      <c r="U250" s="70">
        <f t="shared" si="201"/>
        <v>-1.1599999999999999E-2</v>
      </c>
      <c r="V250" s="71">
        <f t="shared" si="202"/>
        <v>1.4499999999999999E-2</v>
      </c>
    </row>
    <row r="251" spans="1:22">
      <c r="A251" s="159">
        <v>5</v>
      </c>
      <c r="B251" s="160" t="s">
        <v>302</v>
      </c>
      <c r="C251" s="155" t="s">
        <v>303</v>
      </c>
      <c r="D251" s="108">
        <v>1978645606.5599999</v>
      </c>
      <c r="E251" s="109">
        <f t="shared" si="196"/>
        <v>0.11028892474024</v>
      </c>
      <c r="F251" s="105">
        <v>58020</v>
      </c>
      <c r="G251" s="105">
        <v>61800</v>
      </c>
      <c r="H251" s="110">
        <v>320</v>
      </c>
      <c r="I251" s="66">
        <v>5.0000000000000001E-3</v>
      </c>
      <c r="J251" s="66">
        <v>0.56999999999999995</v>
      </c>
      <c r="K251" s="108">
        <v>2011022716.5599999</v>
      </c>
      <c r="L251" s="109">
        <f t="shared" si="197"/>
        <v>0.11121580009291443</v>
      </c>
      <c r="M251" s="105">
        <v>58700</v>
      </c>
      <c r="N251" s="105">
        <v>62455</v>
      </c>
      <c r="O251" s="110">
        <v>320</v>
      </c>
      <c r="P251" s="66">
        <v>1.6E-2</v>
      </c>
      <c r="Q251" s="66">
        <v>0.6</v>
      </c>
      <c r="R251" s="70">
        <f t="shared" si="198"/>
        <v>1.6363268840391104E-2</v>
      </c>
      <c r="S251" s="70">
        <f t="shared" si="199"/>
        <v>1.0598705501618124E-2</v>
      </c>
      <c r="T251" s="70">
        <f t="shared" si="200"/>
        <v>0</v>
      </c>
      <c r="U251" s="70">
        <f t="shared" si="201"/>
        <v>1.0999999999999999E-2</v>
      </c>
      <c r="V251" s="71">
        <f t="shared" si="202"/>
        <v>3.0000000000000027E-2</v>
      </c>
    </row>
    <row r="252" spans="1:22">
      <c r="A252" s="159">
        <v>6</v>
      </c>
      <c r="B252" s="160" t="s">
        <v>304</v>
      </c>
      <c r="C252" s="155" t="s">
        <v>305</v>
      </c>
      <c r="D252" s="108">
        <v>935312216.23000002</v>
      </c>
      <c r="E252" s="109">
        <f t="shared" si="196"/>
        <v>5.2133933576795639E-2</v>
      </c>
      <c r="F252" s="105">
        <v>1148</v>
      </c>
      <c r="G252" s="105">
        <v>1148</v>
      </c>
      <c r="H252" s="110">
        <v>174</v>
      </c>
      <c r="I252" s="66">
        <v>1.2999999999999999E-3</v>
      </c>
      <c r="J252" s="66">
        <v>0.44619999999999999</v>
      </c>
      <c r="K252" s="108">
        <v>934838766.41999996</v>
      </c>
      <c r="L252" s="109">
        <f t="shared" si="197"/>
        <v>5.1699486290796196E-2</v>
      </c>
      <c r="M252" s="105">
        <v>1497.05</v>
      </c>
      <c r="N252" s="105">
        <v>1497.05</v>
      </c>
      <c r="O252" s="110">
        <v>174</v>
      </c>
      <c r="P252" s="66">
        <v>-5.0000000000000001E-4</v>
      </c>
      <c r="Q252" s="66">
        <v>0.44550000000000001</v>
      </c>
      <c r="R252" s="70">
        <f t="shared" si="198"/>
        <v>-5.0619440416208277E-4</v>
      </c>
      <c r="S252" s="70">
        <f t="shared" si="199"/>
        <v>0.30405052264808358</v>
      </c>
      <c r="T252" s="70">
        <f t="shared" si="200"/>
        <v>0</v>
      </c>
      <c r="U252" s="70">
        <f t="shared" si="201"/>
        <v>-1.8E-3</v>
      </c>
      <c r="V252" s="71">
        <f t="shared" si="202"/>
        <v>-6.9999999999997842E-4</v>
      </c>
    </row>
    <row r="253" spans="1:22">
      <c r="A253" s="159">
        <v>7</v>
      </c>
      <c r="B253" s="160" t="s">
        <v>306</v>
      </c>
      <c r="C253" s="155" t="s">
        <v>305</v>
      </c>
      <c r="D253" s="108">
        <v>1044414681.59</v>
      </c>
      <c r="E253" s="109">
        <f t="shared" si="196"/>
        <v>5.8215261911273616E-2</v>
      </c>
      <c r="F253" s="105">
        <v>999.99</v>
      </c>
      <c r="G253" s="105">
        <v>999.99</v>
      </c>
      <c r="H253" s="110">
        <v>1793</v>
      </c>
      <c r="I253" s="66">
        <v>8.8000000000000005E-3</v>
      </c>
      <c r="J253" s="66">
        <v>0.44109999999999999</v>
      </c>
      <c r="K253" s="108">
        <v>1050298419.46</v>
      </c>
      <c r="L253" s="109">
        <f t="shared" si="197"/>
        <v>5.8084763585554589E-2</v>
      </c>
      <c r="M253" s="105">
        <v>729.01</v>
      </c>
      <c r="N253" s="105">
        <v>729.01</v>
      </c>
      <c r="O253" s="110">
        <v>1793</v>
      </c>
      <c r="P253" s="66">
        <v>5.5999999999999999E-3</v>
      </c>
      <c r="Q253" s="66">
        <v>0.44900000000000001</v>
      </c>
      <c r="R253" s="70">
        <f t="shared" si="198"/>
        <v>5.6335265806898632E-3</v>
      </c>
      <c r="S253" s="70">
        <f t="shared" si="199"/>
        <v>-0.27098270982709827</v>
      </c>
      <c r="T253" s="70">
        <f t="shared" si="200"/>
        <v>0</v>
      </c>
      <c r="U253" s="70">
        <f t="shared" si="201"/>
        <v>-3.2000000000000006E-3</v>
      </c>
      <c r="V253" s="71">
        <f t="shared" si="202"/>
        <v>7.9000000000000181E-3</v>
      </c>
    </row>
    <row r="254" spans="1:22">
      <c r="A254" s="159">
        <v>8</v>
      </c>
      <c r="B254" s="160" t="s">
        <v>307</v>
      </c>
      <c r="C254" s="155" t="s">
        <v>308</v>
      </c>
      <c r="D254" s="108">
        <v>169287975.09</v>
      </c>
      <c r="E254" s="109">
        <f t="shared" si="196"/>
        <v>9.4360448795015039E-3</v>
      </c>
      <c r="F254" s="105">
        <v>37.22</v>
      </c>
      <c r="G254" s="105">
        <v>37.32</v>
      </c>
      <c r="H254" s="110">
        <v>262</v>
      </c>
      <c r="I254" s="66">
        <v>1.7600000000000001E-2</v>
      </c>
      <c r="J254" s="66">
        <v>1.0116000000000001</v>
      </c>
      <c r="K254" s="108">
        <v>175101241.47</v>
      </c>
      <c r="L254" s="109">
        <f t="shared" si="197"/>
        <v>9.6836423114406121E-3</v>
      </c>
      <c r="M254" s="105">
        <v>38.46</v>
      </c>
      <c r="N254" s="105">
        <v>38.56</v>
      </c>
      <c r="O254" s="110">
        <v>312</v>
      </c>
      <c r="P254" s="66">
        <v>8.3799999999999999E-2</v>
      </c>
      <c r="Q254" s="66">
        <v>1.1801999999999999</v>
      </c>
      <c r="R254" s="70">
        <f t="shared" si="198"/>
        <v>3.4339511574342119E-2</v>
      </c>
      <c r="S254" s="70">
        <f t="shared" si="199"/>
        <v>3.3226152197213345E-2</v>
      </c>
      <c r="T254" s="70">
        <f t="shared" si="200"/>
        <v>0.19083969465648856</v>
      </c>
      <c r="U254" s="70">
        <f t="shared" si="201"/>
        <v>6.6199999999999995E-2</v>
      </c>
      <c r="V254" s="71">
        <f t="shared" si="202"/>
        <v>0.16859999999999986</v>
      </c>
    </row>
    <row r="255" spans="1:22">
      <c r="A255" s="159">
        <v>9</v>
      </c>
      <c r="B255" s="160" t="s">
        <v>309</v>
      </c>
      <c r="C255" s="155" t="s">
        <v>308</v>
      </c>
      <c r="D255" s="111">
        <v>896340765.15999997</v>
      </c>
      <c r="E255" s="109">
        <f t="shared" si="196"/>
        <v>4.9961680284024465E-2</v>
      </c>
      <c r="F255" s="105">
        <v>14.59</v>
      </c>
      <c r="G255" s="105">
        <v>14.69</v>
      </c>
      <c r="H255" s="110">
        <v>381</v>
      </c>
      <c r="I255" s="66">
        <v>1.43E-2</v>
      </c>
      <c r="J255" s="66">
        <v>0.30280000000000001</v>
      </c>
      <c r="K255" s="111">
        <v>923325686.61000001</v>
      </c>
      <c r="L255" s="109">
        <f t="shared" si="197"/>
        <v>5.1062777231242161E-2</v>
      </c>
      <c r="M255" s="105">
        <v>15.01</v>
      </c>
      <c r="N255" s="105">
        <v>15.11</v>
      </c>
      <c r="O255" s="110">
        <v>404</v>
      </c>
      <c r="P255" s="66">
        <v>-1.41E-2</v>
      </c>
      <c r="Q255" s="66">
        <v>0.28439999999999999</v>
      </c>
      <c r="R255" s="70">
        <f t="shared" si="198"/>
        <v>3.0105650104157815E-2</v>
      </c>
      <c r="S255" s="70">
        <f t="shared" si="199"/>
        <v>2.8590878148400268E-2</v>
      </c>
      <c r="T255" s="70">
        <f t="shared" si="200"/>
        <v>6.0367454068241469E-2</v>
      </c>
      <c r="U255" s="70">
        <f t="shared" si="201"/>
        <v>-2.8400000000000002E-2</v>
      </c>
      <c r="V255" s="71">
        <f t="shared" si="202"/>
        <v>-1.8400000000000027E-2</v>
      </c>
    </row>
    <row r="256" spans="1:22" ht="15" customHeight="1">
      <c r="A256" s="159">
        <v>10</v>
      </c>
      <c r="B256" s="160" t="s">
        <v>310</v>
      </c>
      <c r="C256" s="155" t="s">
        <v>308</v>
      </c>
      <c r="D256" s="108">
        <v>147242321.22</v>
      </c>
      <c r="E256" s="109">
        <f t="shared" si="196"/>
        <v>8.2072288386416462E-3</v>
      </c>
      <c r="F256" s="105">
        <v>142.5</v>
      </c>
      <c r="G256" s="105">
        <v>144.5</v>
      </c>
      <c r="H256" s="110">
        <v>407</v>
      </c>
      <c r="I256" s="66">
        <v>0.05</v>
      </c>
      <c r="J256" s="66">
        <v>2.4400000000000002E-2</v>
      </c>
      <c r="K256" s="108">
        <v>147178943.36000001</v>
      </c>
      <c r="L256" s="109">
        <f t="shared" si="197"/>
        <v>8.1394525321980722E-3</v>
      </c>
      <c r="M256" s="105">
        <v>142.44</v>
      </c>
      <c r="N256" s="105">
        <v>144.44</v>
      </c>
      <c r="O256" s="110">
        <v>407</v>
      </c>
      <c r="P256" s="66">
        <v>3.7100000000000001E-2</v>
      </c>
      <c r="Q256" s="66">
        <v>6.2399999999999997E-2</v>
      </c>
      <c r="R256" s="70">
        <f t="shared" si="198"/>
        <v>-4.3043236125902542E-4</v>
      </c>
      <c r="S256" s="70">
        <f t="shared" si="199"/>
        <v>-4.1522491349482542E-4</v>
      </c>
      <c r="T256" s="70">
        <f t="shared" si="200"/>
        <v>0</v>
      </c>
      <c r="U256" s="70">
        <f t="shared" si="201"/>
        <v>-1.2900000000000002E-2</v>
      </c>
      <c r="V256" s="71">
        <f t="shared" si="202"/>
        <v>3.7999999999999992E-2</v>
      </c>
    </row>
    <row r="257" spans="1:26">
      <c r="A257" s="159">
        <v>11</v>
      </c>
      <c r="B257" s="160" t="s">
        <v>311</v>
      </c>
      <c r="C257" s="155" t="s">
        <v>308</v>
      </c>
      <c r="D257" s="108">
        <v>7740461312.2399998</v>
      </c>
      <c r="E257" s="109">
        <f t="shared" si="196"/>
        <v>0.43145025682722721</v>
      </c>
      <c r="F257" s="105">
        <v>55.7</v>
      </c>
      <c r="G257" s="105">
        <v>55.9</v>
      </c>
      <c r="H257" s="110">
        <v>721</v>
      </c>
      <c r="I257" s="66">
        <v>9.6699999999999994E-2</v>
      </c>
      <c r="J257" s="66">
        <v>0.56910000000000005</v>
      </c>
      <c r="K257" s="108">
        <v>7812460516.0200005</v>
      </c>
      <c r="L257" s="109">
        <f t="shared" si="197"/>
        <v>0.43205332283353365</v>
      </c>
      <c r="M257" s="105">
        <v>56.23</v>
      </c>
      <c r="N257" s="105">
        <v>56.43</v>
      </c>
      <c r="O257" s="110">
        <v>813</v>
      </c>
      <c r="P257" s="66">
        <v>0</v>
      </c>
      <c r="Q257" s="66">
        <v>0.56910000000000005</v>
      </c>
      <c r="R257" s="70">
        <f t="shared" si="198"/>
        <v>9.3016683212599066E-3</v>
      </c>
      <c r="S257" s="70">
        <f t="shared" si="199"/>
        <v>9.4812164579606648E-3</v>
      </c>
      <c r="T257" s="70">
        <f t="shared" si="200"/>
        <v>0.1276005547850208</v>
      </c>
      <c r="U257" s="70">
        <f t="shared" si="201"/>
        <v>-9.6699999999999994E-2</v>
      </c>
      <c r="V257" s="71">
        <f t="shared" si="202"/>
        <v>0</v>
      </c>
    </row>
    <row r="258" spans="1:26">
      <c r="A258" s="159">
        <v>12</v>
      </c>
      <c r="B258" s="160" t="s">
        <v>312</v>
      </c>
      <c r="C258" s="155" t="s">
        <v>308</v>
      </c>
      <c r="D258" s="111">
        <v>97303108.780000001</v>
      </c>
      <c r="E258" s="109">
        <f t="shared" si="196"/>
        <v>5.4236368582881896E-3</v>
      </c>
      <c r="F258" s="105">
        <v>55.55</v>
      </c>
      <c r="G258" s="105">
        <v>55.75</v>
      </c>
      <c r="H258" s="110">
        <v>288</v>
      </c>
      <c r="I258" s="66">
        <v>-9.6799999999999997E-2</v>
      </c>
      <c r="J258" s="66">
        <v>0.35959999999999998</v>
      </c>
      <c r="K258" s="111">
        <v>98369905.200000003</v>
      </c>
      <c r="L258" s="109">
        <f t="shared" si="197"/>
        <v>5.4401611785849435E-3</v>
      </c>
      <c r="M258" s="105">
        <v>56.2</v>
      </c>
      <c r="N258" s="105">
        <v>56.4</v>
      </c>
      <c r="O258" s="110">
        <v>392</v>
      </c>
      <c r="P258" s="66">
        <v>0.1019</v>
      </c>
      <c r="Q258" s="66">
        <v>0.49819999999999998</v>
      </c>
      <c r="R258" s="70">
        <f t="shared" si="198"/>
        <v>1.0963641690133488E-2</v>
      </c>
      <c r="S258" s="70">
        <f t="shared" si="199"/>
        <v>1.1659192825112082E-2</v>
      </c>
      <c r="T258" s="70">
        <f t="shared" si="200"/>
        <v>0.3611111111111111</v>
      </c>
      <c r="U258" s="70">
        <f t="shared" si="201"/>
        <v>0.19869999999999999</v>
      </c>
      <c r="V258" s="71">
        <f t="shared" si="202"/>
        <v>0.1386</v>
      </c>
    </row>
    <row r="259" spans="1:26">
      <c r="A259" s="121"/>
      <c r="B259" s="121"/>
      <c r="C259" s="122" t="s">
        <v>313</v>
      </c>
      <c r="D259" s="104">
        <f>SUM(D247:D258)</f>
        <v>17940564850.189999</v>
      </c>
      <c r="E259" s="106"/>
      <c r="F259" s="106"/>
      <c r="G259" s="107"/>
      <c r="H259" s="104">
        <f>SUM(H247:H258)</f>
        <v>5638</v>
      </c>
      <c r="I259" s="115"/>
      <c r="J259" s="115"/>
      <c r="K259" s="104">
        <f>SUM(K247:K258)</f>
        <v>18082167415.780003</v>
      </c>
      <c r="L259" s="106"/>
      <c r="M259" s="106"/>
      <c r="N259" s="107"/>
      <c r="O259" s="104">
        <f>SUM(O247:O258)</f>
        <v>5907</v>
      </c>
      <c r="P259" s="115"/>
      <c r="Q259" s="115"/>
      <c r="R259" s="70">
        <f t="shared" si="198"/>
        <v>7.8928710869716201E-3</v>
      </c>
      <c r="S259" s="70" t="e">
        <f t="shared" si="199"/>
        <v>#DIV/0!</v>
      </c>
      <c r="T259" s="70">
        <f t="shared" si="200"/>
        <v>4.7711954593827599E-2</v>
      </c>
      <c r="U259" s="70">
        <f t="shared" si="201"/>
        <v>0</v>
      </c>
      <c r="V259" s="71">
        <f t="shared" si="202"/>
        <v>0</v>
      </c>
      <c r="Z259" s="79"/>
    </row>
    <row r="260" spans="1:26">
      <c r="A260" s="123"/>
      <c r="B260" s="123"/>
      <c r="C260" s="124" t="s">
        <v>314</v>
      </c>
      <c r="D260" s="125">
        <f>SUM(D231,D239,D244,D259)</f>
        <v>7786497084164.5273</v>
      </c>
      <c r="E260" s="126"/>
      <c r="F260" s="126"/>
      <c r="G260" s="127"/>
      <c r="H260" s="125">
        <f>SUM(H231,H239,H244,H259)</f>
        <v>1106563</v>
      </c>
      <c r="I260" s="138"/>
      <c r="J260" s="138"/>
      <c r="K260" s="125">
        <f>SUM(K231,K239,K244,K259)</f>
        <v>7857713409282.041</v>
      </c>
      <c r="L260" s="126"/>
      <c r="M260" s="126"/>
      <c r="N260" s="125"/>
      <c r="O260" s="125">
        <f>SUM(O231,O239,O244,O259)</f>
        <v>1106303</v>
      </c>
      <c r="P260" s="139"/>
      <c r="Q260" s="125"/>
      <c r="R260" s="143"/>
      <c r="S260" s="144"/>
      <c r="T260" s="144"/>
      <c r="U260" s="145"/>
      <c r="V260" s="145"/>
      <c r="Z260" s="79"/>
    </row>
    <row r="261" spans="1:26">
      <c r="A261" s="128" t="s">
        <v>315</v>
      </c>
      <c r="B261" s="129" t="s">
        <v>333</v>
      </c>
      <c r="C261" s="130"/>
      <c r="D261" s="130"/>
      <c r="E261" s="130"/>
      <c r="F261" s="130"/>
      <c r="G261" s="130"/>
      <c r="H261" s="130"/>
      <c r="I261" s="130"/>
      <c r="J261" s="130"/>
      <c r="K261" s="130"/>
      <c r="L261" s="130"/>
      <c r="M261" s="130"/>
      <c r="N261" s="130"/>
      <c r="O261" s="130"/>
      <c r="P261" s="130"/>
      <c r="Q261" s="130"/>
      <c r="R261" s="130"/>
      <c r="S261" s="130"/>
      <c r="T261" s="130"/>
      <c r="U261" s="130"/>
      <c r="V261" s="130"/>
    </row>
    <row r="262" spans="1:26">
      <c r="B262" s="131"/>
    </row>
    <row r="263" spans="1:26">
      <c r="B263" s="131"/>
      <c r="C263" s="132"/>
      <c r="D263" s="133"/>
      <c r="K263" s="133"/>
    </row>
    <row r="264" spans="1:26" ht="15">
      <c r="B264" s="134"/>
      <c r="C264" s="135"/>
      <c r="D264" s="136"/>
      <c r="F264" s="137"/>
      <c r="G264" s="137"/>
      <c r="I264" s="140"/>
      <c r="J264" s="141"/>
    </row>
    <row r="265" spans="1:26">
      <c r="C265" s="131"/>
    </row>
    <row r="266" spans="1:26">
      <c r="K266" s="117"/>
    </row>
    <row r="267" spans="1:26">
      <c r="B267" s="132"/>
    </row>
    <row r="268" spans="1:26">
      <c r="K268" s="142"/>
    </row>
  </sheetData>
  <sheetProtection algorithmName="SHA-512" hashValue="G11uwKeL2BXdc2Le1nfhnQ22ZSu9nty3fCTO9sqxFiimZCT52W35YydVMsVYPscdc0KfLsr4KOkzdpWaVqVikg==" saltValue="IyWvlrHnNQJn8tEyMjpkmw==" spinCount="100000" sheet="1" objects="1" scenarios="1"/>
  <sortState ref="A150:C177">
    <sortCondition descending="1" ref="A149"/>
  </sortState>
  <mergeCells count="34">
    <mergeCell ref="A1:V1"/>
    <mergeCell ref="D2:J2"/>
    <mergeCell ref="K2:Q2"/>
    <mergeCell ref="R2:T2"/>
    <mergeCell ref="U2:V2"/>
    <mergeCell ref="B4:V4"/>
    <mergeCell ref="A5:V5"/>
    <mergeCell ref="B27:V27"/>
    <mergeCell ref="A28:V28"/>
    <mergeCell ref="B73:V73"/>
    <mergeCell ref="A74:V74"/>
    <mergeCell ref="B115:V115"/>
    <mergeCell ref="A116:V116"/>
    <mergeCell ref="A117:V117"/>
    <mergeCell ref="B135:V135"/>
    <mergeCell ref="A136:V136"/>
    <mergeCell ref="B157:V157"/>
    <mergeCell ref="A158:V158"/>
    <mergeCell ref="B166:V166"/>
    <mergeCell ref="A167:V167"/>
    <mergeCell ref="B198:V198"/>
    <mergeCell ref="A199:V199"/>
    <mergeCell ref="B203:V203"/>
    <mergeCell ref="A204:V204"/>
    <mergeCell ref="A205:V205"/>
    <mergeCell ref="A233:V233"/>
    <mergeCell ref="A241:V241"/>
    <mergeCell ref="B245:V245"/>
    <mergeCell ref="A246:V246"/>
    <mergeCell ref="B208:V208"/>
    <mergeCell ref="A209:V209"/>
    <mergeCell ref="B224:V224"/>
    <mergeCell ref="A225:V225"/>
    <mergeCell ref="B232:U232"/>
  </mergeCells>
  <pageMargins left="0.7" right="0.7" top="0.75" bottom="0.75" header="0.3" footer="0.3"/>
  <pageSetup paperSize="9" orientation="portrait" horizontalDpi="300" verticalDpi="300" r:id="rId1"/>
  <ignoredErrors>
    <ignoredError sqref="E99 E79 L51 E51 L35 E35 L141 E141" formula="1"/>
    <ignoredError sqref="S165 S26 S72 S114 S156 S197 S202 S230 S259 T242:T243 R52:T52 R141 R129:T129 R47:T47" evalError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</sheetPr>
  <dimension ref="A1:G29"/>
  <sheetViews>
    <sheetView workbookViewId="0">
      <selection activeCell="G9" sqref="G9"/>
    </sheetView>
  </sheetViews>
  <sheetFormatPr defaultColWidth="9" defaultRowHeight="14.5"/>
  <cols>
    <col min="1" max="1" width="34" style="20" customWidth="1"/>
    <col min="2" max="2" width="15.6328125" style="20" customWidth="1"/>
    <col min="3" max="3" width="16.08984375" style="20" customWidth="1"/>
    <col min="4" max="5" width="9" style="20"/>
  </cols>
  <sheetData>
    <row r="1" spans="1:7">
      <c r="E1" s="15"/>
      <c r="F1" s="15"/>
      <c r="G1" s="15"/>
    </row>
    <row r="2" spans="1:7" ht="26.5">
      <c r="A2" s="167" t="s">
        <v>316</v>
      </c>
      <c r="B2" s="168" t="s">
        <v>332</v>
      </c>
      <c r="C2" s="168" t="s">
        <v>336</v>
      </c>
      <c r="D2" s="169"/>
      <c r="E2" s="15"/>
      <c r="F2" s="15"/>
      <c r="G2" s="15"/>
    </row>
    <row r="3" spans="1:7">
      <c r="A3" s="170" t="s">
        <v>18</v>
      </c>
      <c r="B3" s="171">
        <f t="shared" ref="B3:C10" si="0">B13</f>
        <v>79.735701358927486</v>
      </c>
      <c r="C3" s="171">
        <f t="shared" si="0"/>
        <v>79.641660217847488</v>
      </c>
      <c r="D3" s="169"/>
      <c r="E3" s="15"/>
      <c r="F3" s="15"/>
      <c r="G3" s="15"/>
    </row>
    <row r="4" spans="1:7" ht="15.65" customHeight="1">
      <c r="A4" s="167" t="s">
        <v>57</v>
      </c>
      <c r="B4" s="172">
        <f t="shared" si="0"/>
        <v>4678.0501099592366</v>
      </c>
      <c r="C4" s="172">
        <f t="shared" si="0"/>
        <v>4744.967555037585</v>
      </c>
      <c r="D4" s="169"/>
      <c r="E4" s="15"/>
      <c r="F4" s="15"/>
      <c r="G4" s="15"/>
    </row>
    <row r="5" spans="1:7" ht="16.25" customHeight="1">
      <c r="A5" s="167" t="s">
        <v>317</v>
      </c>
      <c r="B5" s="171">
        <f t="shared" si="0"/>
        <v>238.34022525366325</v>
      </c>
      <c r="C5" s="171">
        <f t="shared" si="0"/>
        <v>237.25874210780859</v>
      </c>
      <c r="D5" s="169"/>
      <c r="E5" s="15"/>
      <c r="F5" s="15"/>
      <c r="G5" s="15"/>
    </row>
    <row r="6" spans="1:7">
      <c r="A6" s="167" t="s">
        <v>175</v>
      </c>
      <c r="B6" s="172">
        <f t="shared" si="0"/>
        <v>1954.2625274940337</v>
      </c>
      <c r="C6" s="172">
        <f t="shared" si="0"/>
        <v>1955.6987547865324</v>
      </c>
      <c r="D6" s="169"/>
      <c r="E6" s="15"/>
      <c r="F6" s="15"/>
      <c r="G6" s="15"/>
    </row>
    <row r="7" spans="1:7">
      <c r="A7" s="167" t="s">
        <v>318</v>
      </c>
      <c r="B7" s="171">
        <f t="shared" si="0"/>
        <v>482.35253333453676</v>
      </c>
      <c r="C7" s="171">
        <f t="shared" si="0"/>
        <v>483.05535330730521</v>
      </c>
      <c r="D7" s="169"/>
      <c r="E7" s="15"/>
      <c r="F7" s="15"/>
      <c r="G7" s="15"/>
    </row>
    <row r="8" spans="1:7">
      <c r="A8" s="167" t="s">
        <v>221</v>
      </c>
      <c r="B8" s="173">
        <f t="shared" si="0"/>
        <v>83.857951344086956</v>
      </c>
      <c r="C8" s="173">
        <f t="shared" si="0"/>
        <v>83.513673347384341</v>
      </c>
      <c r="D8" s="169"/>
      <c r="E8" s="15"/>
      <c r="F8" s="15"/>
      <c r="G8" s="15"/>
    </row>
    <row r="9" spans="1:7">
      <c r="A9" s="167" t="s">
        <v>253</v>
      </c>
      <c r="B9" s="171">
        <f t="shared" si="0"/>
        <v>8.3228212168900004</v>
      </c>
      <c r="C9" s="171">
        <f t="shared" si="0"/>
        <v>8.1791709521100007</v>
      </c>
      <c r="D9" s="169"/>
      <c r="E9" s="15"/>
      <c r="F9" s="15"/>
      <c r="G9" s="15"/>
    </row>
    <row r="10" spans="1:7">
      <c r="A10" s="167" t="s">
        <v>319</v>
      </c>
      <c r="B10" s="171">
        <f t="shared" si="0"/>
        <v>78.263241502671121</v>
      </c>
      <c r="C10" s="171">
        <f t="shared" si="0"/>
        <v>80.120118418338848</v>
      </c>
      <c r="D10" s="169"/>
      <c r="E10" s="15"/>
      <c r="F10" s="15"/>
      <c r="G10" s="15"/>
    </row>
    <row r="11" spans="1:7">
      <c r="A11" s="167"/>
      <c r="B11" s="171"/>
      <c r="C11" s="171"/>
      <c r="D11" s="169"/>
      <c r="E11" s="15"/>
      <c r="F11" s="15"/>
      <c r="G11" s="15"/>
    </row>
    <row r="12" spans="1:7">
      <c r="E12" s="15"/>
      <c r="F12" s="15"/>
      <c r="G12" s="15"/>
    </row>
    <row r="13" spans="1:7">
      <c r="A13" s="174" t="s">
        <v>18</v>
      </c>
      <c r="B13" s="26">
        <f>'Weekly Valuation'!D26/1000000000</f>
        <v>79.735701358927486</v>
      </c>
      <c r="C13" s="27">
        <f>'Weekly Valuation'!K26/1000000000</f>
        <v>79.641660217847488</v>
      </c>
      <c r="E13" s="15"/>
      <c r="F13" s="15"/>
      <c r="G13" s="15"/>
    </row>
    <row r="14" spans="1:7">
      <c r="A14" s="28" t="s">
        <v>57</v>
      </c>
      <c r="B14" s="26">
        <f>'Weekly Valuation'!D72/1000000000</f>
        <v>4678.0501099592366</v>
      </c>
      <c r="C14" s="29">
        <f>'Weekly Valuation'!K72/1000000000</f>
        <v>4744.967555037585</v>
      </c>
      <c r="E14" s="15"/>
      <c r="F14" s="15"/>
      <c r="G14" s="15"/>
    </row>
    <row r="15" spans="1:7">
      <c r="A15" s="28" t="s">
        <v>317</v>
      </c>
      <c r="B15" s="26">
        <f>'Weekly Valuation'!D114/1000000000</f>
        <v>238.34022525366325</v>
      </c>
      <c r="C15" s="27">
        <f>'Weekly Valuation'!K114/1000000000</f>
        <v>237.25874210780859</v>
      </c>
      <c r="E15" s="15"/>
      <c r="F15" s="15"/>
      <c r="G15" s="15"/>
    </row>
    <row r="16" spans="1:7">
      <c r="A16" s="28" t="s">
        <v>175</v>
      </c>
      <c r="B16" s="26">
        <f>'Weekly Valuation'!D156/1000000000</f>
        <v>1954.2625274940337</v>
      </c>
      <c r="C16" s="29">
        <f>'Weekly Valuation'!K156/1000000000</f>
        <v>1955.6987547865324</v>
      </c>
      <c r="E16" s="15"/>
      <c r="F16" s="15"/>
      <c r="G16" s="15"/>
    </row>
    <row r="17" spans="1:7">
      <c r="A17" s="28" t="s">
        <v>318</v>
      </c>
      <c r="B17" s="26">
        <f>'Weekly Valuation'!D165/1000000000</f>
        <v>482.35253333453676</v>
      </c>
      <c r="C17" s="27">
        <f>'Weekly Valuation'!K165/1000000000</f>
        <v>483.05535330730521</v>
      </c>
      <c r="E17" s="15"/>
      <c r="F17" s="15"/>
      <c r="G17" s="15"/>
    </row>
    <row r="18" spans="1:7">
      <c r="A18" s="28" t="s">
        <v>221</v>
      </c>
      <c r="B18" s="26">
        <f>'Weekly Valuation'!D197/1000000000</f>
        <v>83.857951344086956</v>
      </c>
      <c r="C18" s="30">
        <f>'Weekly Valuation'!K197/1000000000</f>
        <v>83.513673347384341</v>
      </c>
      <c r="E18" s="15"/>
      <c r="F18" s="15"/>
      <c r="G18" s="15"/>
    </row>
    <row r="19" spans="1:7">
      <c r="A19" s="28" t="s">
        <v>253</v>
      </c>
      <c r="B19" s="26">
        <f>'Weekly Valuation'!D202/1000000000</f>
        <v>8.3228212168900004</v>
      </c>
      <c r="C19" s="27">
        <f>'Weekly Valuation'!K202/1000000000</f>
        <v>8.1791709521100007</v>
      </c>
      <c r="D19" s="15"/>
      <c r="E19" s="15"/>
      <c r="F19" s="15"/>
      <c r="G19" s="15"/>
    </row>
    <row r="20" spans="1:7">
      <c r="A20" s="28" t="s">
        <v>319</v>
      </c>
      <c r="B20" s="26">
        <f>'Weekly Valuation'!D230/1000000000</f>
        <v>78.263241502671121</v>
      </c>
      <c r="C20" s="27">
        <f>'Weekly Valuation'!K230/1000000000</f>
        <v>80.120118418338848</v>
      </c>
      <c r="D20" s="15"/>
      <c r="E20" s="15"/>
      <c r="F20" s="15"/>
      <c r="G20" s="15"/>
    </row>
    <row r="21" spans="1:7">
      <c r="A21" s="24"/>
      <c r="C21" s="23"/>
      <c r="D21" s="15"/>
      <c r="E21" s="15"/>
      <c r="F21" s="15"/>
      <c r="G21" s="15"/>
    </row>
    <row r="22" spans="1:7">
      <c r="A22" s="24"/>
      <c r="C22" s="21"/>
      <c r="D22" s="15"/>
      <c r="E22" s="15"/>
      <c r="F22" s="15"/>
      <c r="G22" s="15"/>
    </row>
    <row r="23" spans="1:7">
      <c r="A23" s="24"/>
      <c r="B23" s="21"/>
      <c r="C23" s="22"/>
      <c r="D23" s="15"/>
      <c r="E23" s="15"/>
      <c r="F23" s="15"/>
      <c r="G23" s="15"/>
    </row>
    <row r="24" spans="1:7">
      <c r="A24" s="157"/>
      <c r="B24" s="158"/>
      <c r="C24" s="158"/>
      <c r="D24" s="15"/>
      <c r="E24" s="15"/>
      <c r="F24" s="15"/>
      <c r="G24" s="15"/>
    </row>
    <row r="25" spans="1:7">
      <c r="A25" s="157"/>
      <c r="B25" s="158"/>
      <c r="C25" s="158"/>
      <c r="D25" s="15"/>
      <c r="E25" s="15"/>
      <c r="F25" s="15"/>
      <c r="G25" s="15"/>
    </row>
    <row r="26" spans="1:7">
      <c r="A26" s="157"/>
      <c r="B26" s="158"/>
      <c r="C26" s="158"/>
      <c r="D26" s="15"/>
      <c r="E26" s="15"/>
      <c r="F26" s="15"/>
      <c r="G26" s="15"/>
    </row>
    <row r="27" spans="1:7">
      <c r="A27" s="157"/>
      <c r="B27" s="158"/>
      <c r="C27" s="158"/>
      <c r="D27" s="15"/>
      <c r="E27" s="15"/>
      <c r="F27" s="15"/>
      <c r="G27" s="15"/>
    </row>
    <row r="28" spans="1:7">
      <c r="A28" s="15"/>
      <c r="B28" s="15"/>
      <c r="C28" s="15"/>
      <c r="D28" s="15"/>
      <c r="E28" s="15"/>
      <c r="F28" s="15"/>
      <c r="G28" s="15"/>
    </row>
    <row r="29" spans="1:7">
      <c r="A29" s="15"/>
      <c r="B29" s="15"/>
      <c r="C29" s="15"/>
      <c r="D29" s="15"/>
      <c r="E29" s="15"/>
      <c r="F29" s="15"/>
      <c r="G29" s="15"/>
    </row>
  </sheetData>
  <sheetProtection algorithmName="SHA-512" hashValue="GwjPW8ok1g9p5F8J66Bbvc18LWfEW58qNi8P+3eeogWMEmocTajKRvkF6bRMrKWe95MIm+0sKLH0tRoWnrw5Ew==" saltValue="XgPvuvLLwgh1egLNdP5t1g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F0"/>
  </sheetPr>
  <dimension ref="A1:Q33"/>
  <sheetViews>
    <sheetView zoomScale="85" zoomScaleNormal="85" workbookViewId="0">
      <selection activeCell="J14" sqref="J14"/>
    </sheetView>
  </sheetViews>
  <sheetFormatPr defaultColWidth="9" defaultRowHeight="14.5"/>
  <cols>
    <col min="1" max="1" width="31.36328125" customWidth="1"/>
    <col min="2" max="2" width="17.453125" customWidth="1"/>
    <col min="16" max="16" width="7.54296875" customWidth="1"/>
  </cols>
  <sheetData>
    <row r="1" spans="1:16" ht="15.5">
      <c r="A1" s="175" t="s">
        <v>316</v>
      </c>
      <c r="B1" s="176">
        <v>46380</v>
      </c>
      <c r="C1" s="177"/>
      <c r="D1" s="20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</row>
    <row r="2" spans="1:16">
      <c r="A2" s="178" t="s">
        <v>253</v>
      </c>
      <c r="B2" s="21">
        <f>'Weekly Valuation'!K202</f>
        <v>8179170952.1100006</v>
      </c>
      <c r="C2" s="177"/>
      <c r="D2" s="20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</row>
    <row r="3" spans="1:16">
      <c r="A3" s="178" t="s">
        <v>18</v>
      </c>
      <c r="B3" s="21">
        <f>'Weekly Valuation'!K26</f>
        <v>79641660217.847488</v>
      </c>
      <c r="C3" s="177"/>
      <c r="D3" s="20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16">
      <c r="A4" s="178" t="s">
        <v>319</v>
      </c>
      <c r="B4" s="22">
        <f>'Weekly Valuation'!K230</f>
        <v>80120118418.338852</v>
      </c>
      <c r="C4" s="177"/>
      <c r="D4" s="20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</row>
    <row r="5" spans="1:16">
      <c r="A5" s="178" t="s">
        <v>221</v>
      </c>
      <c r="B5" s="21">
        <f>'Weekly Valuation'!K197</f>
        <v>83513673347.384338</v>
      </c>
      <c r="C5" s="177"/>
      <c r="D5" s="20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</row>
    <row r="6" spans="1:16">
      <c r="A6" s="178" t="s">
        <v>318</v>
      </c>
      <c r="B6" s="21">
        <f>'Weekly Valuation'!K165</f>
        <v>483055353307.30524</v>
      </c>
      <c r="C6" s="177"/>
      <c r="D6" s="20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</row>
    <row r="7" spans="1:16">
      <c r="A7" s="178" t="s">
        <v>317</v>
      </c>
      <c r="B7" s="21">
        <f>'Weekly Valuation'!K114</f>
        <v>237258742107.80859</v>
      </c>
      <c r="C7" s="177"/>
      <c r="D7" s="20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</row>
    <row r="8" spans="1:16">
      <c r="A8" s="178" t="s">
        <v>175</v>
      </c>
      <c r="B8" s="23">
        <f>'Weekly Valuation'!K156</f>
        <v>1955698754786.5325</v>
      </c>
      <c r="C8" s="177"/>
      <c r="D8" s="20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</row>
    <row r="9" spans="1:16">
      <c r="A9" s="178" t="s">
        <v>57</v>
      </c>
      <c r="B9" s="23">
        <f>'Weekly Valuation'!K72</f>
        <v>4744967555037.585</v>
      </c>
      <c r="C9" s="177"/>
      <c r="D9" s="20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</row>
    <row r="10" spans="1:16">
      <c r="A10" s="177"/>
      <c r="B10" s="177"/>
      <c r="C10" s="177"/>
      <c r="D10" s="20"/>
      <c r="E10" s="15"/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</row>
    <row r="11" spans="1:16">
      <c r="A11" s="178"/>
      <c r="B11" s="179"/>
      <c r="C11" s="177"/>
      <c r="D11" s="20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</row>
    <row r="12" spans="1:16">
      <c r="A12" s="178"/>
      <c r="B12" s="177"/>
      <c r="C12" s="177"/>
      <c r="D12" s="20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</row>
    <row r="13" spans="1:16">
      <c r="A13" s="21"/>
      <c r="B13" s="21"/>
      <c r="C13" s="177"/>
      <c r="D13" s="20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</row>
    <row r="14" spans="1:16">
      <c r="A14" s="21"/>
      <c r="B14" s="21"/>
      <c r="C14" s="20"/>
      <c r="D14" s="20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</row>
    <row r="15" spans="1:16" ht="16.5" customHeight="1">
      <c r="A15" s="24"/>
      <c r="B15" s="22"/>
      <c r="C15" s="20"/>
      <c r="D15" s="20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</row>
    <row r="16" spans="1:16">
      <c r="A16" s="21"/>
      <c r="B16" s="21"/>
      <c r="C16" s="20"/>
      <c r="D16" s="20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7">
      <c r="A17" s="21"/>
      <c r="B17" s="21"/>
      <c r="C17" s="20"/>
      <c r="D17" s="20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</row>
    <row r="18" spans="1:17">
      <c r="A18" s="23"/>
      <c r="B18" s="21"/>
      <c r="C18" s="20"/>
      <c r="D18" s="20"/>
      <c r="E18" s="15"/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</row>
    <row r="19" spans="1:17">
      <c r="A19" s="23"/>
      <c r="B19" s="23"/>
      <c r="C19" s="20"/>
      <c r="D19" s="20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</row>
    <row r="20" spans="1:17">
      <c r="A20" s="23"/>
      <c r="B20" s="23"/>
      <c r="C20" s="20"/>
      <c r="D20" s="20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</row>
    <row r="21" spans="1:17">
      <c r="A21" s="24"/>
      <c r="B21" s="23"/>
      <c r="C21" s="20"/>
      <c r="D21" s="20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</row>
    <row r="22" spans="1:17">
      <c r="A22" s="20"/>
      <c r="B22" s="23"/>
      <c r="C22" s="20"/>
      <c r="D22" s="20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</row>
    <row r="23" spans="1:17">
      <c r="A23" s="20"/>
      <c r="B23" s="20"/>
      <c r="C23" s="20"/>
      <c r="D23" s="20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</row>
    <row r="24" spans="1:17">
      <c r="A24" s="20"/>
      <c r="B24" s="20"/>
      <c r="C24" s="20"/>
      <c r="D24" s="20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</row>
    <row r="25" spans="1:17">
      <c r="A25" s="20"/>
      <c r="B25" s="20"/>
      <c r="C25" s="20"/>
      <c r="D25" s="20"/>
      <c r="E25" s="15"/>
      <c r="F25" s="15"/>
      <c r="G25" s="15"/>
      <c r="H25" s="15"/>
      <c r="I25" s="15"/>
      <c r="J25" s="15"/>
      <c r="K25" s="15"/>
      <c r="L25" s="15"/>
      <c r="M25" s="15"/>
      <c r="N25" s="15"/>
      <c r="O25" s="15"/>
      <c r="P25" s="15"/>
    </row>
    <row r="26" spans="1:17">
      <c r="A26" s="20"/>
      <c r="B26" s="20"/>
      <c r="C26" s="20"/>
      <c r="D26" s="20"/>
      <c r="E26" s="15"/>
      <c r="F26" s="15"/>
      <c r="G26" s="15"/>
      <c r="H26" s="15"/>
      <c r="I26" s="15"/>
      <c r="J26" s="15"/>
      <c r="K26" s="15"/>
      <c r="L26" s="15"/>
      <c r="M26" s="15"/>
      <c r="N26" s="15"/>
      <c r="O26" s="15"/>
      <c r="P26" s="15"/>
    </row>
    <row r="27" spans="1:17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</row>
    <row r="28" spans="1:17">
      <c r="A28" s="15"/>
      <c r="B28" s="15"/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</row>
    <row r="29" spans="1:17">
      <c r="A29" s="15"/>
      <c r="B29" s="15"/>
      <c r="C29" s="15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</row>
    <row r="30" spans="1:17">
      <c r="A30" s="15"/>
      <c r="B30" s="15"/>
      <c r="C30" s="15"/>
      <c r="D30" s="15"/>
      <c r="E30" s="15"/>
      <c r="F30" s="15"/>
      <c r="G30" s="15"/>
      <c r="H30" s="15"/>
      <c r="I30" s="15"/>
      <c r="J30" s="15"/>
      <c r="K30" s="15"/>
      <c r="L30" s="15"/>
      <c r="M30" s="15"/>
      <c r="N30" s="15"/>
      <c r="O30" s="15"/>
      <c r="P30" s="15"/>
    </row>
    <row r="31" spans="1:17">
      <c r="A31" s="15"/>
      <c r="B31" s="15"/>
      <c r="C31" s="15"/>
      <c r="D31" s="15"/>
      <c r="E31" s="15"/>
      <c r="F31" s="15"/>
      <c r="G31" s="15"/>
      <c r="H31" s="15"/>
      <c r="I31" s="15"/>
      <c r="J31" s="15"/>
      <c r="K31" s="15"/>
      <c r="L31" s="15"/>
      <c r="M31" s="15"/>
      <c r="N31" s="15"/>
      <c r="O31" s="15"/>
      <c r="P31" s="15"/>
    </row>
    <row r="32" spans="1:17" ht="16.5" customHeight="1">
      <c r="A32" s="195"/>
      <c r="B32" s="195"/>
      <c r="C32" s="195"/>
      <c r="D32" s="195"/>
      <c r="E32" s="195"/>
      <c r="F32" s="195"/>
      <c r="G32" s="195"/>
      <c r="H32" s="195"/>
      <c r="I32" s="195"/>
      <c r="J32" s="195"/>
      <c r="K32" s="195"/>
      <c r="L32" s="195"/>
      <c r="M32" s="195"/>
      <c r="N32" s="195"/>
      <c r="O32" s="195"/>
      <c r="P32" s="195"/>
      <c r="Q32" s="25"/>
    </row>
    <row r="33" spans="1:17" ht="15" customHeight="1">
      <c r="A33" s="195"/>
      <c r="B33" s="195"/>
      <c r="C33" s="195"/>
      <c r="D33" s="195"/>
      <c r="E33" s="195"/>
      <c r="F33" s="195"/>
      <c r="G33" s="195"/>
      <c r="H33" s="195"/>
      <c r="I33" s="195"/>
      <c r="J33" s="195"/>
      <c r="K33" s="195"/>
      <c r="L33" s="195"/>
      <c r="M33" s="195"/>
      <c r="N33" s="195"/>
      <c r="O33" s="195"/>
      <c r="P33" s="195"/>
      <c r="Q33" s="25"/>
    </row>
  </sheetData>
  <sheetProtection algorithmName="SHA-512" hashValue="qFlbnDv8GHlZj1bLRuCqEiuafYO5sB8bIO9fjJo1CZJ0ApaeolcEx8ExpyIbHhJ3c5X6lOkk7YQYeMFY1hEVww==" saltValue="t8ZE/v6SGC/zeYGQ1KGsmg==" spinCount="100000" sheet="1" selectLockedCells="1" selectUnlockedCells="1"/>
  <sortState ref="A2:B9">
    <sortCondition ref="B2:B9"/>
  </sortState>
  <mergeCells count="1">
    <mergeCell ref="A32:P33"/>
  </mergeCells>
  <pageMargins left="0.7" right="0.7" top="0.75" bottom="0.75" header="0.3" footer="0.3"/>
  <pageSetup paperSize="9" orientation="portrait" horizontalDpi="300" verticalDpi="30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7030A0"/>
  </sheetPr>
  <dimension ref="A1:N17"/>
  <sheetViews>
    <sheetView zoomScale="110" zoomScaleNormal="110" workbookViewId="0">
      <selection activeCell="F8" sqref="F8"/>
    </sheetView>
  </sheetViews>
  <sheetFormatPr defaultColWidth="9" defaultRowHeight="14.5"/>
  <cols>
    <col min="1" max="2" width="10.54296875" customWidth="1"/>
    <col min="3" max="3" width="11.08984375" customWidth="1"/>
    <col min="4" max="4" width="10.54296875" customWidth="1"/>
    <col min="5" max="5" width="10.90625" customWidth="1"/>
    <col min="6" max="6" width="11.08984375" customWidth="1"/>
    <col min="7" max="7" width="12.08984375" customWidth="1"/>
    <col min="8" max="8" width="11.6328125" customWidth="1"/>
    <col min="9" max="9" width="11.453125" customWidth="1"/>
  </cols>
  <sheetData>
    <row r="1" spans="1:14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15"/>
    </row>
    <row r="2" spans="1:14">
      <c r="A2" s="180" t="s">
        <v>320</v>
      </c>
      <c r="B2" s="181">
        <v>45968</v>
      </c>
      <c r="C2" s="181">
        <v>45975</v>
      </c>
      <c r="D2" s="181">
        <v>45982</v>
      </c>
      <c r="E2" s="181">
        <v>45989</v>
      </c>
      <c r="F2" s="181">
        <v>45996</v>
      </c>
      <c r="G2" s="181">
        <v>46003</v>
      </c>
      <c r="H2" s="181">
        <v>46010</v>
      </c>
      <c r="I2" s="181">
        <v>46015</v>
      </c>
      <c r="J2" s="20"/>
      <c r="K2" s="20"/>
      <c r="L2" s="20"/>
      <c r="M2" s="20"/>
      <c r="N2" s="15"/>
    </row>
    <row r="3" spans="1:14">
      <c r="A3" s="180" t="s">
        <v>321</v>
      </c>
      <c r="B3" s="182">
        <f t="shared" ref="B3:I3" si="0">B4</f>
        <v>7157.322477516268</v>
      </c>
      <c r="C3" s="182">
        <f t="shared" si="0"/>
        <v>7224.9660672128502</v>
      </c>
      <c r="D3" s="182">
        <f t="shared" si="0"/>
        <v>7259.9310118544208</v>
      </c>
      <c r="E3" s="182">
        <f t="shared" si="0"/>
        <v>7416.5411604761439</v>
      </c>
      <c r="F3" s="182">
        <f t="shared" si="0"/>
        <v>7473.2757425151976</v>
      </c>
      <c r="G3" s="182">
        <f t="shared" si="0"/>
        <v>7522.4259502457116</v>
      </c>
      <c r="H3" s="182">
        <f t="shared" si="0"/>
        <v>7603.1851114640458</v>
      </c>
      <c r="I3" s="182">
        <f t="shared" si="0"/>
        <v>7672.435028174913</v>
      </c>
      <c r="J3" s="20"/>
      <c r="K3" s="20"/>
      <c r="L3" s="20"/>
      <c r="M3" s="20"/>
      <c r="N3" s="15"/>
    </row>
    <row r="4" spans="1:14">
      <c r="A4" s="20"/>
      <c r="B4" s="183">
        <f>'NAV Trend'!C10/1000000000</f>
        <v>7157.322477516268</v>
      </c>
      <c r="C4" s="183">
        <f>'NAV Trend'!D10/1000000000</f>
        <v>7224.9660672128502</v>
      </c>
      <c r="D4" s="183">
        <f>'NAV Trend'!E10/1000000000</f>
        <v>7259.9310118544208</v>
      </c>
      <c r="E4" s="183">
        <f>'NAV Trend'!F10/1000000000</f>
        <v>7416.5411604761439</v>
      </c>
      <c r="F4" s="183">
        <f>'NAV Trend'!G10/1000000000</f>
        <v>7473.2757425151976</v>
      </c>
      <c r="G4" s="183">
        <f>'NAV Trend'!H10/1000000000</f>
        <v>7522.4259502457116</v>
      </c>
      <c r="H4" s="184">
        <f>'NAV Trend'!I10/1000000000</f>
        <v>7603.1851114640458</v>
      </c>
      <c r="I4" s="184">
        <f>'NAV Trend'!J10/1000000000</f>
        <v>7672.435028174913</v>
      </c>
      <c r="J4" s="20"/>
      <c r="K4" s="20"/>
      <c r="L4" s="20"/>
      <c r="M4" s="20"/>
      <c r="N4" s="15"/>
    </row>
    <row r="5" spans="1:14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  <c r="N5" s="15"/>
    </row>
    <row r="6" spans="1:14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15"/>
      <c r="N6" s="15"/>
    </row>
    <row r="7" spans="1:14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20"/>
      <c r="M7" s="15"/>
      <c r="N7" s="15"/>
    </row>
    <row r="8" spans="1:14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20"/>
      <c r="M8" s="15"/>
      <c r="N8" s="15"/>
    </row>
    <row r="9" spans="1:14">
      <c r="A9" s="15"/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</row>
    <row r="10" spans="1:14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</row>
    <row r="11" spans="1:14">
      <c r="A11" s="15"/>
      <c r="B11" s="15"/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</row>
    <row r="12" spans="1:14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</row>
    <row r="13" spans="1:14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</row>
    <row r="14" spans="1:14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</row>
    <row r="15" spans="1:14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</row>
    <row r="16" spans="1:14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</row>
    <row r="17" spans="1:12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</row>
  </sheetData>
  <sheetProtection algorithmName="SHA-512" hashValue="m27lZmq2TFlx9Kf61PhdFrg/2n9RbnljzG8MjO+g5o9YKL0taVDl0abh812r8twhvUIcU8vrTHOV+PTm36qg7Q==" saltValue="oYh4kb6cp1LeC7XOa05AiQ==" spinCount="100000" sheet="1" objects="1" scenarios="1"/>
  <pageMargins left="0.7" right="0.7" top="0.75" bottom="0.75" header="0.3" footer="0.3"/>
  <pageSetup paperSize="9" orientation="portrait" horizontalDpi="300" verticalDpi="30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FFFF00"/>
  </sheetPr>
  <dimension ref="A1:P20"/>
  <sheetViews>
    <sheetView workbookViewId="0">
      <selection activeCell="F8" sqref="F8"/>
    </sheetView>
  </sheetViews>
  <sheetFormatPr defaultColWidth="9" defaultRowHeight="14.5"/>
  <cols>
    <col min="1" max="1" width="10.6328125" customWidth="1"/>
    <col min="2" max="2" width="11.08984375" customWidth="1"/>
    <col min="3" max="3" width="11.453125" customWidth="1"/>
    <col min="4" max="4" width="11.54296875" customWidth="1"/>
    <col min="5" max="5" width="11.08984375" customWidth="1"/>
    <col min="6" max="7" width="11.36328125" customWidth="1"/>
    <col min="8" max="8" width="11.6328125" customWidth="1"/>
    <col min="9" max="9" width="11.08984375" customWidth="1"/>
  </cols>
  <sheetData>
    <row r="1" spans="1:16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15"/>
      <c r="M1" s="15"/>
      <c r="N1" s="15"/>
      <c r="O1" s="15"/>
      <c r="P1" s="149"/>
    </row>
    <row r="2" spans="1:16">
      <c r="A2" s="180" t="s">
        <v>320</v>
      </c>
      <c r="B2" s="181">
        <v>45968</v>
      </c>
      <c r="C2" s="181">
        <v>45975</v>
      </c>
      <c r="D2" s="181">
        <v>45982</v>
      </c>
      <c r="E2" s="181">
        <v>45989</v>
      </c>
      <c r="F2" s="181">
        <v>45996</v>
      </c>
      <c r="G2" s="181">
        <v>46003</v>
      </c>
      <c r="H2" s="181">
        <v>46010</v>
      </c>
      <c r="I2" s="181">
        <v>46015</v>
      </c>
      <c r="J2" s="20"/>
      <c r="K2" s="20"/>
      <c r="L2" s="15"/>
      <c r="M2" s="15"/>
      <c r="N2" s="15"/>
      <c r="O2" s="15"/>
      <c r="P2" s="149"/>
    </row>
    <row r="3" spans="1:16">
      <c r="A3" s="180" t="s">
        <v>322</v>
      </c>
      <c r="B3" s="182">
        <f t="shared" ref="B3:I3" si="0">B4</f>
        <v>17.390304867240001</v>
      </c>
      <c r="C3" s="182">
        <f t="shared" si="0"/>
        <v>17.29912062779</v>
      </c>
      <c r="D3" s="182">
        <f t="shared" si="0"/>
        <v>16.915814556049998</v>
      </c>
      <c r="E3" s="182">
        <f t="shared" si="0"/>
        <v>16.97292700869</v>
      </c>
      <c r="F3" s="182">
        <f t="shared" si="0"/>
        <v>17.413222879320003</v>
      </c>
      <c r="G3" s="182">
        <f t="shared" si="0"/>
        <v>17.682838809310002</v>
      </c>
      <c r="H3" s="182">
        <f t="shared" si="0"/>
        <v>17.94056485019</v>
      </c>
      <c r="I3" s="182">
        <f t="shared" si="0"/>
        <v>18.082167415780003</v>
      </c>
      <c r="J3" s="20"/>
      <c r="K3" s="20"/>
      <c r="L3" s="15"/>
      <c r="M3" s="15"/>
      <c r="N3" s="15"/>
      <c r="O3" s="15"/>
      <c r="P3" s="149"/>
    </row>
    <row r="4" spans="1:16">
      <c r="A4" s="20"/>
      <c r="B4" s="183">
        <f>'NAV Trend'!C16/1000000000</f>
        <v>17.390304867240001</v>
      </c>
      <c r="C4" s="183">
        <f>'NAV Trend'!D16/1000000000</f>
        <v>17.29912062779</v>
      </c>
      <c r="D4" s="183">
        <f>'NAV Trend'!E16/1000000000</f>
        <v>16.915814556049998</v>
      </c>
      <c r="E4" s="183">
        <f>'NAV Trend'!F16/1000000000</f>
        <v>16.97292700869</v>
      </c>
      <c r="F4" s="183">
        <f>'NAV Trend'!G16/1000000000</f>
        <v>17.413222879320003</v>
      </c>
      <c r="G4" s="183">
        <f>'NAV Trend'!H16/1000000000</f>
        <v>17.682838809310002</v>
      </c>
      <c r="H4" s="183">
        <f>'NAV Trend'!I16/1000000000</f>
        <v>17.94056485019</v>
      </c>
      <c r="I4" s="184">
        <f>'NAV Trend'!J16/1000000000</f>
        <v>18.082167415780003</v>
      </c>
      <c r="J4" s="20"/>
      <c r="K4" s="20"/>
      <c r="L4" s="15"/>
      <c r="M4" s="15"/>
      <c r="N4" s="15"/>
      <c r="O4" s="15"/>
      <c r="P4" s="149"/>
    </row>
    <row r="5" spans="1:16">
      <c r="A5" s="20"/>
      <c r="B5" s="20"/>
      <c r="C5" s="20"/>
      <c r="D5" s="20"/>
      <c r="E5" s="20"/>
      <c r="F5" s="20"/>
      <c r="G5" s="20"/>
      <c r="H5" s="20"/>
      <c r="I5" s="20"/>
      <c r="J5" s="20"/>
      <c r="K5" s="20"/>
      <c r="L5" s="15"/>
      <c r="M5" s="15"/>
      <c r="N5" s="15"/>
      <c r="O5" s="15"/>
      <c r="P5" s="149"/>
    </row>
    <row r="6" spans="1:16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15"/>
      <c r="M6" s="15"/>
      <c r="N6" s="15"/>
      <c r="O6" s="147"/>
    </row>
    <row r="7" spans="1:16">
      <c r="A7" s="20"/>
      <c r="B7" s="20"/>
      <c r="C7" s="20"/>
      <c r="D7" s="20"/>
      <c r="E7" s="20"/>
      <c r="F7" s="20"/>
      <c r="G7" s="20"/>
      <c r="H7" s="20"/>
      <c r="I7" s="20"/>
      <c r="J7" s="20"/>
      <c r="K7" s="20"/>
      <c r="L7" s="15"/>
      <c r="M7" s="15"/>
      <c r="N7" s="15"/>
      <c r="O7" s="147"/>
    </row>
    <row r="8" spans="1:16">
      <c r="A8" s="20"/>
      <c r="B8" s="20"/>
      <c r="C8" s="20"/>
      <c r="D8" s="20"/>
      <c r="E8" s="20"/>
      <c r="F8" s="20"/>
      <c r="G8" s="20"/>
      <c r="H8" s="20"/>
      <c r="I8" s="20"/>
      <c r="J8" s="20"/>
      <c r="K8" s="20"/>
      <c r="L8" s="15"/>
      <c r="M8" s="15"/>
      <c r="N8" s="15"/>
      <c r="O8" s="147"/>
    </row>
    <row r="9" spans="1:16">
      <c r="A9" s="20"/>
      <c r="B9" s="20"/>
      <c r="C9" s="20"/>
      <c r="D9" s="20"/>
      <c r="E9" s="20"/>
      <c r="F9" s="20"/>
      <c r="G9" s="20"/>
      <c r="H9" s="20"/>
      <c r="I9" s="20"/>
      <c r="J9" s="20"/>
      <c r="K9" s="20"/>
      <c r="L9" s="15"/>
      <c r="M9" s="15"/>
      <c r="N9" s="15"/>
      <c r="O9" s="147"/>
    </row>
    <row r="10" spans="1:16">
      <c r="A10" s="20"/>
      <c r="B10" s="20"/>
      <c r="C10" s="20"/>
      <c r="D10" s="20"/>
      <c r="E10" s="20"/>
      <c r="F10" s="20"/>
      <c r="G10" s="20"/>
      <c r="H10" s="20"/>
      <c r="I10" s="20"/>
      <c r="J10" s="20"/>
      <c r="K10" s="20"/>
      <c r="L10" s="15"/>
      <c r="M10" s="15"/>
      <c r="N10" s="15"/>
      <c r="O10" s="147"/>
    </row>
    <row r="11" spans="1:16">
      <c r="A11" s="20"/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15"/>
      <c r="M11" s="15"/>
      <c r="N11" s="15"/>
      <c r="O11" s="147"/>
    </row>
    <row r="12" spans="1:16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15"/>
      <c r="M12" s="15"/>
      <c r="N12" s="15"/>
      <c r="O12" s="147"/>
    </row>
    <row r="13" spans="1:16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47"/>
    </row>
    <row r="14" spans="1:16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47"/>
    </row>
    <row r="15" spans="1:16">
      <c r="A15" s="15"/>
      <c r="B15" s="15"/>
      <c r="C15" s="15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47"/>
    </row>
    <row r="16" spans="1:16">
      <c r="A16" s="15"/>
      <c r="B16" s="15"/>
      <c r="C16" s="15"/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5"/>
      <c r="O16" s="147"/>
    </row>
    <row r="17" spans="1:15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  <c r="L17" s="15"/>
      <c r="M17" s="15"/>
      <c r="N17" s="15"/>
      <c r="O17" s="147"/>
    </row>
    <row r="18" spans="1:15">
      <c r="A18" s="147"/>
      <c r="B18" s="147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</row>
    <row r="19" spans="1:15">
      <c r="A19" s="147"/>
      <c r="B19" s="147"/>
      <c r="C19" s="147"/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</row>
    <row r="20" spans="1:15">
      <c r="A20" s="147"/>
      <c r="B20" s="147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</row>
  </sheetData>
  <sheetProtection algorithmName="SHA-512" hashValue="atjyVAwkY6gZL6N4PTJ8N4d12VqWLy5mtm2w6ziuG38mhNG7rMMghrn72S6E1mfpGXjnaAkkQtV6YxZEGApnDA==" saltValue="UzkfFWGXZQo+//BDlnb/aA==" spinCount="100000" sheet="1" objects="1" scenario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K22"/>
  <sheetViews>
    <sheetView topLeftCell="F1" zoomScale="150" zoomScaleNormal="150" workbookViewId="0">
      <selection activeCell="K1" sqref="K1"/>
    </sheetView>
  </sheetViews>
  <sheetFormatPr defaultColWidth="9" defaultRowHeight="14.5"/>
  <cols>
    <col min="1" max="1" width="36.36328125" customWidth="1"/>
    <col min="2" max="2" width="23.54296875" customWidth="1"/>
    <col min="3" max="3" width="22.54296875" customWidth="1"/>
    <col min="4" max="4" width="20.90625" customWidth="1"/>
    <col min="5" max="5" width="22.54296875" customWidth="1"/>
    <col min="6" max="6" width="24.6328125" customWidth="1"/>
    <col min="7" max="7" width="22.453125" customWidth="1"/>
    <col min="8" max="8" width="24.36328125" customWidth="1"/>
    <col min="9" max="9" width="22.54296875" customWidth="1"/>
    <col min="10" max="10" width="21.6328125" customWidth="1"/>
    <col min="11" max="12" width="20.6328125" customWidth="1"/>
    <col min="13" max="13" width="20.54296875" customWidth="1"/>
  </cols>
  <sheetData>
    <row r="1" spans="1:11" ht="15.5">
      <c r="A1" s="1" t="s">
        <v>316</v>
      </c>
      <c r="B1" s="2">
        <v>45961</v>
      </c>
      <c r="C1" s="2">
        <v>45968</v>
      </c>
      <c r="D1" s="2">
        <v>45975</v>
      </c>
      <c r="E1" s="2">
        <v>45982</v>
      </c>
      <c r="F1" s="2">
        <v>45989</v>
      </c>
      <c r="G1" s="2">
        <v>45996</v>
      </c>
      <c r="H1" s="2">
        <v>46003</v>
      </c>
      <c r="I1" s="2">
        <v>46010</v>
      </c>
      <c r="J1" s="2">
        <v>46380</v>
      </c>
    </row>
    <row r="2" spans="1:11">
      <c r="A2" s="3" t="s">
        <v>18</v>
      </c>
      <c r="B2" s="4">
        <v>79941489021.128601</v>
      </c>
      <c r="C2" s="4">
        <v>77622970040.713501</v>
      </c>
      <c r="D2" s="4">
        <v>77103229577.115402</v>
      </c>
      <c r="E2" s="4">
        <v>76470658139.095398</v>
      </c>
      <c r="F2" s="4">
        <v>76454466515.944092</v>
      </c>
      <c r="G2" s="4">
        <v>78401377862.474701</v>
      </c>
      <c r="H2" s="4">
        <v>78447194943.245102</v>
      </c>
      <c r="I2" s="4">
        <v>79735701358.92749</v>
      </c>
      <c r="J2" s="4">
        <v>79641660217.847488</v>
      </c>
    </row>
    <row r="3" spans="1:11">
      <c r="A3" s="3" t="s">
        <v>57</v>
      </c>
      <c r="B3" s="4">
        <v>4345978196238.9199</v>
      </c>
      <c r="C3" s="4">
        <v>4392378656476.5811</v>
      </c>
      <c r="D3" s="4">
        <v>4459546758095.3066</v>
      </c>
      <c r="E3" s="4">
        <v>4500562998487.0645</v>
      </c>
      <c r="F3" s="4">
        <v>4552330092438.3486</v>
      </c>
      <c r="G3" s="4">
        <v>4598078276116.3418</v>
      </c>
      <c r="H3" s="4">
        <v>4642448189370.7549</v>
      </c>
      <c r="I3" s="4">
        <v>4678050109959.2363</v>
      </c>
      <c r="J3" s="4">
        <v>4744967555037.585</v>
      </c>
    </row>
    <row r="4" spans="1:11">
      <c r="A4" s="3" t="s">
        <v>317</v>
      </c>
      <c r="B4" s="5">
        <v>242068020164.47501</v>
      </c>
      <c r="C4" s="5">
        <v>243268463507.48514</v>
      </c>
      <c r="D4" s="5">
        <v>244019694006.9003</v>
      </c>
      <c r="E4" s="5">
        <v>242652780469.49625</v>
      </c>
      <c r="F4" s="5">
        <v>243665972654.49658</v>
      </c>
      <c r="G4" s="5">
        <v>239569435821.11508</v>
      </c>
      <c r="H4" s="5">
        <v>238896018902.52338</v>
      </c>
      <c r="I4" s="5">
        <v>238340225253.66324</v>
      </c>
      <c r="J4" s="5">
        <v>237258742107.80859</v>
      </c>
    </row>
    <row r="5" spans="1:11">
      <c r="A5" s="3" t="s">
        <v>175</v>
      </c>
      <c r="B5" s="4">
        <v>1904125830062.55</v>
      </c>
      <c r="C5" s="4">
        <v>1911276570182.48</v>
      </c>
      <c r="D5" s="4">
        <v>1910381884325.9756</v>
      </c>
      <c r="E5" s="4">
        <v>1905477703934.2476</v>
      </c>
      <c r="F5" s="4">
        <v>1901028302593.2881</v>
      </c>
      <c r="G5" s="4">
        <v>1910113273501.6394</v>
      </c>
      <c r="H5" s="4">
        <v>1912273958134.9629</v>
      </c>
      <c r="I5" s="4">
        <v>1954262527494.0337</v>
      </c>
      <c r="J5" s="4">
        <v>1955698754786.5325</v>
      </c>
    </row>
    <row r="6" spans="1:11">
      <c r="A6" s="3" t="s">
        <v>318</v>
      </c>
      <c r="B6" s="5">
        <v>370267322852.34497</v>
      </c>
      <c r="C6" s="5">
        <v>371321637298.57227</v>
      </c>
      <c r="D6" s="5">
        <v>372265278550.55267</v>
      </c>
      <c r="E6" s="5">
        <v>372914421521.18774</v>
      </c>
      <c r="F6" s="5">
        <v>480118186812.3526</v>
      </c>
      <c r="G6" s="5">
        <v>480962390405.30359</v>
      </c>
      <c r="H6" s="5">
        <v>481599355727.08673</v>
      </c>
      <c r="I6" s="5">
        <v>482352533334.53674</v>
      </c>
      <c r="J6" s="5">
        <v>483055353307.30524</v>
      </c>
    </row>
    <row r="7" spans="1:11">
      <c r="A7" s="3" t="s">
        <v>221</v>
      </c>
      <c r="B7" s="7">
        <v>80975307014.121796</v>
      </c>
      <c r="C7" s="7">
        <v>79917304669.356689</v>
      </c>
      <c r="D7" s="7">
        <v>79959427590.508118</v>
      </c>
      <c r="E7" s="7">
        <v>80018041766.047272</v>
      </c>
      <c r="F7" s="7">
        <v>80347740959.834061</v>
      </c>
      <c r="G7" s="7">
        <v>82072736373.0802</v>
      </c>
      <c r="H7" s="7">
        <v>83138604455.992661</v>
      </c>
      <c r="I7" s="7">
        <v>83857951344.08696</v>
      </c>
      <c r="J7" s="7">
        <v>83513673347.384338</v>
      </c>
    </row>
    <row r="8" spans="1:11">
      <c r="A8" s="3" t="s">
        <v>253</v>
      </c>
      <c r="B8" s="6">
        <v>8593567206.5699997</v>
      </c>
      <c r="C8" s="6">
        <v>8328680558.7600002</v>
      </c>
      <c r="D8" s="6">
        <v>8317694966.6799994</v>
      </c>
      <c r="E8" s="6">
        <v>8122250716.4000006</v>
      </c>
      <c r="F8" s="6">
        <v>8137410105.1800003</v>
      </c>
      <c r="G8" s="6">
        <v>8269417847.3099995</v>
      </c>
      <c r="H8" s="6">
        <v>8345728599.1300001</v>
      </c>
      <c r="I8" s="6">
        <v>8322821216.8900003</v>
      </c>
      <c r="J8" s="6">
        <v>8179170952.1100006</v>
      </c>
    </row>
    <row r="9" spans="1:11">
      <c r="A9" s="3" t="s">
        <v>319</v>
      </c>
      <c r="B9" s="6">
        <v>72771852471.391907</v>
      </c>
      <c r="C9" s="6">
        <v>73208194782.318939</v>
      </c>
      <c r="D9" s="6">
        <v>73372100099.812561</v>
      </c>
      <c r="E9" s="6">
        <v>73712156820.88179</v>
      </c>
      <c r="F9" s="6">
        <v>74458988396.700394</v>
      </c>
      <c r="G9" s="6">
        <v>75808834587.932678</v>
      </c>
      <c r="H9" s="6">
        <v>77276900112.016632</v>
      </c>
      <c r="I9" s="6">
        <v>78263241502.671127</v>
      </c>
      <c r="J9" s="6">
        <v>80120118418.338852</v>
      </c>
    </row>
    <row r="10" spans="1:11" ht="15.5">
      <c r="A10" s="8" t="s">
        <v>323</v>
      </c>
      <c r="B10" s="9">
        <f t="shared" ref="B10:J10" si="0">SUM(B2:B9)</f>
        <v>7104721585031.502</v>
      </c>
      <c r="C10" s="9">
        <f t="shared" si="0"/>
        <v>7157322477516.2676</v>
      </c>
      <c r="D10" s="9">
        <f t="shared" si="0"/>
        <v>7224966067212.8506</v>
      </c>
      <c r="E10" s="9">
        <f t="shared" si="0"/>
        <v>7259931011854.4209</v>
      </c>
      <c r="F10" s="9">
        <f t="shared" si="0"/>
        <v>7416541160476.1436</v>
      </c>
      <c r="G10" s="9">
        <f t="shared" si="0"/>
        <v>7473275742515.1973</v>
      </c>
      <c r="H10" s="9">
        <f t="shared" si="0"/>
        <v>7522425950245.7119</v>
      </c>
      <c r="I10" s="9">
        <f t="shared" si="0"/>
        <v>7603185111464.0459</v>
      </c>
      <c r="J10" s="9">
        <f t="shared" si="0"/>
        <v>7672435028174.9131</v>
      </c>
    </row>
    <row r="11" spans="1:11">
      <c r="A11" s="10"/>
      <c r="B11" s="11"/>
      <c r="C11" s="11"/>
      <c r="D11" s="11"/>
      <c r="E11" s="11"/>
      <c r="F11" s="11"/>
      <c r="G11" s="11"/>
      <c r="H11" s="11"/>
      <c r="I11" s="10"/>
      <c r="J11" s="10"/>
    </row>
    <row r="12" spans="1:11" ht="15.5">
      <c r="A12" s="12" t="s">
        <v>324</v>
      </c>
      <c r="B12" s="146" t="s">
        <v>325</v>
      </c>
      <c r="C12" s="13">
        <f>(B10+C10)/2</f>
        <v>7131022031273.8848</v>
      </c>
      <c r="D12" s="14">
        <f t="shared" ref="D12:J12" si="1">(C10+D10)/2</f>
        <v>7191144272364.5586</v>
      </c>
      <c r="E12" s="14">
        <f t="shared" si="1"/>
        <v>7242448539533.6357</v>
      </c>
      <c r="F12" s="14">
        <f t="shared" si="1"/>
        <v>7338236086165.2822</v>
      </c>
      <c r="G12" s="14">
        <f t="shared" si="1"/>
        <v>7444908451495.6699</v>
      </c>
      <c r="H12" s="14">
        <f t="shared" si="1"/>
        <v>7497850846380.4551</v>
      </c>
      <c r="I12" s="14">
        <f t="shared" si="1"/>
        <v>7562805530854.8789</v>
      </c>
      <c r="J12" s="14">
        <f t="shared" si="1"/>
        <v>7637810069819.4795</v>
      </c>
    </row>
    <row r="13" spans="1:11">
      <c r="C13" s="15"/>
      <c r="D13" s="15"/>
      <c r="E13" s="15"/>
      <c r="F13" s="15"/>
      <c r="G13" s="15"/>
      <c r="H13" s="15"/>
      <c r="I13" s="15"/>
      <c r="J13" s="15"/>
      <c r="K13" s="15"/>
    </row>
    <row r="14" spans="1:11">
      <c r="A14" s="15"/>
      <c r="B14" s="15"/>
      <c r="C14" s="15"/>
      <c r="D14" s="15"/>
      <c r="E14" s="15"/>
      <c r="F14" s="15"/>
      <c r="G14" s="15"/>
      <c r="H14" s="15"/>
      <c r="I14" s="15"/>
      <c r="J14" s="15"/>
      <c r="K14" s="15"/>
    </row>
    <row r="15" spans="1:11">
      <c r="A15" s="15"/>
      <c r="B15" s="2">
        <v>45961</v>
      </c>
      <c r="C15" s="2">
        <v>45968</v>
      </c>
      <c r="D15" s="2">
        <v>45975</v>
      </c>
      <c r="E15" s="2">
        <v>45982</v>
      </c>
      <c r="F15" s="2">
        <v>45989</v>
      </c>
      <c r="G15" s="2">
        <v>45996</v>
      </c>
      <c r="H15" s="2">
        <v>46003</v>
      </c>
      <c r="I15" s="2">
        <v>46010</v>
      </c>
      <c r="J15" s="2">
        <v>46380</v>
      </c>
      <c r="K15" s="15"/>
    </row>
    <row r="16" spans="1:11">
      <c r="A16" s="16" t="s">
        <v>326</v>
      </c>
      <c r="B16" s="17">
        <v>17970072049.889999</v>
      </c>
      <c r="C16" s="17">
        <v>17390304867.240002</v>
      </c>
      <c r="D16" s="17">
        <v>17299120627.790001</v>
      </c>
      <c r="E16" s="17">
        <v>16915814556.049999</v>
      </c>
      <c r="F16" s="17">
        <v>16972927008.689999</v>
      </c>
      <c r="G16" s="17">
        <v>17413222879.320004</v>
      </c>
      <c r="H16" s="17">
        <v>17682838809.310001</v>
      </c>
      <c r="I16" s="17">
        <v>17940564850.189999</v>
      </c>
      <c r="J16" s="17">
        <v>18082167415.780003</v>
      </c>
      <c r="K16" s="15"/>
    </row>
    <row r="17" spans="1:11">
      <c r="A17" s="15"/>
      <c r="B17" s="15"/>
      <c r="C17" s="15"/>
      <c r="D17" s="15"/>
      <c r="E17" s="15"/>
      <c r="F17" s="15"/>
      <c r="G17" s="15"/>
      <c r="H17" s="15"/>
      <c r="I17" s="15"/>
      <c r="J17" s="15"/>
      <c r="K17" s="15"/>
    </row>
    <row r="18" spans="1:11">
      <c r="A18" s="15"/>
      <c r="B18" s="15"/>
      <c r="C18" s="18"/>
      <c r="D18" s="18"/>
      <c r="E18" s="18"/>
      <c r="F18" s="18"/>
      <c r="G18" s="18"/>
      <c r="H18" s="18"/>
      <c r="I18" s="18"/>
      <c r="J18" s="18"/>
      <c r="K18" s="15"/>
    </row>
    <row r="19" spans="1:11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</row>
    <row r="20" spans="1:11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</row>
    <row r="21" spans="1:11">
      <c r="B21" s="15"/>
      <c r="C21" s="15"/>
      <c r="D21" s="15"/>
      <c r="E21" s="15"/>
      <c r="F21" s="15"/>
      <c r="G21" s="15"/>
      <c r="H21" s="15"/>
      <c r="I21" s="15"/>
      <c r="J21" s="19"/>
      <c r="K21" s="15"/>
    </row>
    <row r="22" spans="1:11">
      <c r="B22" s="15"/>
      <c r="C22" s="15"/>
      <c r="D22" s="15"/>
      <c r="E22" s="15"/>
      <c r="F22" s="15"/>
      <c r="G22" s="15"/>
      <c r="H22" s="15"/>
      <c r="I22" s="15"/>
      <c r="J22" s="15"/>
      <c r="K22" s="20"/>
    </row>
  </sheetData>
  <sheetProtection algorithmName="SHA-512" hashValue="Eu5ZFIqdb2kvnaert/ERIKSkd8CyhV7TSOUrQp5FUD6rUbOWkuqtxuCg5e6E47Un2AAzHGChkdGhlmkgfO8LBg==" saltValue="I8DP3l1xmB/u6DwdyY5gWw==" spinCount="100000" sheet="1" objects="1" scenarios="1"/>
  <pageMargins left="0.7" right="0.7" top="0.75" bottom="0.75" header="0.3" footer="0.3"/>
  <pageSetup paperSize="9" orientation="portrait" horizontalDpi="300" verticalDpi="300"/>
  <ignoredErrors>
    <ignoredError sqref="B10:J10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2</vt:i4>
      </vt:variant>
    </vt:vector>
  </HeadingPairs>
  <TitlesOfParts>
    <vt:vector size="8" baseType="lpstr">
      <vt:lpstr>Weekly Valuation</vt:lpstr>
      <vt:lpstr>NAV Comparison</vt:lpstr>
      <vt:lpstr>Market Share</vt:lpstr>
      <vt:lpstr>8-Week Movement in NAV</vt:lpstr>
      <vt:lpstr>8-Week Movement in ETFs</vt:lpstr>
      <vt:lpstr>NAV Trend</vt:lpstr>
      <vt:lpstr>FX_RATE</vt:lpstr>
      <vt:lpstr>'Weekly Valuation'!NFEM_RATE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 RV</dc:creator>
  <cp:lastModifiedBy>Jibril, M. Saidu</cp:lastModifiedBy>
  <dcterms:created xsi:type="dcterms:W3CDTF">2023-10-09T09:40:00Z</dcterms:created>
  <dcterms:modified xsi:type="dcterms:W3CDTF">2026-01-17T15:29:44Z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A438AA3AB3D54FD3925988ED903466DD_13</vt:lpwstr>
  </property>
  <property fmtid="{D5CDD505-2E9C-101B-9397-08002B2CF9AE}" pid="3" name="KSOProductBuildVer">
    <vt:lpwstr>1033-12.2.0.13266</vt:lpwstr>
  </property>
</Properties>
</file>