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jibril\Desktop\"/>
    </mc:Choice>
  </mc:AlternateContent>
  <bookViews>
    <workbookView xWindow="0" yWindow="0" windowWidth="11980" windowHeight="928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Valuation'!$W$137</definedName>
    <definedName name="NFEM_RATE" localSheetId="0">'Weekly Valuation'!$W$137</definedName>
  </definedNames>
  <calcPr calcId="162913"/>
</workbook>
</file>

<file path=xl/calcChain.xml><?xml version="1.0" encoding="utf-8"?>
<calcChain xmlns="http://schemas.openxmlformats.org/spreadsheetml/2006/main">
  <c r="K143" i="1" l="1"/>
  <c r="N149" i="1"/>
  <c r="M149" i="1"/>
  <c r="K149" i="1"/>
  <c r="N151" i="1"/>
  <c r="M151" i="1"/>
  <c r="K151" i="1"/>
  <c r="N138" i="1"/>
  <c r="M138" i="1"/>
  <c r="K138" i="1"/>
  <c r="M123" i="1"/>
  <c r="K123" i="1"/>
  <c r="K131" i="1"/>
  <c r="N146" i="1" l="1"/>
  <c r="M146" i="1"/>
  <c r="K146" i="1"/>
  <c r="N133" i="1"/>
  <c r="M133" i="1"/>
  <c r="K133" i="1"/>
  <c r="N147" i="1"/>
  <c r="K145" i="1"/>
  <c r="K139" i="1"/>
  <c r="N137" i="1"/>
  <c r="M137" i="1"/>
  <c r="K137" i="1"/>
  <c r="N125" i="1"/>
  <c r="M125" i="1"/>
  <c r="K125" i="1"/>
  <c r="N122" i="1"/>
  <c r="M122" i="1"/>
  <c r="K122" i="1"/>
  <c r="N155" i="1"/>
  <c r="M155" i="1"/>
  <c r="K155" i="1"/>
  <c r="N141" i="1" l="1"/>
  <c r="M141" i="1"/>
  <c r="K141" i="1"/>
  <c r="N132" i="1" l="1"/>
  <c r="M132" i="1"/>
  <c r="K132" i="1"/>
  <c r="N154" i="1"/>
  <c r="M154" i="1"/>
  <c r="K154" i="1"/>
  <c r="K119" i="1"/>
  <c r="K124" i="1"/>
  <c r="N234" i="1"/>
  <c r="M234" i="1"/>
  <c r="K234" i="1"/>
  <c r="N121" i="1"/>
  <c r="M121" i="1"/>
  <c r="K121" i="1"/>
  <c r="N120" i="1"/>
  <c r="M120" i="1"/>
  <c r="K120" i="1"/>
  <c r="N130" i="1"/>
  <c r="M130" i="1"/>
  <c r="K130" i="1"/>
  <c r="N148" i="1" l="1"/>
  <c r="M148" i="1"/>
  <c r="K148" i="1"/>
  <c r="N236" i="1"/>
  <c r="M236" i="1"/>
  <c r="K236" i="1"/>
  <c r="N128" i="1"/>
  <c r="M128" i="1"/>
  <c r="K128" i="1"/>
  <c r="N127" i="1"/>
  <c r="M127" i="1"/>
  <c r="K127" i="1"/>
  <c r="M153" i="1"/>
  <c r="K153" i="1"/>
  <c r="N152" i="1" l="1"/>
  <c r="M152" i="1"/>
  <c r="K152" i="1"/>
  <c r="K134" i="1"/>
  <c r="N134" i="1"/>
  <c r="M134" i="1"/>
  <c r="K129" i="1"/>
  <c r="N123" i="1" l="1"/>
  <c r="N124" i="1" l="1"/>
  <c r="M124" i="1"/>
  <c r="N153" i="1" l="1"/>
  <c r="N131" i="1" l="1"/>
  <c r="M131" i="1"/>
  <c r="N143" i="1" l="1"/>
  <c r="M143" i="1"/>
  <c r="R35" i="1" l="1"/>
  <c r="V24" i="1"/>
  <c r="U24" i="1"/>
  <c r="T24" i="1"/>
  <c r="S24" i="1"/>
  <c r="R24" i="1"/>
  <c r="M147" i="1"/>
  <c r="K202" i="1" l="1"/>
  <c r="N129" i="1" l="1"/>
  <c r="V190" i="1" l="1"/>
  <c r="U190" i="1"/>
  <c r="T190" i="1"/>
  <c r="S190" i="1"/>
  <c r="R190" i="1"/>
  <c r="N145" i="1" l="1"/>
  <c r="M145" i="1"/>
  <c r="R143" i="1" l="1"/>
  <c r="S132" i="1"/>
  <c r="S128" i="1"/>
  <c r="S127" i="1"/>
  <c r="S236" i="1"/>
  <c r="J10" i="4"/>
  <c r="I4" i="5" s="1"/>
  <c r="I3" i="5" s="1"/>
  <c r="I10" i="4"/>
  <c r="H4" i="5" s="1"/>
  <c r="H3" i="5" s="1"/>
  <c r="H10" i="4"/>
  <c r="G4" i="5" s="1"/>
  <c r="G3" i="5" s="1"/>
  <c r="G10" i="4"/>
  <c r="F4" i="5" s="1"/>
  <c r="F3" i="5" s="1"/>
  <c r="F10" i="4"/>
  <c r="E4" i="5" s="1"/>
  <c r="E3" i="5" s="1"/>
  <c r="E10" i="4"/>
  <c r="D10" i="4"/>
  <c r="C4" i="5" s="1"/>
  <c r="C3" i="5" s="1"/>
  <c r="C10" i="4"/>
  <c r="B10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59" i="1"/>
  <c r="U259" i="1"/>
  <c r="S259" i="1"/>
  <c r="O259" i="1"/>
  <c r="K259" i="1"/>
  <c r="L258" i="1" s="1"/>
  <c r="H259" i="1"/>
  <c r="D259" i="1"/>
  <c r="E257" i="1" s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R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O244" i="1"/>
  <c r="K244" i="1"/>
  <c r="L243" i="1" s="1"/>
  <c r="H244" i="1"/>
  <c r="D244" i="1"/>
  <c r="E243" i="1" s="1"/>
  <c r="V243" i="1"/>
  <c r="U243" i="1"/>
  <c r="T243" i="1"/>
  <c r="S243" i="1"/>
  <c r="R243" i="1"/>
  <c r="V242" i="1"/>
  <c r="U242" i="1"/>
  <c r="T242" i="1"/>
  <c r="S242" i="1"/>
  <c r="R242" i="1"/>
  <c r="O239" i="1"/>
  <c r="H239" i="1"/>
  <c r="D239" i="1"/>
  <c r="V238" i="1"/>
  <c r="U238" i="1"/>
  <c r="T238" i="1"/>
  <c r="S238" i="1"/>
  <c r="R238" i="1"/>
  <c r="V237" i="1"/>
  <c r="U237" i="1"/>
  <c r="T237" i="1"/>
  <c r="S237" i="1"/>
  <c r="R237" i="1"/>
  <c r="V236" i="1"/>
  <c r="U236" i="1"/>
  <c r="T236" i="1"/>
  <c r="R236" i="1"/>
  <c r="V235" i="1"/>
  <c r="U235" i="1"/>
  <c r="T235" i="1"/>
  <c r="S235" i="1"/>
  <c r="R235" i="1"/>
  <c r="V234" i="1"/>
  <c r="U234" i="1"/>
  <c r="T234" i="1"/>
  <c r="S234" i="1"/>
  <c r="K239" i="1"/>
  <c r="V230" i="1"/>
  <c r="U230" i="1"/>
  <c r="S230" i="1"/>
  <c r="O230" i="1"/>
  <c r="K230" i="1"/>
  <c r="L221" i="1" s="1"/>
  <c r="H230" i="1"/>
  <c r="D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7" i="1"/>
  <c r="U207" i="1"/>
  <c r="T207" i="1"/>
  <c r="S207" i="1"/>
  <c r="R207" i="1"/>
  <c r="V206" i="1"/>
  <c r="U206" i="1"/>
  <c r="T206" i="1"/>
  <c r="S206" i="1"/>
  <c r="R206" i="1"/>
  <c r="V202" i="1"/>
  <c r="U202" i="1"/>
  <c r="S202" i="1"/>
  <c r="O202" i="1"/>
  <c r="B2" i="3"/>
  <c r="H202" i="1"/>
  <c r="D202" i="1"/>
  <c r="B19" i="2" s="1"/>
  <c r="B9" i="2" s="1"/>
  <c r="V201" i="1"/>
  <c r="U201" i="1"/>
  <c r="T201" i="1"/>
  <c r="S201" i="1"/>
  <c r="R201" i="1"/>
  <c r="V200" i="1"/>
  <c r="U200" i="1"/>
  <c r="T200" i="1"/>
  <c r="S200" i="1"/>
  <c r="R200" i="1"/>
  <c r="L200" i="1"/>
  <c r="V197" i="1"/>
  <c r="U197" i="1"/>
  <c r="S197" i="1"/>
  <c r="O197" i="1"/>
  <c r="K197" i="1"/>
  <c r="H197" i="1"/>
  <c r="D197" i="1"/>
  <c r="E168" i="1" s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5" i="1"/>
  <c r="U165" i="1"/>
  <c r="S165" i="1"/>
  <c r="O165" i="1"/>
  <c r="K165" i="1"/>
  <c r="L161" i="1" s="1"/>
  <c r="H165" i="1"/>
  <c r="D165" i="1"/>
  <c r="B17" i="2" s="1"/>
  <c r="B7" i="2" s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6" i="1"/>
  <c r="U156" i="1"/>
  <c r="S156" i="1"/>
  <c r="O156" i="1"/>
  <c r="H156" i="1"/>
  <c r="D156" i="1"/>
  <c r="B16" i="2" s="1"/>
  <c r="B6" i="2" s="1"/>
  <c r="V155" i="1"/>
  <c r="U155" i="1"/>
  <c r="T155" i="1"/>
  <c r="R155" i="1"/>
  <c r="S155" i="1"/>
  <c r="V154" i="1"/>
  <c r="U154" i="1"/>
  <c r="T154" i="1"/>
  <c r="R154" i="1"/>
  <c r="S154" i="1"/>
  <c r="V153" i="1"/>
  <c r="U153" i="1"/>
  <c r="T153" i="1"/>
  <c r="S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R147" i="1"/>
  <c r="S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R144" i="1"/>
  <c r="N144" i="1"/>
  <c r="S144" i="1" s="1"/>
  <c r="M144" i="1"/>
  <c r="V143" i="1"/>
  <c r="U143" i="1"/>
  <c r="T143" i="1"/>
  <c r="S143" i="1"/>
  <c r="V142" i="1"/>
  <c r="U142" i="1"/>
  <c r="T142" i="1"/>
  <c r="S142" i="1"/>
  <c r="R142" i="1"/>
  <c r="V141" i="1"/>
  <c r="U141" i="1"/>
  <c r="T141" i="1"/>
  <c r="S141" i="1"/>
  <c r="R141" i="1"/>
  <c r="V140" i="1"/>
  <c r="U140" i="1"/>
  <c r="T140" i="1"/>
  <c r="S140" i="1"/>
  <c r="R140" i="1"/>
  <c r="V139" i="1"/>
  <c r="U139" i="1"/>
  <c r="T139" i="1"/>
  <c r="N139" i="1"/>
  <c r="S139" i="1" s="1"/>
  <c r="M139" i="1"/>
  <c r="V138" i="1"/>
  <c r="U138" i="1"/>
  <c r="T138" i="1"/>
  <c r="S138" i="1"/>
  <c r="R138" i="1"/>
  <c r="V137" i="1"/>
  <c r="U137" i="1"/>
  <c r="T137" i="1"/>
  <c r="S137" i="1"/>
  <c r="R137" i="1"/>
  <c r="V134" i="1"/>
  <c r="U134" i="1"/>
  <c r="T134" i="1"/>
  <c r="S134" i="1"/>
  <c r="R134" i="1"/>
  <c r="V133" i="1"/>
  <c r="U133" i="1"/>
  <c r="T133" i="1"/>
  <c r="S133" i="1"/>
  <c r="R133" i="1"/>
  <c r="V132" i="1"/>
  <c r="U132" i="1"/>
  <c r="T132" i="1"/>
  <c r="R132" i="1"/>
  <c r="V131" i="1"/>
  <c r="U131" i="1"/>
  <c r="T131" i="1"/>
  <c r="S131" i="1"/>
  <c r="R131" i="1"/>
  <c r="V130" i="1"/>
  <c r="U130" i="1"/>
  <c r="T130" i="1"/>
  <c r="S130" i="1"/>
  <c r="R130" i="1"/>
  <c r="V129" i="1"/>
  <c r="U129" i="1"/>
  <c r="T129" i="1"/>
  <c r="S129" i="1"/>
  <c r="M129" i="1"/>
  <c r="V128" i="1"/>
  <c r="U128" i="1"/>
  <c r="T128" i="1"/>
  <c r="V127" i="1"/>
  <c r="U127" i="1"/>
  <c r="T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V119" i="1"/>
  <c r="U119" i="1"/>
  <c r="T119" i="1"/>
  <c r="N119" i="1"/>
  <c r="S119" i="1" s="1"/>
  <c r="M119" i="1"/>
  <c r="V118" i="1"/>
  <c r="U118" i="1"/>
  <c r="T118" i="1"/>
  <c r="S118" i="1"/>
  <c r="V114" i="1"/>
  <c r="U114" i="1"/>
  <c r="S114" i="1"/>
  <c r="O114" i="1"/>
  <c r="K114" i="1"/>
  <c r="L113" i="1" s="1"/>
  <c r="H114" i="1"/>
  <c r="D114" i="1"/>
  <c r="B15" i="2" s="1"/>
  <c r="B5" i="2" s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2" i="1"/>
  <c r="U72" i="1"/>
  <c r="S72" i="1"/>
  <c r="O72" i="1"/>
  <c r="K72" i="1"/>
  <c r="H72" i="1"/>
  <c r="D72" i="1"/>
  <c r="B14" i="2" s="1"/>
  <c r="B4" i="2" s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K26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64" i="1" l="1"/>
  <c r="L57" i="1"/>
  <c r="F12" i="4"/>
  <c r="L70" i="1"/>
  <c r="L39" i="1"/>
  <c r="E35" i="1"/>
  <c r="E24" i="1"/>
  <c r="E9" i="1"/>
  <c r="L78" i="1"/>
  <c r="L12" i="1"/>
  <c r="L24" i="1"/>
  <c r="E7" i="1"/>
  <c r="E11" i="1"/>
  <c r="E15" i="1"/>
  <c r="L30" i="1"/>
  <c r="E99" i="1"/>
  <c r="L213" i="1"/>
  <c r="E112" i="1"/>
  <c r="E21" i="1"/>
  <c r="E19" i="1"/>
  <c r="T197" i="1"/>
  <c r="E17" i="1"/>
  <c r="E98" i="1"/>
  <c r="E176" i="1"/>
  <c r="E174" i="1"/>
  <c r="E172" i="1"/>
  <c r="E170" i="1"/>
  <c r="L94" i="1"/>
  <c r="L99" i="1"/>
  <c r="L163" i="1"/>
  <c r="L190" i="1"/>
  <c r="L180" i="1"/>
  <c r="L71" i="1"/>
  <c r="L45" i="1"/>
  <c r="E242" i="1"/>
  <c r="E94" i="1"/>
  <c r="E96" i="1"/>
  <c r="E92" i="1"/>
  <c r="E76" i="1"/>
  <c r="E90" i="1"/>
  <c r="E88" i="1"/>
  <c r="E100" i="1"/>
  <c r="B18" i="2"/>
  <c r="B8" i="2" s="1"/>
  <c r="E190" i="1"/>
  <c r="E161" i="1"/>
  <c r="E159" i="1"/>
  <c r="E58" i="1"/>
  <c r="E60" i="1"/>
  <c r="E66" i="1"/>
  <c r="E162" i="1"/>
  <c r="E164" i="1"/>
  <c r="E86" i="1"/>
  <c r="E110" i="1"/>
  <c r="E84" i="1"/>
  <c r="E108" i="1"/>
  <c r="E64" i="1"/>
  <c r="E82" i="1"/>
  <c r="E106" i="1"/>
  <c r="L59" i="1"/>
  <c r="L61" i="1"/>
  <c r="L63" i="1"/>
  <c r="L65" i="1"/>
  <c r="L67" i="1"/>
  <c r="E80" i="1"/>
  <c r="E104" i="1"/>
  <c r="E62" i="1"/>
  <c r="E78" i="1"/>
  <c r="E102" i="1"/>
  <c r="E68" i="1"/>
  <c r="L69" i="1"/>
  <c r="E70" i="1"/>
  <c r="B4" i="3"/>
  <c r="L77" i="1"/>
  <c r="L68" i="1"/>
  <c r="L32" i="1"/>
  <c r="B20" i="2"/>
  <c r="B10" i="2" s="1"/>
  <c r="E236" i="1"/>
  <c r="T202" i="1"/>
  <c r="E226" i="1"/>
  <c r="E201" i="1"/>
  <c r="E51" i="1"/>
  <c r="E178" i="1"/>
  <c r="E163" i="1"/>
  <c r="E23" i="1"/>
  <c r="D12" i="4"/>
  <c r="T230" i="1"/>
  <c r="L85" i="1"/>
  <c r="E52" i="1"/>
  <c r="L53" i="1"/>
  <c r="E54" i="1"/>
  <c r="L55" i="1"/>
  <c r="E56" i="1"/>
  <c r="L22" i="1"/>
  <c r="L35" i="1"/>
  <c r="B5" i="3"/>
  <c r="L178" i="1"/>
  <c r="E154" i="1"/>
  <c r="K156" i="1"/>
  <c r="B8" i="3" s="1"/>
  <c r="T259" i="1"/>
  <c r="R259" i="1"/>
  <c r="E248" i="1"/>
  <c r="E250" i="1"/>
  <c r="E252" i="1"/>
  <c r="E254" i="1"/>
  <c r="E258" i="1"/>
  <c r="E256" i="1"/>
  <c r="E247" i="1"/>
  <c r="E249" i="1"/>
  <c r="E251" i="1"/>
  <c r="E253" i="1"/>
  <c r="E255" i="1"/>
  <c r="R244" i="1"/>
  <c r="E212" i="1"/>
  <c r="E210" i="1"/>
  <c r="E206" i="1"/>
  <c r="E228" i="1"/>
  <c r="E222" i="1"/>
  <c r="E220" i="1"/>
  <c r="E218" i="1"/>
  <c r="E216" i="1"/>
  <c r="E200" i="1"/>
  <c r="E195" i="1"/>
  <c r="E193" i="1"/>
  <c r="E191" i="1"/>
  <c r="E188" i="1"/>
  <c r="E186" i="1"/>
  <c r="E169" i="1"/>
  <c r="E171" i="1"/>
  <c r="E184" i="1"/>
  <c r="E182" i="1"/>
  <c r="E180" i="1"/>
  <c r="T165" i="1"/>
  <c r="T156" i="1"/>
  <c r="E130" i="1"/>
  <c r="E145" i="1"/>
  <c r="E147" i="1"/>
  <c r="E118" i="1"/>
  <c r="E120" i="1"/>
  <c r="E128" i="1"/>
  <c r="E126" i="1"/>
  <c r="E134" i="1"/>
  <c r="E151" i="1"/>
  <c r="E122" i="1"/>
  <c r="E138" i="1"/>
  <c r="E140" i="1"/>
  <c r="E142" i="1"/>
  <c r="E153" i="1"/>
  <c r="E144" i="1"/>
  <c r="E129" i="1"/>
  <c r="E146" i="1"/>
  <c r="E155" i="1"/>
  <c r="E119" i="1"/>
  <c r="E131" i="1"/>
  <c r="E148" i="1"/>
  <c r="E121" i="1"/>
  <c r="E125" i="1"/>
  <c r="E127" i="1"/>
  <c r="E133" i="1"/>
  <c r="E150" i="1"/>
  <c r="E152" i="1"/>
  <c r="E132" i="1"/>
  <c r="E149" i="1"/>
  <c r="E123" i="1"/>
  <c r="E137" i="1"/>
  <c r="E139" i="1"/>
  <c r="E143" i="1"/>
  <c r="H231" i="1"/>
  <c r="H260" i="1" s="1"/>
  <c r="T114" i="1"/>
  <c r="R114" i="1"/>
  <c r="E81" i="1"/>
  <c r="E83" i="1"/>
  <c r="E85" i="1"/>
  <c r="E101" i="1"/>
  <c r="E103" i="1"/>
  <c r="E105" i="1"/>
  <c r="E107" i="1"/>
  <c r="E109" i="1"/>
  <c r="E111" i="1"/>
  <c r="E113" i="1"/>
  <c r="E75" i="1"/>
  <c r="E77" i="1"/>
  <c r="E87" i="1"/>
  <c r="E89" i="1"/>
  <c r="E91" i="1"/>
  <c r="E93" i="1"/>
  <c r="E95" i="1"/>
  <c r="E97" i="1"/>
  <c r="T72" i="1"/>
  <c r="E6" i="1"/>
  <c r="E8" i="1"/>
  <c r="E10" i="1"/>
  <c r="E12" i="1"/>
  <c r="E14" i="1"/>
  <c r="E16" i="1"/>
  <c r="E18" i="1"/>
  <c r="E22" i="1"/>
  <c r="E25" i="1"/>
  <c r="E20" i="1"/>
  <c r="J12" i="4"/>
  <c r="D4" i="5"/>
  <c r="D3" i="5" s="1"/>
  <c r="H12" i="4"/>
  <c r="L37" i="1"/>
  <c r="L206" i="1"/>
  <c r="L207" i="1"/>
  <c r="L212" i="1"/>
  <c r="L214" i="1"/>
  <c r="L215" i="1"/>
  <c r="L218" i="1"/>
  <c r="L219" i="1"/>
  <c r="L222" i="1"/>
  <c r="L223" i="1"/>
  <c r="L228" i="1"/>
  <c r="L229" i="1"/>
  <c r="L93" i="1"/>
  <c r="L105" i="1"/>
  <c r="L75" i="1"/>
  <c r="L81" i="1"/>
  <c r="L89" i="1"/>
  <c r="L97" i="1"/>
  <c r="L101" i="1"/>
  <c r="L109" i="1"/>
  <c r="L79" i="1"/>
  <c r="L83" i="1"/>
  <c r="L87" i="1"/>
  <c r="L91" i="1"/>
  <c r="L95" i="1"/>
  <c r="L103" i="1"/>
  <c r="L107" i="1"/>
  <c r="L111" i="1"/>
  <c r="L171" i="1"/>
  <c r="L174" i="1"/>
  <c r="L175" i="1"/>
  <c r="L179" i="1"/>
  <c r="L182" i="1"/>
  <c r="L183" i="1"/>
  <c r="L186" i="1"/>
  <c r="L187" i="1"/>
  <c r="L191" i="1"/>
  <c r="L192" i="1"/>
  <c r="L195" i="1"/>
  <c r="L196" i="1"/>
  <c r="L169" i="1"/>
  <c r="L250" i="1"/>
  <c r="L254" i="1"/>
  <c r="L248" i="1"/>
  <c r="L252" i="1"/>
  <c r="L256" i="1"/>
  <c r="L247" i="1"/>
  <c r="L249" i="1"/>
  <c r="L251" i="1"/>
  <c r="L253" i="1"/>
  <c r="L255" i="1"/>
  <c r="L257" i="1"/>
  <c r="L51" i="1"/>
  <c r="L168" i="1"/>
  <c r="L170" i="1"/>
  <c r="L172" i="1"/>
  <c r="L173" i="1"/>
  <c r="L176" i="1"/>
  <c r="L177" i="1"/>
  <c r="L181" i="1"/>
  <c r="L184" i="1"/>
  <c r="L185" i="1"/>
  <c r="L188" i="1"/>
  <c r="L189" i="1"/>
  <c r="L193" i="1"/>
  <c r="L194" i="1"/>
  <c r="E29" i="1"/>
  <c r="E31" i="1"/>
  <c r="E33" i="1"/>
  <c r="L34" i="1"/>
  <c r="L23" i="1"/>
  <c r="L10" i="1"/>
  <c r="L6" i="1"/>
  <c r="L14" i="1"/>
  <c r="L8" i="1"/>
  <c r="L16" i="1"/>
  <c r="L7" i="1"/>
  <c r="L9" i="1"/>
  <c r="L11" i="1"/>
  <c r="L13" i="1"/>
  <c r="L15" i="1"/>
  <c r="L19" i="1"/>
  <c r="L17" i="1"/>
  <c r="L21" i="1"/>
  <c r="L76" i="1"/>
  <c r="E79" i="1"/>
  <c r="L80" i="1"/>
  <c r="L82" i="1"/>
  <c r="L84" i="1"/>
  <c r="L86" i="1"/>
  <c r="L88" i="1"/>
  <c r="L90" i="1"/>
  <c r="L92" i="1"/>
  <c r="L96" i="1"/>
  <c r="L98" i="1"/>
  <c r="L100" i="1"/>
  <c r="L102" i="1"/>
  <c r="L104" i="1"/>
  <c r="L106" i="1"/>
  <c r="L108" i="1"/>
  <c r="L110" i="1"/>
  <c r="L112" i="1"/>
  <c r="L36" i="1"/>
  <c r="E37" i="1"/>
  <c r="L38" i="1"/>
  <c r="E39" i="1"/>
  <c r="L40" i="1"/>
  <c r="L41" i="1"/>
  <c r="E42" i="1"/>
  <c r="L43" i="1"/>
  <c r="E44" i="1"/>
  <c r="E46" i="1"/>
  <c r="L47" i="1"/>
  <c r="E48" i="1"/>
  <c r="L49" i="1"/>
  <c r="E50" i="1"/>
  <c r="O231" i="1"/>
  <c r="O260" i="1" s="1"/>
  <c r="L210" i="1"/>
  <c r="L211" i="1"/>
  <c r="L216" i="1"/>
  <c r="L217" i="1"/>
  <c r="L220" i="1"/>
  <c r="L18" i="1"/>
  <c r="L20" i="1"/>
  <c r="L29" i="1"/>
  <c r="E30" i="1"/>
  <c r="L31" i="1"/>
  <c r="E32" i="1"/>
  <c r="L33" i="1"/>
  <c r="E34" i="1"/>
  <c r="E36" i="1"/>
  <c r="E38" i="1"/>
  <c r="E40" i="1"/>
  <c r="L42" i="1"/>
  <c r="E43" i="1"/>
  <c r="L44" i="1"/>
  <c r="E45" i="1"/>
  <c r="L46" i="1"/>
  <c r="E47" i="1"/>
  <c r="L48" i="1"/>
  <c r="E49" i="1"/>
  <c r="L50" i="1"/>
  <c r="L52" i="1"/>
  <c r="E53" i="1"/>
  <c r="L54" i="1"/>
  <c r="E55" i="1"/>
  <c r="L56" i="1"/>
  <c r="E57" i="1"/>
  <c r="L58" i="1"/>
  <c r="E59" i="1"/>
  <c r="L60" i="1"/>
  <c r="E61" i="1"/>
  <c r="L62" i="1"/>
  <c r="E63" i="1"/>
  <c r="E65" i="1"/>
  <c r="L66" i="1"/>
  <c r="E67" i="1"/>
  <c r="E69" i="1"/>
  <c r="E71" i="1"/>
  <c r="B3" i="3"/>
  <c r="C13" i="2"/>
  <c r="C3" i="2" s="1"/>
  <c r="R72" i="1"/>
  <c r="R118" i="1"/>
  <c r="R119" i="1"/>
  <c r="R120" i="1"/>
  <c r="R127" i="1"/>
  <c r="R128" i="1"/>
  <c r="R129" i="1"/>
  <c r="R153" i="1"/>
  <c r="B6" i="3"/>
  <c r="C17" i="2"/>
  <c r="C7" i="2" s="1"/>
  <c r="R165" i="1"/>
  <c r="L164" i="1"/>
  <c r="L162" i="1"/>
  <c r="L160" i="1"/>
  <c r="L159" i="1"/>
  <c r="L237" i="1"/>
  <c r="L234" i="1"/>
  <c r="R239" i="1"/>
  <c r="L238" i="1"/>
  <c r="L235" i="1"/>
  <c r="L25" i="1"/>
  <c r="B13" i="2"/>
  <c r="B3" i="2" s="1"/>
  <c r="D231" i="1"/>
  <c r="E230" i="1" s="1"/>
  <c r="R26" i="1"/>
  <c r="T26" i="1"/>
  <c r="B9" i="3"/>
  <c r="C14" i="2"/>
  <c r="C4" i="2" s="1"/>
  <c r="B7" i="3"/>
  <c r="C15" i="2"/>
  <c r="C5" i="2" s="1"/>
  <c r="L140" i="1"/>
  <c r="E141" i="1"/>
  <c r="L141" i="1"/>
  <c r="E173" i="1"/>
  <c r="E175" i="1"/>
  <c r="E177" i="1"/>
  <c r="E179" i="1"/>
  <c r="E181" i="1"/>
  <c r="E183" i="1"/>
  <c r="E185" i="1"/>
  <c r="E187" i="1"/>
  <c r="E189" i="1"/>
  <c r="E192" i="1"/>
  <c r="E194" i="1"/>
  <c r="E196" i="1"/>
  <c r="L201" i="1"/>
  <c r="R202" i="1"/>
  <c r="E207" i="1"/>
  <c r="E211" i="1"/>
  <c r="E214" i="1"/>
  <c r="E217" i="1"/>
  <c r="E219" i="1"/>
  <c r="E221" i="1"/>
  <c r="E223" i="1"/>
  <c r="L226" i="1"/>
  <c r="E227" i="1"/>
  <c r="E229" i="1"/>
  <c r="R234" i="1"/>
  <c r="L236" i="1"/>
  <c r="E237" i="1"/>
  <c r="L242" i="1"/>
  <c r="C18" i="2"/>
  <c r="C8" i="2" s="1"/>
  <c r="C19" i="2"/>
  <c r="C9" i="2" s="1"/>
  <c r="C20" i="2"/>
  <c r="C10" i="2" s="1"/>
  <c r="C12" i="4"/>
  <c r="E12" i="4"/>
  <c r="G12" i="4"/>
  <c r="I12" i="4"/>
  <c r="R197" i="1"/>
  <c r="L227" i="1"/>
  <c r="R230" i="1"/>
  <c r="E234" i="1"/>
  <c r="E235" i="1"/>
  <c r="E238" i="1"/>
  <c r="L143" i="1" l="1"/>
  <c r="L125" i="1"/>
  <c r="L131" i="1"/>
  <c r="L120" i="1"/>
  <c r="L145" i="1"/>
  <c r="L129" i="1"/>
  <c r="L122" i="1"/>
  <c r="L137" i="1"/>
  <c r="L152" i="1"/>
  <c r="L155" i="1"/>
  <c r="L149" i="1"/>
  <c r="K231" i="1"/>
  <c r="L156" i="1" s="1"/>
  <c r="L119" i="1"/>
  <c r="L147" i="1"/>
  <c r="L126" i="1"/>
  <c r="L133" i="1"/>
  <c r="L139" i="1"/>
  <c r="L150" i="1"/>
  <c r="C16" i="2"/>
  <c r="C6" i="2" s="1"/>
  <c r="L154" i="1"/>
  <c r="L118" i="1"/>
  <c r="L148" i="1"/>
  <c r="L124" i="1"/>
  <c r="L153" i="1"/>
  <c r="L127" i="1"/>
  <c r="L128" i="1"/>
  <c r="L142" i="1"/>
  <c r="L121" i="1"/>
  <c r="L123" i="1"/>
  <c r="L130" i="1"/>
  <c r="L132" i="1"/>
  <c r="L134" i="1"/>
  <c r="L138" i="1"/>
  <c r="L144" i="1"/>
  <c r="L146" i="1"/>
  <c r="L151" i="1"/>
  <c r="R156" i="1"/>
  <c r="E197" i="1"/>
  <c r="E114" i="1"/>
  <c r="D260" i="1"/>
  <c r="E202" i="1"/>
  <c r="E156" i="1"/>
  <c r="E165" i="1"/>
  <c r="E26" i="1"/>
  <c r="E72" i="1"/>
  <c r="L202" i="1" l="1"/>
  <c r="R231" i="1"/>
  <c r="L72" i="1"/>
  <c r="L230" i="1"/>
  <c r="L165" i="1"/>
  <c r="L197" i="1"/>
  <c r="K260" i="1"/>
  <c r="L114" i="1"/>
  <c r="L26" i="1"/>
</calcChain>
</file>

<file path=xl/sharedStrings.xml><?xml version="1.0" encoding="utf-8"?>
<sst xmlns="http://schemas.openxmlformats.org/spreadsheetml/2006/main" count="531" uniqueCount="337">
  <si>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</si>
  <si>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</si>
  <si>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</si>
  <si>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</si>
  <si>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</si>
  <si>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</si>
  <si>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</si>
  <si>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</si>
  <si>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</si>
  <si>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</si>
  <si>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</si>
  <si>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</si>
  <si>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</si>
  <si>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</si>
  <si>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</si>
  <si>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</si>
  <si>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</si>
  <si>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</si>
  <si>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</si>
  <si>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</si>
  <si>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</si>
  <si>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</si>
  <si>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</si>
  <si>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</si>
  <si>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</si>
  <si>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</si>
  <si>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</si>
  <si>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</si>
  <si>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</si>
  <si>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</si>
  <si>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</si>
  <si>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</si>
  <si>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</si>
  <si>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</si>
  <si>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</si>
  <si>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</si>
  <si>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</si>
  <si>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</si>
  <si>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</si>
  <si>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</si>
  <si>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</si>
  <si>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</si>
  <si>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</si>
  <si>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</si>
  <si>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</si>
  <si>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</si>
  <si>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</si>
  <si>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</si>
  <si>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</si>
  <si>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</si>
  <si>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</si>
  <si>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</si>
  <si>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</si>
  <si>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</si>
  <si>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</si>
  <si>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</si>
  <si>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</si>
  <si>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</si>
  <si>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</si>
  <si>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</si>
  <si>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</si>
  <si>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</si>
  <si>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</si>
  <si>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</si>
  <si>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</si>
  <si>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</si>
  <si>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</si>
  <si>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</si>
  <si>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</si>
  <si>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</si>
  <si>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</si>
  <si>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</si>
  <si>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</si>
  <si>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</si>
  <si>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</si>
  <si>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</si>
  <si>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</si>
  <si>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</si>
  <si>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</si>
  <si>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</si>
  <si>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</si>
  <si>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</si>
  <si>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</si>
  <si>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</si>
  <si>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</si>
  <si>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</si>
  <si>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</si>
  <si>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</si>
  <si>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</si>
  <si>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</si>
  <si>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</si>
  <si>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</si>
  <si>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</si>
  <si>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</si>
  <si>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</si>
  <si>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</si>
  <si>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</si>
  <si>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</si>
  <si>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</si>
  <si>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</si>
  <si>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</si>
  <si>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</si>
  <si>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</si>
  <si>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</si>
  <si>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</si>
  <si>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</si>
  <si>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</si>
  <si>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</si>
  <si>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</si>
  <si>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</si>
  <si>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</si>
  <si>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</si>
  <si>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</si>
  <si>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</si>
  <si>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RT Briscoe Savings &amp; Investment Fund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</si>
  <si>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</si>
  <si>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</si>
  <si>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</si>
  <si>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</si>
  <si>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</si>
  <si>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</si>
  <si>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</si>
  <si>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</si>
  <si>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</si>
  <si>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</si>
  <si>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</si>
  <si>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</si>
  <si>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</si>
  <si>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</si>
  <si>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</si>
  <si>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</si>
  <si>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</si>
  <si>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</si>
  <si>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</si>
  <si>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</si>
  <si>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</si>
  <si>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</si>
  <si>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</si>
  <si>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</si>
  <si>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</si>
  <si>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</si>
  <si>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</si>
  <si>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</si>
  <si>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</si>
  <si>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</si>
  <si>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</si>
  <si>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</si>
  <si>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</si>
  <si>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</si>
  <si>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</si>
  <si>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</si>
  <si>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</si>
  <si>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</si>
  <si>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</si>
  <si>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</si>
  <si>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</si>
  <si>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</si>
  <si>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</si>
  <si>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</si>
  <si>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</si>
  <si>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</si>
  <si>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</si>
  <si>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</si>
  <si>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</si>
  <si>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</si>
  <si>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</si>
  <si>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</si>
  <si>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</si>
  <si>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</si>
  <si>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</si>
  <si>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</si>
  <si>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</si>
  <si>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</si>
  <si>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</si>
  <si>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</si>
  <si>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</si>
  <si>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</si>
  <si>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</si>
  <si>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</si>
  <si>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</si>
  <si>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</si>
  <si>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</si>
  <si>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</si>
  <si>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</si>
  <si>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</si>
  <si>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</si>
  <si>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</si>
  <si>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</si>
  <si>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</si>
  <si>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</si>
  <si>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</si>
  <si>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</si>
  <si>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</si>
  <si>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</si>
  <si>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</si>
  <si>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</si>
  <si>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</si>
  <si>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</si>
  <si>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</si>
  <si>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</si>
  <si>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</si>
  <si>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</si>
  <si>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</si>
  <si>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</si>
  <si>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Meristem Dollar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</si>
  <si>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</si>
  <si>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</si>
  <si>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</si>
  <si>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</si>
  <si>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</si>
  <si>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</si>
  <si>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</si>
  <si>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</si>
  <si>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</si>
  <si>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</si>
  <si>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</si>
  <si>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</si>
  <si>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</si>
  <si>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</si>
  <si>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</si>
  <si>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</si>
  <si>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</si>
  <si>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</si>
  <si>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</si>
  <si>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</si>
  <si>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</si>
  <si>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</si>
  <si>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</si>
  <si>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</si>
  <si>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</si>
  <si>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</si>
  <si>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</si>
  <si>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</si>
  <si>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</si>
  <si>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</si>
  <si>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</si>
  <si>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</si>
  <si>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</si>
  <si>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</si>
  <si>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</si>
  <si>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</si>
  <si>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</si>
  <si>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</si>
  <si>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</si>
  <si>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</si>
  <si>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</si>
  <si>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</si>
  <si>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</si>
  <si>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</si>
  <si>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</si>
  <si>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</si>
  <si>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</si>
  <si>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</si>
  <si>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</si>
  <si>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</si>
  <si>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</si>
  <si>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</si>
  <si>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</si>
  <si>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</si>
  <si>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</si>
  <si>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</si>
  <si>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</si>
  <si>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</si>
  <si>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</si>
  <si>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</si>
  <si>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</si>
  <si>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</si>
  <si>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</si>
  <si>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</si>
  <si>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</si>
  <si>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</si>
  <si>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</si>
  <si>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</si>
  <si>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</si>
  <si>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</si>
  <si>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</si>
  <si>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</si>
  <si>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</si>
  <si>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</si>
  <si>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</si>
  <si>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</si>
  <si>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</si>
  <si>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</si>
  <si>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</si>
  <si>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</si>
  <si>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</si>
  <si>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</si>
  <si>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</si>
  <si>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</si>
  <si>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</si>
  <si>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</si>
  <si>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</si>
  <si>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</si>
  <si>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</si>
  <si>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</si>
  <si>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</si>
  <si>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</si>
  <si>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</si>
  <si>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</si>
  <si>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</si>
  <si>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</si>
  <si>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</si>
  <si>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</si>
  <si>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</si>
  <si>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</si>
  <si>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</si>
  <si>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</si>
  <si>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</si>
  <si>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</si>
  <si>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</si>
  <si>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</si>
  <si>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</si>
  <si>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</si>
  <si>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</si>
  <si>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</si>
  <si>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</si>
  <si>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</si>
  <si>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</si>
  <si>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</si>
  <si>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</si>
  <si>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</si>
  <si>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</si>
  <si>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</si>
  <si>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</si>
  <si>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</si>
  <si>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</si>
  <si>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</si>
  <si>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</si>
  <si>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</si>
  <si>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</si>
  <si>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</si>
  <si>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NAV, Unit Price and Yield as at Week Ended December 12, 2025</t>
  </si>
  <si>
    <t>Week Ended December 12, 2025</t>
  </si>
  <si>
    <t>WEEKLY VALUATION REPORT OF COLLECTIVE INVESTMENT SCHEMES AS AT WEEK ENDED FRIDAY, DECEMBER 19, 2025</t>
  </si>
  <si>
    <t>NAV, Unit Price and Yield as at Week Ended December 19, 2025</t>
  </si>
  <si>
    <t>NFEM RATE NG₦/US$ as at 19th December, 2025 = N1464.4974</t>
  </si>
  <si>
    <t>Week Ended December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</si>
</sst>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charset val="134"/>
      <scheme val="minor"/>
    </font>
    <font>
      <sz val="1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43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164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5" fillId="21" borderId="0" applyNumberFormat="0" applyBorder="0" applyAlignment="0" applyProtection="0"/>
    <xf numFmtId="0" fontId="46" fillId="0" borderId="0"/>
    <xf numFmtId="0" fontId="43" fillId="0" borderId="0"/>
    <xf numFmtId="0" fontId="43" fillId="0" borderId="0"/>
    <xf numFmtId="0" fontId="4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200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43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164" fontId="6" fillId="3" borderId="1" xfId="0" applyNumberFormat="1" applyFont="1" applyFill="1" applyBorder="1"/>
    <xf numFmtId="0" fontId="5" fillId="0" borderId="0" xfId="0" applyFont="1"/>
    <xf numFmtId="43" fontId="5" fillId="0" borderId="0" xfId="1" applyFont="1"/>
    <xf numFmtId="0" fontId="2" fillId="4" borderId="1" xfId="0" applyFont="1" applyFill="1" applyBorder="1" applyAlignment="1">
      <alignment horizontal="right"/>
    </xf>
    <xf numFmtId="164" fontId="2" fillId="4" borderId="1" xfId="0" applyNumberFormat="1" applyFont="1" applyFill="1" applyBorder="1"/>
    <xf numFmtId="43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43" fontId="4" fillId="0" borderId="1" xfId="1" applyFont="1" applyBorder="1"/>
    <xf numFmtId="43" fontId="7" fillId="0" borderId="0" xfId="1" applyFont="1"/>
    <xf numFmtId="164" fontId="7" fillId="0" borderId="0" xfId="0" applyNumberFormat="1" applyFont="1"/>
    <xf numFmtId="0" fontId="9" fillId="0" borderId="0" xfId="0" applyFont="1"/>
    <xf numFmtId="0" fontId="10" fillId="0" borderId="0" xfId="0" applyFont="1"/>
    <xf numFmtId="16" fontId="11" fillId="2" borderId="0" xfId="0" applyNumberFormat="1" applyFont="1" applyFill="1"/>
    <xf numFmtId="43" fontId="12" fillId="0" borderId="0" xfId="1" applyFont="1"/>
    <xf numFmtId="164" fontId="12" fillId="0" borderId="0" xfId="0" applyNumberFormat="1" applyFont="1"/>
    <xf numFmtId="4" fontId="12" fillId="0" borderId="0" xfId="0" applyNumberFormat="1" applyFont="1"/>
    <xf numFmtId="0" fontId="13" fillId="2" borderId="0" xfId="0" applyFont="1" applyFill="1" applyAlignment="1">
      <alignment horizontal="right"/>
    </xf>
    <xf numFmtId="16" fontId="14" fillId="2" borderId="0" xfId="0" applyNumberFormat="1" applyFont="1" applyFill="1"/>
    <xf numFmtId="0" fontId="9" fillId="2" borderId="0" xfId="0" applyFont="1" applyFill="1"/>
    <xf numFmtId="0" fontId="14" fillId="2" borderId="0" xfId="0" applyFont="1" applyFill="1" applyAlignment="1">
      <alignment horizontal="right"/>
    </xf>
    <xf numFmtId="4" fontId="15" fillId="2" borderId="0" xfId="0" applyNumberFormat="1" applyFont="1" applyFill="1"/>
    <xf numFmtId="43" fontId="15" fillId="2" borderId="0" xfId="1" applyFont="1" applyFill="1" applyBorder="1" applyAlignment="1">
      <alignment horizontal="right" vertical="top" wrapText="1"/>
    </xf>
    <xf numFmtId="4" fontId="15" fillId="2" borderId="0" xfId="0" applyNumberFormat="1" applyFont="1" applyFill="1" applyAlignment="1">
      <alignment horizontal="right"/>
    </xf>
    <xf numFmtId="43" fontId="9" fillId="2" borderId="0" xfId="1" applyFont="1" applyFill="1" applyBorder="1"/>
    <xf numFmtId="0" fontId="14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17" fillId="0" borderId="0" xfId="0" applyFont="1" applyAlignment="1">
      <alignment horizontal="right"/>
    </xf>
    <xf numFmtId="16" fontId="17" fillId="2" borderId="0" xfId="0" applyNumberFormat="1" applyFont="1" applyFill="1" applyAlignment="1">
      <alignment horizontal="center" wrapText="1"/>
    </xf>
    <xf numFmtId="0" fontId="17" fillId="0" borderId="0" xfId="0" applyFont="1" applyAlignment="1">
      <alignment horizontal="right" wrapText="1"/>
    </xf>
    <xf numFmtId="4" fontId="18" fillId="2" borderId="0" xfId="0" applyNumberFormat="1" applyFont="1" applyFill="1"/>
    <xf numFmtId="4" fontId="18" fillId="2" borderId="0" xfId="0" applyNumberFormat="1" applyFont="1" applyFill="1" applyAlignment="1">
      <alignment horizontal="right"/>
    </xf>
    <xf numFmtId="43" fontId="18" fillId="2" borderId="0" xfId="1" applyFont="1" applyFill="1" applyBorder="1" applyAlignment="1">
      <alignment horizontal="right" vertical="top" wrapText="1"/>
    </xf>
    <xf numFmtId="0" fontId="19" fillId="0" borderId="0" xfId="0" applyFont="1" applyAlignment="1">
      <alignment horizontal="right" wrapText="1"/>
    </xf>
    <xf numFmtId="43" fontId="20" fillId="0" borderId="0" xfId="1" applyFont="1" applyBorder="1"/>
    <xf numFmtId="4" fontId="20" fillId="2" borderId="0" xfId="0" applyNumberFormat="1" applyFont="1" applyFill="1"/>
    <xf numFmtId="0" fontId="19" fillId="0" borderId="0" xfId="0" applyFont="1" applyAlignment="1">
      <alignment horizontal="right"/>
    </xf>
    <xf numFmtId="4" fontId="20" fillId="2" borderId="0" xfId="0" applyNumberFormat="1" applyFont="1" applyFill="1" applyAlignment="1">
      <alignment horizontal="right"/>
    </xf>
    <xf numFmtId="43" fontId="20" fillId="2" borderId="0" xfId="1" applyFont="1" applyFill="1" applyBorder="1" applyAlignment="1">
      <alignment horizontal="right" vertical="top" wrapText="1"/>
    </xf>
    <xf numFmtId="0" fontId="5" fillId="6" borderId="1" xfId="0" applyFont="1" applyFill="1" applyBorder="1"/>
    <xf numFmtId="0" fontId="22" fillId="7" borderId="1" xfId="0" applyFont="1" applyFill="1" applyBorder="1"/>
    <xf numFmtId="0" fontId="23" fillId="7" borderId="1" xfId="0" applyFont="1" applyFill="1" applyBorder="1"/>
    <xf numFmtId="0" fontId="24" fillId="3" borderId="1" xfId="0" applyFont="1" applyFill="1" applyBorder="1" applyAlignment="1">
      <alignment horizontal="center" vertical="top" wrapText="1"/>
    </xf>
    <xf numFmtId="0" fontId="24" fillId="3" borderId="1" xfId="0" applyFont="1" applyFill="1" applyBorder="1" applyAlignment="1">
      <alignment vertical="top" wrapText="1"/>
    </xf>
    <xf numFmtId="0" fontId="22" fillId="3" borderId="1" xfId="0" applyFont="1" applyFill="1" applyBorder="1" applyAlignment="1">
      <alignment vertical="top" wrapText="1"/>
    </xf>
    <xf numFmtId="0" fontId="22" fillId="3" borderId="1" xfId="0" applyFont="1" applyFill="1" applyBorder="1" applyAlignment="1">
      <alignment horizontal="center" vertical="top"/>
    </xf>
    <xf numFmtId="0" fontId="22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7" fillId="2" borderId="1" xfId="0" applyNumberFormat="1" applyFont="1" applyFill="1" applyBorder="1"/>
    <xf numFmtId="10" fontId="27" fillId="7" borderId="1" xfId="2" applyNumberFormat="1" applyFont="1" applyFill="1" applyBorder="1" applyAlignment="1">
      <alignment horizontal="center"/>
    </xf>
    <xf numFmtId="43" fontId="27" fillId="9" borderId="1" xfId="1" applyFont="1" applyFill="1" applyBorder="1" applyAlignment="1">
      <alignment horizontal="center"/>
    </xf>
    <xf numFmtId="0" fontId="28" fillId="0" borderId="0" xfId="0" applyFont="1"/>
    <xf numFmtId="43" fontId="25" fillId="9" borderId="1" xfId="1" applyFont="1" applyFill="1" applyBorder="1" applyAlignment="1">
      <alignment horizontal="center"/>
    </xf>
    <xf numFmtId="43" fontId="27" fillId="2" borderId="1" xfId="1" applyFont="1" applyFill="1" applyBorder="1"/>
    <xf numFmtId="43" fontId="27" fillId="2" borderId="1" xfId="10" applyFont="1" applyFill="1" applyBorder="1"/>
    <xf numFmtId="4" fontId="28" fillId="0" borderId="0" xfId="0" applyNumberFormat="1" applyFont="1"/>
    <xf numFmtId="4" fontId="27" fillId="2" borderId="1" xfId="0" applyNumberFormat="1" applyFont="1" applyFill="1" applyBorder="1" applyAlignment="1">
      <alignment horizontal="right"/>
    </xf>
    <xf numFmtId="0" fontId="25" fillId="0" borderId="1" xfId="0" applyFont="1" applyBorder="1"/>
    <xf numFmtId="0" fontId="25" fillId="2" borderId="1" xfId="0" applyFont="1" applyFill="1" applyBorder="1"/>
    <xf numFmtId="0" fontId="24" fillId="2" borderId="1" xfId="0" applyFont="1" applyFill="1" applyBorder="1" applyAlignment="1">
      <alignment horizontal="right"/>
    </xf>
    <xf numFmtId="43" fontId="24" fillId="2" borderId="1" xfId="1" applyFont="1" applyFill="1" applyBorder="1" applyAlignment="1">
      <alignment horizontal="right" vertical="top" wrapText="1"/>
    </xf>
    <xf numFmtId="10" fontId="30" fillId="7" borderId="1" xfId="2" applyNumberFormat="1" applyFont="1" applyFill="1" applyBorder="1" applyAlignment="1">
      <alignment horizontal="center" vertical="top" wrapText="1"/>
    </xf>
    <xf numFmtId="10" fontId="27" fillId="2" borderId="1" xfId="2" applyNumberFormat="1" applyFont="1" applyFill="1" applyBorder="1" applyAlignment="1">
      <alignment horizontal="center" vertical="top" wrapText="1"/>
    </xf>
    <xf numFmtId="4" fontId="27" fillId="2" borderId="1" xfId="1" applyNumberFormat="1" applyFont="1" applyFill="1" applyBorder="1" applyAlignment="1">
      <alignment vertical="top" wrapText="1"/>
    </xf>
    <xf numFmtId="43" fontId="24" fillId="9" borderId="1" xfId="1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wrapText="1"/>
    </xf>
    <xf numFmtId="43" fontId="27" fillId="2" borderId="1" xfId="10" applyFont="1" applyFill="1" applyBorder="1" applyAlignment="1">
      <alignment horizontal="right"/>
    </xf>
    <xf numFmtId="4" fontId="27" fillId="2" borderId="1" xfId="1" applyNumberFormat="1" applyFont="1" applyFill="1" applyBorder="1" applyAlignment="1">
      <alignment horizontal="right"/>
    </xf>
    <xf numFmtId="43" fontId="27" fillId="9" borderId="1" xfId="1" applyFont="1" applyFill="1" applyBorder="1" applyAlignment="1">
      <alignment horizontal="center" wrapText="1"/>
    </xf>
    <xf numFmtId="43" fontId="27" fillId="2" borderId="1" xfId="1" applyFont="1" applyFill="1" applyBorder="1" applyAlignment="1">
      <alignment horizontal="right"/>
    </xf>
    <xf numFmtId="43" fontId="27" fillId="2" borderId="1" xfId="10" applyFont="1" applyFill="1" applyBorder="1" applyAlignment="1">
      <alignment horizontal="right" wrapText="1"/>
    </xf>
    <xf numFmtId="43" fontId="22" fillId="3" borderId="1" xfId="1" applyFont="1" applyFill="1" applyBorder="1" applyAlignment="1">
      <alignment horizontal="center" vertical="top"/>
    </xf>
    <xf numFmtId="10" fontId="27" fillId="9" borderId="1" xfId="2" applyNumberFormat="1" applyFont="1" applyFill="1" applyBorder="1" applyAlignment="1">
      <alignment horizontal="center"/>
    </xf>
    <xf numFmtId="10" fontId="25" fillId="9" borderId="1" xfId="2" applyNumberFormat="1" applyFont="1" applyFill="1" applyBorder="1" applyAlignment="1">
      <alignment horizontal="center"/>
    </xf>
    <xf numFmtId="10" fontId="27" fillId="9" borderId="1" xfId="2" applyNumberFormat="1" applyFont="1" applyFill="1" applyBorder="1" applyAlignment="1">
      <alignment horizontal="center" vertical="top" wrapText="1"/>
    </xf>
    <xf numFmtId="10" fontId="27" fillId="9" borderId="1" xfId="2" applyNumberFormat="1" applyFont="1" applyFill="1" applyBorder="1" applyAlignment="1">
      <alignment horizontal="center" wrapText="1"/>
    </xf>
    <xf numFmtId="10" fontId="27" fillId="7" borderId="1" xfId="2" applyNumberFormat="1" applyFont="1" applyFill="1" applyBorder="1" applyAlignment="1">
      <alignment horizontal="center" wrapText="1"/>
    </xf>
    <xf numFmtId="10" fontId="27" fillId="3" borderId="1" xfId="2" applyNumberFormat="1" applyFont="1" applyFill="1" applyBorder="1" applyAlignment="1">
      <alignment horizontal="center" vertical="top" wrapText="1"/>
    </xf>
    <xf numFmtId="10" fontId="25" fillId="3" borderId="1" xfId="2" applyNumberFormat="1" applyFont="1" applyFill="1" applyBorder="1" applyAlignment="1">
      <alignment horizontal="center" vertical="top" wrapText="1"/>
    </xf>
    <xf numFmtId="10" fontId="25" fillId="3" borderId="1" xfId="1" applyNumberFormat="1" applyFont="1" applyFill="1" applyBorder="1" applyAlignment="1">
      <alignment horizontal="center" vertical="top" wrapText="1"/>
    </xf>
    <xf numFmtId="10" fontId="31" fillId="10" borderId="0" xfId="0" applyNumberFormat="1" applyFont="1" applyFill="1" applyAlignment="1">
      <alignment horizontal="right" vertical="center" wrapText="1"/>
    </xf>
    <xf numFmtId="43" fontId="24" fillId="2" borderId="1" xfId="1" applyFont="1" applyFill="1" applyBorder="1" applyAlignment="1">
      <alignment horizontal="right"/>
    </xf>
    <xf numFmtId="2" fontId="27" fillId="2" borderId="1" xfId="0" applyNumberFormat="1" applyFont="1" applyFill="1" applyBorder="1"/>
    <xf numFmtId="43" fontId="27" fillId="2" borderId="1" xfId="10" applyFont="1" applyFill="1" applyBorder="1" applyAlignment="1">
      <alignment wrapText="1"/>
    </xf>
    <xf numFmtId="43" fontId="27" fillId="11" borderId="1" xfId="1" applyFont="1" applyFill="1" applyBorder="1" applyAlignment="1">
      <alignment horizontal="center"/>
    </xf>
    <xf numFmtId="10" fontId="27" fillId="9" borderId="1" xfId="1" applyNumberFormat="1" applyFont="1" applyFill="1" applyBorder="1" applyAlignment="1">
      <alignment horizontal="center"/>
    </xf>
    <xf numFmtId="10" fontId="27" fillId="11" borderId="1" xfId="2" applyNumberFormat="1" applyFont="1" applyFill="1" applyBorder="1" applyAlignment="1">
      <alignment horizontal="center"/>
    </xf>
    <xf numFmtId="4" fontId="0" fillId="0" borderId="0" xfId="0" applyNumberFormat="1"/>
    <xf numFmtId="43" fontId="28" fillId="0" borderId="0" xfId="1" applyFont="1"/>
    <xf numFmtId="2" fontId="0" fillId="0" borderId="0" xfId="0" applyNumberFormat="1"/>
    <xf numFmtId="165" fontId="0" fillId="0" borderId="0" xfId="0" applyNumberFormat="1"/>
    <xf numFmtId="4" fontId="33" fillId="10" borderId="0" xfId="0" applyNumberFormat="1" applyFont="1" applyFill="1" applyAlignment="1">
      <alignment horizontal="right" vertical="center" wrapText="1"/>
    </xf>
    <xf numFmtId="0" fontId="27" fillId="0" borderId="1" xfId="0" applyFont="1" applyBorder="1"/>
    <xf numFmtId="0" fontId="24" fillId="0" borderId="1" xfId="0" applyFont="1" applyBorder="1" applyAlignment="1">
      <alignment horizontal="right"/>
    </xf>
    <xf numFmtId="4" fontId="35" fillId="0" borderId="1" xfId="0" applyNumberFormat="1" applyFont="1" applyBorder="1"/>
    <xf numFmtId="0" fontId="29" fillId="2" borderId="1" xfId="0" applyFont="1" applyFill="1" applyBorder="1"/>
    <xf numFmtId="4" fontId="27" fillId="2" borderId="1" xfId="1" applyNumberFormat="1" applyFont="1" applyFill="1" applyBorder="1" applyAlignment="1">
      <alignment horizontal="right" vertical="top" wrapText="1"/>
    </xf>
    <xf numFmtId="4" fontId="27" fillId="9" borderId="1" xfId="1" applyNumberFormat="1" applyFont="1" applyFill="1" applyBorder="1" applyAlignment="1">
      <alignment horizontal="center"/>
    </xf>
    <xf numFmtId="4" fontId="27" fillId="9" borderId="1" xfId="1" applyNumberFormat="1" applyFont="1" applyFill="1" applyBorder="1" applyAlignment="1">
      <alignment horizontal="center" vertical="top" wrapText="1"/>
    </xf>
    <xf numFmtId="166" fontId="20" fillId="0" borderId="0" xfId="1" applyNumberFormat="1" applyFont="1"/>
    <xf numFmtId="4" fontId="36" fillId="0" borderId="0" xfId="0" applyNumberFormat="1" applyFont="1"/>
    <xf numFmtId="43" fontId="24" fillId="2" borderId="1" xfId="1" applyFont="1" applyFill="1" applyBorder="1"/>
    <xf numFmtId="164" fontId="27" fillId="2" borderId="1" xfId="0" applyNumberFormat="1" applyFont="1" applyFill="1" applyBorder="1"/>
    <xf numFmtId="4" fontId="27" fillId="2" borderId="1" xfId="0" applyNumberFormat="1" applyFont="1" applyFill="1" applyBorder="1" applyAlignment="1">
      <alignment horizontal="right" wrapText="1"/>
    </xf>
    <xf numFmtId="4" fontId="27" fillId="2" borderId="1" xfId="10" applyNumberFormat="1" applyFont="1" applyFill="1" applyBorder="1" applyAlignment="1">
      <alignment horizontal="right"/>
    </xf>
    <xf numFmtId="4" fontId="27" fillId="2" borderId="1" xfId="10" applyNumberFormat="1" applyFont="1" applyFill="1" applyBorder="1" applyAlignment="1">
      <alignment horizontal="right" wrapText="1"/>
    </xf>
    <xf numFmtId="4" fontId="24" fillId="9" borderId="1" xfId="1" applyNumberFormat="1" applyFont="1" applyFill="1" applyBorder="1" applyAlignment="1">
      <alignment horizontal="right" vertical="top" wrapText="1"/>
    </xf>
    <xf numFmtId="0" fontId="27" fillId="14" borderId="1" xfId="0" applyFont="1" applyFill="1" applyBorder="1" applyAlignment="1">
      <alignment horizontal="right" vertical="center"/>
    </xf>
    <xf numFmtId="0" fontId="24" fillId="14" borderId="1" xfId="0" applyFont="1" applyFill="1" applyBorder="1" applyAlignment="1">
      <alignment horizontal="right" vertical="center"/>
    </xf>
    <xf numFmtId="43" fontId="24" fillId="14" borderId="1" xfId="1" applyFont="1" applyFill="1" applyBorder="1" applyAlignment="1">
      <alignment horizontal="right" vertical="center" wrapText="1"/>
    </xf>
    <xf numFmtId="10" fontId="27" fillId="14" borderId="1" xfId="1" applyNumberFormat="1" applyFont="1" applyFill="1" applyBorder="1" applyAlignment="1">
      <alignment horizontal="right" vertical="center" wrapText="1"/>
    </xf>
    <xf numFmtId="4" fontId="27" fillId="14" borderId="1" xfId="1" applyNumberFormat="1" applyFont="1" applyFill="1" applyBorder="1" applyAlignment="1">
      <alignment horizontal="right" vertical="center" wrapText="1"/>
    </xf>
    <xf numFmtId="43" fontId="24" fillId="14" borderId="1" xfId="1" applyFont="1" applyFill="1" applyBorder="1" applyAlignment="1">
      <alignment horizontal="right" vertical="top" wrapText="1"/>
    </xf>
    <xf numFmtId="4" fontId="27" fillId="2" borderId="1" xfId="10" applyNumberFormat="1" applyFont="1" applyFill="1" applyBorder="1" applyAlignment="1">
      <alignment horizontal="right" vertical="top" wrapText="1"/>
    </xf>
    <xf numFmtId="43" fontId="37" fillId="14" borderId="1" xfId="1" applyFont="1" applyFill="1" applyBorder="1" applyAlignment="1">
      <alignment horizontal="right" vertical="top" wrapText="1"/>
    </xf>
    <xf numFmtId="4" fontId="27" fillId="14" borderId="1" xfId="1" applyNumberFormat="1" applyFont="1" applyFill="1" applyBorder="1" applyAlignment="1">
      <alignment horizontal="right" vertical="top" wrapText="1"/>
    </xf>
    <xf numFmtId="43" fontId="27" fillId="2" borderId="1" xfId="10" applyFont="1" applyFill="1" applyBorder="1" applyAlignment="1">
      <alignment horizontal="right" vertical="top" wrapText="1"/>
    </xf>
    <xf numFmtId="10" fontId="27" fillId="7" borderId="1" xfId="2" applyNumberFormat="1" applyFont="1" applyFill="1" applyBorder="1" applyAlignment="1">
      <alignment horizontal="center" vertical="top" wrapText="1"/>
    </xf>
    <xf numFmtId="43" fontId="27" fillId="9" borderId="1" xfId="1" applyFont="1" applyFill="1" applyBorder="1" applyAlignment="1">
      <alignment horizontal="center" vertical="top" wrapText="1"/>
    </xf>
    <xf numFmtId="43" fontId="27" fillId="2" borderId="1" xfId="1" applyFont="1" applyFill="1" applyBorder="1" applyAlignment="1">
      <alignment horizontal="right" vertical="top" wrapText="1"/>
    </xf>
    <xf numFmtId="164" fontId="27" fillId="9" borderId="1" xfId="0" applyNumberFormat="1" applyFont="1" applyFill="1" applyBorder="1" applyAlignment="1">
      <alignment horizontal="center"/>
    </xf>
    <xf numFmtId="9" fontId="27" fillId="14" borderId="1" xfId="2" applyFont="1" applyFill="1" applyBorder="1" applyAlignment="1">
      <alignment horizontal="center" vertical="center" wrapText="1"/>
    </xf>
    <xf numFmtId="4" fontId="27" fillId="14" borderId="1" xfId="1" applyNumberFormat="1" applyFont="1" applyFill="1" applyBorder="1" applyAlignment="1">
      <alignment horizontal="center" vertical="center" wrapText="1"/>
    </xf>
    <xf numFmtId="4" fontId="27" fillId="14" borderId="1" xfId="1" applyNumberFormat="1" applyFont="1" applyFill="1" applyBorder="1" applyAlignment="1">
      <alignment horizontal="center" vertical="top" wrapText="1"/>
    </xf>
    <xf numFmtId="10" fontId="27" fillId="3" borderId="1" xfId="1" applyNumberFormat="1" applyFont="1" applyFill="1" applyBorder="1" applyAlignment="1">
      <alignment horizontal="center" vertical="top" wrapText="1"/>
    </xf>
    <xf numFmtId="43" fontId="0" fillId="0" borderId="0" xfId="1" applyFont="1"/>
    <xf numFmtId="10" fontId="25" fillId="14" borderId="1" xfId="2" applyNumberFormat="1" applyFont="1" applyFill="1" applyBorder="1" applyAlignment="1">
      <alignment horizontal="center" vertical="top" wrapText="1"/>
    </xf>
    <xf numFmtId="167" fontId="25" fillId="14" borderId="1" xfId="2" applyNumberFormat="1" applyFont="1" applyFill="1" applyBorder="1" applyAlignment="1">
      <alignment horizontal="center" vertical="top" wrapText="1"/>
    </xf>
    <xf numFmtId="10" fontId="25" fillId="14" borderId="1" xfId="1" applyNumberFormat="1" applyFont="1" applyFill="1" applyBorder="1" applyAlignment="1">
      <alignment horizontal="center" vertical="top" wrapText="1"/>
    </xf>
    <xf numFmtId="0" fontId="27" fillId="14" borderId="1" xfId="0" applyFont="1" applyFill="1" applyBorder="1" applyAlignment="1">
      <alignment horizontal="right"/>
    </xf>
    <xf numFmtId="0" fontId="24" fillId="14" borderId="1" xfId="0" applyFont="1" applyFill="1" applyBorder="1" applyAlignment="1">
      <alignment horizontal="right"/>
    </xf>
    <xf numFmtId="0" fontId="27" fillId="15" borderId="1" xfId="0" applyFont="1" applyFill="1" applyBorder="1" applyAlignment="1">
      <alignment horizontal="right" vertical="top" wrapText="1"/>
    </xf>
    <xf numFmtId="0" fontId="34" fillId="15" borderId="1" xfId="0" applyFont="1" applyFill="1" applyBorder="1" applyAlignment="1">
      <alignment horizontal="right" vertical="top" wrapText="1"/>
    </xf>
    <xf numFmtId="43" fontId="34" fillId="15" borderId="1" xfId="1" applyFont="1" applyFill="1" applyBorder="1" applyAlignment="1">
      <alignment horizontal="right" vertical="top" wrapText="1"/>
    </xf>
    <xf numFmtId="43" fontId="16" fillId="15" borderId="1" xfId="1" applyFont="1" applyFill="1" applyBorder="1" applyAlignment="1">
      <alignment horizontal="right" vertical="top" wrapText="1"/>
    </xf>
    <xf numFmtId="4" fontId="16" fillId="15" borderId="1" xfId="0" applyNumberFormat="1" applyFont="1" applyFill="1" applyBorder="1" applyAlignment="1">
      <alignment horizontal="right"/>
    </xf>
    <xf numFmtId="0" fontId="38" fillId="5" borderId="1" xfId="0" applyFont="1" applyFill="1" applyBorder="1" applyAlignment="1">
      <alignment horizontal="right" vertical="center"/>
    </xf>
    <xf numFmtId="0" fontId="38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9" fillId="0" borderId="0" xfId="0" applyFont="1"/>
    <xf numFmtId="0" fontId="40" fillId="0" borderId="0" xfId="0" applyFont="1"/>
    <xf numFmtId="164" fontId="0" fillId="0" borderId="0" xfId="0" applyNumberFormat="1"/>
    <xf numFmtId="0" fontId="41" fillId="0" borderId="0" xfId="0" applyFont="1"/>
    <xf numFmtId="0" fontId="29" fillId="2" borderId="0" xfId="0" applyFont="1" applyFill="1" applyAlignment="1">
      <alignment wrapText="1"/>
    </xf>
    <xf numFmtId="164" fontId="41" fillId="0" borderId="0" xfId="16" applyFont="1" applyBorder="1"/>
    <xf numFmtId="2" fontId="41" fillId="0" borderId="0" xfId="0" applyNumberFormat="1" applyFont="1"/>
    <xf numFmtId="9" fontId="16" fillId="15" borderId="1" xfId="2" applyFont="1" applyFill="1" applyBorder="1" applyAlignment="1">
      <alignment horizontal="center"/>
    </xf>
    <xf numFmtId="4" fontId="16" fillId="15" borderId="1" xfId="0" applyNumberFormat="1" applyFont="1" applyFill="1" applyBorder="1" applyAlignment="1">
      <alignment horizontal="center"/>
    </xf>
    <xf numFmtId="10" fontId="41" fillId="0" borderId="0" xfId="2" applyNumberFormat="1" applyFont="1" applyBorder="1"/>
    <xf numFmtId="10" fontId="42" fillId="0" borderId="0" xfId="2" applyNumberFormat="1" applyFont="1" applyBorder="1"/>
    <xf numFmtId="10" fontId="0" fillId="0" borderId="0" xfId="2" applyNumberFormat="1" applyFont="1"/>
    <xf numFmtId="10" fontId="16" fillId="15" borderId="1" xfId="2" applyNumberFormat="1" applyFont="1" applyFill="1" applyBorder="1" applyAlignment="1">
      <alignment horizontal="center" vertical="top" wrapText="1"/>
    </xf>
    <xf numFmtId="167" fontId="16" fillId="15" borderId="1" xfId="2" applyNumberFormat="1" applyFont="1" applyFill="1" applyBorder="1" applyAlignment="1">
      <alignment horizontal="center" vertical="top" wrapText="1"/>
    </xf>
    <xf numFmtId="167" fontId="27" fillId="15" borderId="1" xfId="2" applyNumberFormat="1" applyFont="1" applyFill="1" applyBorder="1" applyAlignment="1">
      <alignment horizontal="center" vertical="top" wrapText="1"/>
    </xf>
    <xf numFmtId="164" fontId="2" fillId="4" borderId="1" xfId="0" quotePrefix="1" applyNumberFormat="1" applyFont="1" applyFill="1" applyBorder="1" applyAlignment="1">
      <alignment horizontal="center"/>
    </xf>
    <xf numFmtId="0" fontId="49" fillId="0" borderId="0" xfId="0" applyFont="1"/>
    <xf numFmtId="4" fontId="25" fillId="0" borderId="0" xfId="0" applyNumberFormat="1" applyFont="1"/>
    <xf numFmtId="0" fontId="50" fillId="0" borderId="0" xfId="0" applyFont="1"/>
    <xf numFmtId="10" fontId="25" fillId="7" borderId="1" xfId="2" applyNumberFormat="1" applyFont="1" applyFill="1" applyBorder="1" applyAlignment="1">
      <alignment horizontal="center"/>
    </xf>
    <xf numFmtId="2" fontId="25" fillId="2" borderId="1" xfId="0" applyNumberFormat="1" applyFont="1" applyFill="1" applyBorder="1"/>
    <xf numFmtId="4" fontId="25" fillId="2" borderId="1" xfId="0" applyNumberFormat="1" applyFont="1" applyFill="1" applyBorder="1"/>
    <xf numFmtId="0" fontId="1" fillId="0" borderId="0" xfId="0" applyFont="1"/>
    <xf numFmtId="2" fontId="28" fillId="0" borderId="0" xfId="0" applyNumberFormat="1" applyFont="1"/>
    <xf numFmtId="0" fontId="27" fillId="0" borderId="1" xfId="0" applyFont="1" applyBorder="1" applyAlignment="1">
      <alignment horizontal="center"/>
    </xf>
    <xf numFmtId="4" fontId="27" fillId="2" borderId="1" xfId="0" applyNumberFormat="1" applyFont="1" applyFill="1" applyBorder="1" applyAlignment="1">
      <alignment wrapText="1"/>
    </xf>
    <xf numFmtId="0" fontId="27" fillId="2" borderId="1" xfId="0" applyFont="1" applyFill="1" applyBorder="1" applyAlignment="1">
      <alignment wrapText="1"/>
    </xf>
    <xf numFmtId="4" fontId="27" fillId="2" borderId="1" xfId="44" applyNumberFormat="1" applyFont="1" applyFill="1" applyBorder="1" applyAlignment="1">
      <alignment wrapText="1"/>
    </xf>
    <xf numFmtId="0" fontId="27" fillId="0" borderId="1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vertical="center"/>
    </xf>
    <xf numFmtId="49" fontId="27" fillId="2" borderId="1" xfId="0" applyNumberFormat="1" applyFont="1" applyFill="1" applyBorder="1" applyAlignment="1">
      <alignment wrapText="1"/>
    </xf>
    <xf numFmtId="4" fontId="27" fillId="0" borderId="1" xfId="0" applyNumberFormat="1" applyFont="1" applyBorder="1" applyAlignment="1">
      <alignment wrapText="1"/>
    </xf>
    <xf numFmtId="0" fontId="27" fillId="2" borderId="1" xfId="0" applyFont="1" applyFill="1" applyBorder="1" applyAlignment="1">
      <alignment horizontal="left" wrapText="1"/>
    </xf>
    <xf numFmtId="0" fontId="51" fillId="0" borderId="0" xfId="0" applyFont="1"/>
    <xf numFmtId="0" fontId="8" fillId="0" borderId="0" xfId="0" applyFont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4" fillId="2" borderId="0" xfId="0" applyNumberFormat="1" applyFont="1" applyFill="1"/>
    <xf numFmtId="43" fontId="4" fillId="2" borderId="0" xfId="1" applyFont="1" applyFill="1" applyBorder="1" applyAlignment="1">
      <alignment horizontal="right" vertical="top" wrapText="1"/>
    </xf>
    <xf numFmtId="0" fontId="7" fillId="2" borderId="0" xfId="0" applyFont="1" applyFill="1"/>
    <xf numFmtId="0" fontId="8" fillId="2" borderId="0" xfId="0" applyFont="1" applyFill="1" applyAlignment="1">
      <alignment horizontal="right"/>
    </xf>
    <xf numFmtId="0" fontId="21" fillId="5" borderId="1" xfId="0" applyFont="1" applyFill="1" applyBorder="1" applyAlignment="1">
      <alignment horizontal="center"/>
    </xf>
    <xf numFmtId="0" fontId="22" fillId="7" borderId="1" xfId="0" applyFont="1" applyFill="1" applyBorder="1" applyAlignment="1">
      <alignment horizontal="center" vertical="top" wrapText="1"/>
    </xf>
    <xf numFmtId="0" fontId="25" fillId="2" borderId="1" xfId="0" applyFont="1" applyFill="1" applyBorder="1" applyAlignment="1">
      <alignment horizontal="center" vertical="top" wrapText="1"/>
    </xf>
    <xf numFmtId="0" fontId="26" fillId="8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wrapText="1"/>
    </xf>
    <xf numFmtId="0" fontId="32" fillId="12" borderId="1" xfId="0" applyFont="1" applyFill="1" applyBorder="1" applyAlignment="1">
      <alignment horizontal="center"/>
    </xf>
    <xf numFmtId="0" fontId="34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34" fillId="13" borderId="1" xfId="0" applyFont="1" applyFill="1" applyBorder="1" applyAlignment="1">
      <alignment horizontal="center" wrapText="1"/>
    </xf>
    <xf numFmtId="0" fontId="25" fillId="2" borderId="1" xfId="0" applyFont="1" applyFill="1" applyBorder="1" applyAlignment="1">
      <alignment horizontal="center"/>
    </xf>
    <xf numFmtId="0" fontId="16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December 12,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78.447194943245108</c:v>
                </c:pt>
                <c:pt idx="1">
                  <c:v>4642.4481893707552</c:v>
                </c:pt>
                <c:pt idx="2">
                  <c:v>238.89601890252337</c:v>
                </c:pt>
                <c:pt idx="3">
                  <c:v>1912.2739581349629</c:v>
                </c:pt>
                <c:pt idx="4">
                  <c:v>481.59935572708673</c:v>
                </c:pt>
                <c:pt idx="5" formatCode="_(* #,##0.00_);_(* \(#,##0.00\);_(* &quot;-&quot;??_);_(@_)">
                  <c:v>83.138604455992663</c:v>
                </c:pt>
                <c:pt idx="6">
                  <c:v>8.3457285991300001</c:v>
                </c:pt>
                <c:pt idx="7">
                  <c:v>77.276900112016634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December 19,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79.735701358927486</c:v>
                </c:pt>
                <c:pt idx="1">
                  <c:v>4678.0501099592366</c:v>
                </c:pt>
                <c:pt idx="2">
                  <c:v>238.34022525366325</c:v>
                </c:pt>
                <c:pt idx="3">
                  <c:v>1954.2625274940337</c:v>
                </c:pt>
                <c:pt idx="4">
                  <c:v>482.35253333453676</c:v>
                </c:pt>
                <c:pt idx="5" formatCode="_(* #,##0.00_);_(* \(#,##0.00\);_(* &quot;-&quot;??_);_(@_)">
                  <c:v>83.857951344086956</c:v>
                </c:pt>
                <c:pt idx="6">
                  <c:v>8.3228212168900004</c:v>
                </c:pt>
                <c:pt idx="7">
                  <c:v>78.263241502671121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24720944"/>
        <c:axId val="324719376"/>
      </c:barChart>
      <c:catAx>
        <c:axId val="32472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24719376"/>
        <c:crosses val="autoZero"/>
        <c:auto val="1"/>
        <c:lblAlgn val="ctr"/>
        <c:lblOffset val="100"/>
        <c:noMultiLvlLbl val="0"/>
      </c:catAx>
      <c:valAx>
        <c:axId val="32471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2472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19TH DECEMBER,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382304706685366"/>
          <c:y val="1.8702749868806573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19-Dec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18609777194861"/>
                  <c:y val="-0.134291330027987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044016500962"/>
                  <c:y val="9.2134339331788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8322821216.8900003</c:v>
                </c:pt>
                <c:pt idx="1">
                  <c:v>79735701358.92749</c:v>
                </c:pt>
                <c:pt idx="2" formatCode="_(* #,##0.00_);_(* \(#,##0.00\);_(* &quot;-&quot;??_);_(@_)">
                  <c:v>78263241502.671127</c:v>
                </c:pt>
                <c:pt idx="3">
                  <c:v>83857951344.08696</c:v>
                </c:pt>
                <c:pt idx="4">
                  <c:v>482352533334.53674</c:v>
                </c:pt>
                <c:pt idx="5">
                  <c:v>238340225253.66324</c:v>
                </c:pt>
                <c:pt idx="6">
                  <c:v>1954262527494.0337</c:v>
                </c:pt>
                <c:pt idx="7">
                  <c:v>4678050109959.2363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45961</c:v>
                </c:pt>
                <c:pt idx="1">
                  <c:v>45968</c:v>
                </c:pt>
                <c:pt idx="2">
                  <c:v>45975</c:v>
                </c:pt>
                <c:pt idx="3">
                  <c:v>45982</c:v>
                </c:pt>
                <c:pt idx="4">
                  <c:v>45989</c:v>
                </c:pt>
                <c:pt idx="5">
                  <c:v>45996</c:v>
                </c:pt>
                <c:pt idx="6">
                  <c:v>46003</c:v>
                </c:pt>
                <c:pt idx="7">
                  <c:v>46010</c:v>
                </c:pt>
              </c:numCache>
            </c:numRef>
          </c:cat>
          <c:val>
            <c:numRef>
              <c:f>'8-Week Movement in NAV'!$B$3:$I$3</c:f>
              <c:numCache>
                <c:formatCode>_(* #,##0.00_);_(* \(#,##0.00\);_(* "-"??_);_(@_)</c:formatCode>
                <c:ptCount val="8"/>
                <c:pt idx="0">
                  <c:v>7104.7215850315024</c:v>
                </c:pt>
                <c:pt idx="1">
                  <c:v>7157.322477516268</c:v>
                </c:pt>
                <c:pt idx="2">
                  <c:v>7224.9660672128502</c:v>
                </c:pt>
                <c:pt idx="3">
                  <c:v>7259.9310118544208</c:v>
                </c:pt>
                <c:pt idx="4">
                  <c:v>7416.5411604761439</c:v>
                </c:pt>
                <c:pt idx="5">
                  <c:v>7473.2757425151976</c:v>
                </c:pt>
                <c:pt idx="6">
                  <c:v>7522.4259502457116</c:v>
                </c:pt>
                <c:pt idx="7">
                  <c:v>7603.1851114640458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4717024"/>
        <c:axId val="324717416"/>
      </c:lineChart>
      <c:dateAx>
        <c:axId val="32471702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717416"/>
        <c:crosses val="autoZero"/>
        <c:auto val="1"/>
        <c:lblOffset val="100"/>
        <c:baseTimeUnit val="days"/>
      </c:dateAx>
      <c:valAx>
        <c:axId val="324717416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7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45961</c:v>
                </c:pt>
                <c:pt idx="1">
                  <c:v>45968</c:v>
                </c:pt>
                <c:pt idx="2">
                  <c:v>45975</c:v>
                </c:pt>
                <c:pt idx="3">
                  <c:v>45982</c:v>
                </c:pt>
                <c:pt idx="4">
                  <c:v>45989</c:v>
                </c:pt>
                <c:pt idx="5">
                  <c:v>45996</c:v>
                </c:pt>
                <c:pt idx="6">
                  <c:v>46003</c:v>
                </c:pt>
                <c:pt idx="7">
                  <c:v>46010</c:v>
                </c:pt>
              </c:numCache>
            </c:numRef>
          </c:cat>
          <c:val>
            <c:numRef>
              <c:f>'8-Week Movement in ETFs'!$B$3:$I$3</c:f>
              <c:numCache>
                <c:formatCode>_(* #,##0.00_);_(* \(#,##0.00\);_(* "-"??_);_(@_)</c:formatCode>
                <c:ptCount val="8"/>
                <c:pt idx="0">
                  <c:v>17.97007204989</c:v>
                </c:pt>
                <c:pt idx="1">
                  <c:v>17.390304867240001</c:v>
                </c:pt>
                <c:pt idx="2">
                  <c:v>17.29912062779</c:v>
                </c:pt>
                <c:pt idx="3">
                  <c:v>16.915814556049998</c:v>
                </c:pt>
                <c:pt idx="4">
                  <c:v>16.97292700869</c:v>
                </c:pt>
                <c:pt idx="5">
                  <c:v>17.413222879320003</c:v>
                </c:pt>
                <c:pt idx="6">
                  <c:v>17.682838809310002</c:v>
                </c:pt>
                <c:pt idx="7">
                  <c:v>17.94056485019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24713496"/>
        <c:axId val="324713888"/>
      </c:lineChart>
      <c:dateAx>
        <c:axId val="32471349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713888"/>
        <c:crosses val="autoZero"/>
        <c:auto val="1"/>
        <c:lblOffset val="100"/>
        <c:baseTimeUnit val="days"/>
      </c:dateAx>
      <c:valAx>
        <c:axId val="32471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713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68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5"/>
  <cols>
    <col min="1" max="1" width="6" customWidth="1"/>
    <col min="2" max="2" width="39.08984375" customWidth="1"/>
    <col min="3" max="3" width="36.08984375" customWidth="1"/>
    <col min="4" max="4" width="21" customWidth="1"/>
    <col min="8" max="8" width="11.453125" customWidth="1"/>
    <col min="11" max="11" width="20.54296875" customWidth="1"/>
    <col min="13" max="14" width="10.08984375" customWidth="1"/>
    <col min="15" max="15" width="10.54296875" customWidth="1"/>
    <col min="16" max="16" width="8.36328125" customWidth="1"/>
    <col min="17" max="17" width="9.08984375" customWidth="1"/>
    <col min="20" max="20" width="9.36328125" customWidth="1"/>
    <col min="24" max="24" width="18.90625" customWidth="1"/>
    <col min="25" max="25" width="11.36328125" customWidth="1"/>
    <col min="26" max="27" width="17.36328125" customWidth="1"/>
  </cols>
  <sheetData>
    <row r="1" spans="1:25" ht="26">
      <c r="A1" s="189" t="s">
        <v>333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</row>
    <row r="2" spans="1:25" ht="14.4" customHeight="1">
      <c r="A2" s="48"/>
      <c r="B2" s="49"/>
      <c r="C2" s="50"/>
      <c r="D2" s="190" t="s">
        <v>331</v>
      </c>
      <c r="E2" s="190"/>
      <c r="F2" s="190"/>
      <c r="G2" s="190"/>
      <c r="H2" s="190"/>
      <c r="I2" s="190"/>
      <c r="J2" s="190"/>
      <c r="K2" s="190" t="s">
        <v>334</v>
      </c>
      <c r="L2" s="190"/>
      <c r="M2" s="190"/>
      <c r="N2" s="190"/>
      <c r="O2" s="190"/>
      <c r="P2" s="190"/>
      <c r="Q2" s="190"/>
      <c r="R2" s="190" t="s">
        <v>0</v>
      </c>
      <c r="S2" s="190"/>
      <c r="T2" s="190"/>
      <c r="U2" s="190" t="s">
        <v>1</v>
      </c>
      <c r="V2" s="190"/>
    </row>
    <row r="3" spans="1:25">
      <c r="A3" s="51" t="s">
        <v>2</v>
      </c>
      <c r="B3" s="52" t="s">
        <v>3</v>
      </c>
      <c r="C3" s="53" t="s">
        <v>4</v>
      </c>
      <c r="D3" s="54" t="s">
        <v>5</v>
      </c>
      <c r="E3" s="55" t="s">
        <v>6</v>
      </c>
      <c r="F3" s="55" t="s">
        <v>7</v>
      </c>
      <c r="G3" s="55" t="s">
        <v>8</v>
      </c>
      <c r="H3" s="55" t="s">
        <v>9</v>
      </c>
      <c r="I3" s="55" t="s">
        <v>10</v>
      </c>
      <c r="J3" s="55" t="s">
        <v>11</v>
      </c>
      <c r="K3" s="80" t="s">
        <v>5</v>
      </c>
      <c r="L3" s="55" t="s">
        <v>6</v>
      </c>
      <c r="M3" s="55" t="s">
        <v>12</v>
      </c>
      <c r="N3" s="55" t="s">
        <v>8</v>
      </c>
      <c r="O3" s="55" t="s">
        <v>9</v>
      </c>
      <c r="P3" s="55" t="s">
        <v>10</v>
      </c>
      <c r="Q3" s="55" t="s">
        <v>11</v>
      </c>
      <c r="R3" s="54" t="s">
        <v>13</v>
      </c>
      <c r="S3" s="55" t="s">
        <v>14</v>
      </c>
      <c r="T3" s="55" t="s">
        <v>15</v>
      </c>
      <c r="U3" s="55" t="s">
        <v>16</v>
      </c>
      <c r="V3" s="55" t="s">
        <v>17</v>
      </c>
    </row>
    <row r="4" spans="1:25" ht="5.25" customHeight="1">
      <c r="A4" s="56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</row>
    <row r="5" spans="1:25" ht="15" customHeight="1">
      <c r="A5" s="192" t="s">
        <v>18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</row>
    <row r="6" spans="1:25">
      <c r="A6" s="176">
        <v>1</v>
      </c>
      <c r="B6" s="173" t="s">
        <v>19</v>
      </c>
      <c r="C6" s="174" t="s">
        <v>20</v>
      </c>
      <c r="D6" s="169">
        <v>4267734784.7600002</v>
      </c>
      <c r="E6" s="167">
        <f t="shared" ref="E6:E24" si="0">(D6/$D$26)</f>
        <v>5.4402643559755284E-2</v>
      </c>
      <c r="F6" s="169">
        <v>599.15160000000003</v>
      </c>
      <c r="G6" s="169">
        <v>604.71079999999995</v>
      </c>
      <c r="H6" s="61">
        <v>1695</v>
      </c>
      <c r="I6" s="82">
        <v>1.32E-2</v>
      </c>
      <c r="J6" s="82">
        <v>0.50729999999999997</v>
      </c>
      <c r="K6" s="169">
        <v>4431168617.1000004</v>
      </c>
      <c r="L6" s="167">
        <f t="shared" ref="L6:L25" si="1">(K6/$K$26)</f>
        <v>5.5573206751555977E-2</v>
      </c>
      <c r="M6" s="169">
        <v>611.48490000000004</v>
      </c>
      <c r="N6" s="169">
        <v>617.76549999999997</v>
      </c>
      <c r="O6" s="61">
        <v>1695</v>
      </c>
      <c r="P6" s="82">
        <v>2.06E-2</v>
      </c>
      <c r="Q6" s="82">
        <v>0.5383</v>
      </c>
      <c r="R6" s="87">
        <f>((K6-D6)/D6)</f>
        <v>3.8295217623086436E-2</v>
      </c>
      <c r="S6" s="87">
        <f>((N6-G6)/G6)</f>
        <v>2.1588336110418445E-2</v>
      </c>
      <c r="T6" s="87">
        <f>((O6-H6)/H6)</f>
        <v>0</v>
      </c>
      <c r="U6" s="87">
        <f>P6-I6</f>
        <v>7.4000000000000003E-3</v>
      </c>
      <c r="V6" s="88">
        <f>Q6-J6</f>
        <v>3.1000000000000028E-2</v>
      </c>
      <c r="W6" s="170"/>
    </row>
    <row r="7" spans="1:25">
      <c r="A7" s="176">
        <v>2</v>
      </c>
      <c r="B7" s="173" t="s">
        <v>21</v>
      </c>
      <c r="C7" s="174" t="s">
        <v>22</v>
      </c>
      <c r="D7" s="57">
        <v>964248949.74000001</v>
      </c>
      <c r="E7" s="58">
        <f t="shared" si="0"/>
        <v>1.2291694437737562E-2</v>
      </c>
      <c r="F7" s="57">
        <v>396.2704</v>
      </c>
      <c r="G7" s="57">
        <v>400.83409999999998</v>
      </c>
      <c r="H7" s="59">
        <v>623</v>
      </c>
      <c r="I7" s="81">
        <v>6.9870000000000002E-3</v>
      </c>
      <c r="J7" s="81">
        <v>0.53879999999999995</v>
      </c>
      <c r="K7" s="57">
        <v>1008548342.75</v>
      </c>
      <c r="L7" s="58">
        <f t="shared" si="1"/>
        <v>1.2648642020593192E-2</v>
      </c>
      <c r="M7" s="57">
        <v>405.57530000000003</v>
      </c>
      <c r="N7" s="57">
        <v>410.2987</v>
      </c>
      <c r="O7" s="59">
        <v>625</v>
      </c>
      <c r="P7" s="81">
        <v>4.2040000000000003E-3</v>
      </c>
      <c r="Q7" s="81">
        <v>0.57499999999999996</v>
      </c>
      <c r="R7" s="86">
        <f t="shared" ref="R7:R26" si="2">((K7-D7)/D7)</f>
        <v>4.594186285807713E-2</v>
      </c>
      <c r="S7" s="86">
        <f t="shared" ref="S7:S26" si="3">((N7-G7)/G7)</f>
        <v>2.3612262529560283E-2</v>
      </c>
      <c r="T7" s="86">
        <f t="shared" ref="T7:T26" si="4">((O7-H7)/H7)</f>
        <v>3.2102728731942215E-3</v>
      </c>
      <c r="U7" s="87">
        <f t="shared" ref="U7:U26" si="5">P7-I7</f>
        <v>-2.7829999999999999E-3</v>
      </c>
      <c r="V7" s="88">
        <f t="shared" ref="V7:V26" si="6">Q7-J7</f>
        <v>3.620000000000001E-2</v>
      </c>
    </row>
    <row r="8" spans="1:25">
      <c r="A8" s="176">
        <v>3</v>
      </c>
      <c r="B8" s="173" t="s">
        <v>23</v>
      </c>
      <c r="C8" s="174" t="s">
        <v>24</v>
      </c>
      <c r="D8" s="57">
        <v>7220432015.1999998</v>
      </c>
      <c r="E8" s="58">
        <f t="shared" si="0"/>
        <v>9.2041940064572489E-2</v>
      </c>
      <c r="F8" s="57">
        <v>51.993200000000002</v>
      </c>
      <c r="G8" s="60">
        <v>53.560899999999997</v>
      </c>
      <c r="H8" s="61">
        <v>8404</v>
      </c>
      <c r="I8" s="82">
        <v>0.77490000000000003</v>
      </c>
      <c r="J8" s="82">
        <v>0.49209999999999998</v>
      </c>
      <c r="K8" s="57">
        <v>7354081021.1099997</v>
      </c>
      <c r="L8" s="58">
        <f t="shared" si="1"/>
        <v>9.2230718433212983E-2</v>
      </c>
      <c r="M8" s="57">
        <v>52.3033</v>
      </c>
      <c r="N8" s="60">
        <v>53.880299999999998</v>
      </c>
      <c r="O8" s="61">
        <v>8454</v>
      </c>
      <c r="P8" s="82">
        <v>0.31090000000000001</v>
      </c>
      <c r="Q8" s="82">
        <v>0.4914</v>
      </c>
      <c r="R8" s="86">
        <f t="shared" si="2"/>
        <v>1.8509835094167544E-2</v>
      </c>
      <c r="S8" s="86">
        <f t="shared" si="3"/>
        <v>5.9633053216059046E-3</v>
      </c>
      <c r="T8" s="86">
        <f t="shared" si="4"/>
        <v>5.9495478343645882E-3</v>
      </c>
      <c r="U8" s="87">
        <f t="shared" si="5"/>
        <v>-0.46400000000000002</v>
      </c>
      <c r="V8" s="88">
        <f t="shared" si="6"/>
        <v>-6.9999999999997842E-4</v>
      </c>
      <c r="X8" s="89"/>
      <c r="Y8" s="89"/>
    </row>
    <row r="9" spans="1:25">
      <c r="A9" s="176">
        <v>4</v>
      </c>
      <c r="B9" s="173" t="s">
        <v>25</v>
      </c>
      <c r="C9" s="174" t="s">
        <v>26</v>
      </c>
      <c r="D9" s="57">
        <v>876481645.78999996</v>
      </c>
      <c r="E9" s="58">
        <f t="shared" si="0"/>
        <v>1.1172887015579282E-2</v>
      </c>
      <c r="F9" s="57">
        <v>252.55709999999999</v>
      </c>
      <c r="G9" s="57">
        <v>252.55709999999999</v>
      </c>
      <c r="H9" s="59">
        <v>2259</v>
      </c>
      <c r="I9" s="81">
        <v>3.73E-2</v>
      </c>
      <c r="J9" s="81">
        <v>0.30780000000000002</v>
      </c>
      <c r="K9" s="57">
        <v>884060571.39999998</v>
      </c>
      <c r="L9" s="58">
        <f t="shared" si="1"/>
        <v>1.1087386908662558E-2</v>
      </c>
      <c r="M9" s="57">
        <v>252.19739999999999</v>
      </c>
      <c r="N9" s="57">
        <v>252.19739999999999</v>
      </c>
      <c r="O9" s="59">
        <v>2268</v>
      </c>
      <c r="P9" s="81">
        <v>-1.4E-3</v>
      </c>
      <c r="Q9" s="81">
        <v>0.30609999999999998</v>
      </c>
      <c r="R9" s="86">
        <f t="shared" si="2"/>
        <v>8.6469872431485933E-3</v>
      </c>
      <c r="S9" s="86">
        <f t="shared" si="3"/>
        <v>-1.4242323815089883E-3</v>
      </c>
      <c r="T9" s="86">
        <f t="shared" si="4"/>
        <v>3.9840637450199202E-3</v>
      </c>
      <c r="U9" s="87">
        <f t="shared" si="5"/>
        <v>-3.8699999999999998E-2</v>
      </c>
      <c r="V9" s="88">
        <f t="shared" si="6"/>
        <v>-1.7000000000000348E-3</v>
      </c>
    </row>
    <row r="10" spans="1:25">
      <c r="A10" s="176">
        <v>5</v>
      </c>
      <c r="B10" s="173" t="s">
        <v>27</v>
      </c>
      <c r="C10" s="174" t="s">
        <v>28</v>
      </c>
      <c r="D10" s="57">
        <v>2395678917.77</v>
      </c>
      <c r="E10" s="58">
        <f t="shared" si="0"/>
        <v>3.0538745451678971E-2</v>
      </c>
      <c r="F10" s="57">
        <v>1.7259</v>
      </c>
      <c r="G10" s="57">
        <v>1.7490000000000001</v>
      </c>
      <c r="H10" s="59">
        <v>1007</v>
      </c>
      <c r="I10" s="81">
        <v>4.87E-2</v>
      </c>
      <c r="J10" s="81">
        <v>0.46029999999999999</v>
      </c>
      <c r="K10" s="57">
        <v>2515524507.3499999</v>
      </c>
      <c r="L10" s="58">
        <f t="shared" si="1"/>
        <v>3.1548283447416531E-2</v>
      </c>
      <c r="M10" s="57">
        <v>1.7977000000000001</v>
      </c>
      <c r="N10" s="57">
        <v>1.821</v>
      </c>
      <c r="O10" s="59">
        <v>1043</v>
      </c>
      <c r="P10" s="81">
        <v>4.1399999999999999E-2</v>
      </c>
      <c r="Q10" s="81">
        <v>0.51800000000000002</v>
      </c>
      <c r="R10" s="86">
        <f t="shared" si="2"/>
        <v>5.0025731199219846E-2</v>
      </c>
      <c r="S10" s="86">
        <f t="shared" si="3"/>
        <v>4.1166380789022204E-2</v>
      </c>
      <c r="T10" s="86">
        <f t="shared" si="4"/>
        <v>3.5749751737835157E-2</v>
      </c>
      <c r="U10" s="87">
        <f t="shared" si="5"/>
        <v>-7.3000000000000009E-3</v>
      </c>
      <c r="V10" s="88">
        <f t="shared" si="6"/>
        <v>5.7700000000000029E-2</v>
      </c>
    </row>
    <row r="11" spans="1:25">
      <c r="A11" s="176">
        <v>6</v>
      </c>
      <c r="B11" s="173" t="s">
        <v>29</v>
      </c>
      <c r="C11" s="174" t="s">
        <v>30</v>
      </c>
      <c r="D11" s="62">
        <v>256481595.19</v>
      </c>
      <c r="E11" s="58">
        <f t="shared" si="0"/>
        <v>3.2694807682487441E-3</v>
      </c>
      <c r="F11" s="57">
        <v>212.1876</v>
      </c>
      <c r="G11" s="57">
        <v>213.6343</v>
      </c>
      <c r="H11" s="61">
        <v>108</v>
      </c>
      <c r="I11" s="82">
        <v>2.0669999999999998E-3</v>
      </c>
      <c r="J11" s="82">
        <v>0.27579999999999999</v>
      </c>
      <c r="K11" s="62">
        <v>278036794.31999999</v>
      </c>
      <c r="L11" s="58">
        <f t="shared" si="1"/>
        <v>3.4869799798766055E-3</v>
      </c>
      <c r="M11" s="57">
        <v>212.85130000000001</v>
      </c>
      <c r="N11" s="57">
        <v>214.19200000000001</v>
      </c>
      <c r="O11" s="61">
        <v>112</v>
      </c>
      <c r="P11" s="82">
        <v>5.8799999999999998E-4</v>
      </c>
      <c r="Q11" s="82">
        <v>0.28079999999999999</v>
      </c>
      <c r="R11" s="86">
        <f t="shared" si="2"/>
        <v>8.4041894366853248E-2</v>
      </c>
      <c r="S11" s="86">
        <f t="shared" si="3"/>
        <v>2.6105358549634175E-3</v>
      </c>
      <c r="T11" s="86">
        <f t="shared" si="4"/>
        <v>3.7037037037037035E-2</v>
      </c>
      <c r="U11" s="87">
        <f t="shared" si="5"/>
        <v>-1.4789999999999998E-3</v>
      </c>
      <c r="V11" s="88">
        <f t="shared" si="6"/>
        <v>5.0000000000000044E-3</v>
      </c>
    </row>
    <row r="12" spans="1:25">
      <c r="A12" s="176">
        <v>7</v>
      </c>
      <c r="B12" s="173" t="s">
        <v>31</v>
      </c>
      <c r="C12" s="174" t="s">
        <v>32</v>
      </c>
      <c r="D12" s="57">
        <v>2678012296.8699999</v>
      </c>
      <c r="E12" s="58">
        <f t="shared" si="0"/>
        <v>3.4137769984095484E-2</v>
      </c>
      <c r="F12" s="57">
        <v>434.26</v>
      </c>
      <c r="G12" s="57">
        <v>440.44</v>
      </c>
      <c r="H12" s="61">
        <v>1862</v>
      </c>
      <c r="I12" s="82">
        <v>-1.5E-3</v>
      </c>
      <c r="J12" s="82">
        <v>0.51190000000000002</v>
      </c>
      <c r="K12" s="57">
        <v>2724266978.1799998</v>
      </c>
      <c r="L12" s="58">
        <f t="shared" si="1"/>
        <v>3.4166213273986348E-2</v>
      </c>
      <c r="M12" s="57">
        <v>439.26</v>
      </c>
      <c r="N12" s="57">
        <v>445.48</v>
      </c>
      <c r="O12" s="61">
        <v>1866</v>
      </c>
      <c r="P12" s="82">
        <v>1.15E-2</v>
      </c>
      <c r="Q12" s="82">
        <v>0.52739999999999998</v>
      </c>
      <c r="R12" s="86">
        <f t="shared" si="2"/>
        <v>1.7272019760350379E-2</v>
      </c>
      <c r="S12" s="86">
        <f t="shared" si="3"/>
        <v>1.1443102352193308E-2</v>
      </c>
      <c r="T12" s="86">
        <f t="shared" si="4"/>
        <v>2.1482277121374865E-3</v>
      </c>
      <c r="U12" s="87">
        <f t="shared" si="5"/>
        <v>1.2999999999999999E-2</v>
      </c>
      <c r="V12" s="88">
        <f t="shared" si="6"/>
        <v>1.5499999999999958E-2</v>
      </c>
    </row>
    <row r="13" spans="1:25">
      <c r="A13" s="176">
        <v>8</v>
      </c>
      <c r="B13" s="173" t="s">
        <v>33</v>
      </c>
      <c r="C13" s="174" t="s">
        <v>34</v>
      </c>
      <c r="D13" s="63">
        <v>498695301.75999999</v>
      </c>
      <c r="E13" s="58">
        <f t="shared" si="0"/>
        <v>6.357082648025791E-3</v>
      </c>
      <c r="F13" s="57">
        <v>249.58</v>
      </c>
      <c r="G13" s="57">
        <v>260.32</v>
      </c>
      <c r="H13" s="59">
        <v>2469</v>
      </c>
      <c r="I13" s="81">
        <v>-8.0000000000000004E-4</v>
      </c>
      <c r="J13" s="81">
        <v>0.14480000000000001</v>
      </c>
      <c r="K13" s="63">
        <v>498795733.00999999</v>
      </c>
      <c r="L13" s="58">
        <f t="shared" si="1"/>
        <v>6.2556135395948715E-3</v>
      </c>
      <c r="M13" s="57">
        <v>249.13</v>
      </c>
      <c r="N13" s="57">
        <v>259.8</v>
      </c>
      <c r="O13" s="59">
        <v>2469</v>
      </c>
      <c r="P13" s="81">
        <v>-8.0000000000000004E-4</v>
      </c>
      <c r="Q13" s="81">
        <v>0.14480000000000001</v>
      </c>
      <c r="R13" s="86">
        <f t="shared" si="2"/>
        <v>2.0138800114129232E-4</v>
      </c>
      <c r="S13" s="86">
        <f t="shared" si="3"/>
        <v>-1.9975414874000533E-3</v>
      </c>
      <c r="T13" s="86">
        <f t="shared" si="4"/>
        <v>0</v>
      </c>
      <c r="U13" s="87">
        <f t="shared" si="5"/>
        <v>0</v>
      </c>
      <c r="V13" s="88">
        <f t="shared" si="6"/>
        <v>0</v>
      </c>
    </row>
    <row r="14" spans="1:25">
      <c r="A14" s="176">
        <v>9</v>
      </c>
      <c r="B14" s="173" t="s">
        <v>35</v>
      </c>
      <c r="C14" s="174" t="s">
        <v>36</v>
      </c>
      <c r="D14" s="62">
        <v>88193000.545100003</v>
      </c>
      <c r="E14" s="58">
        <f t="shared" si="0"/>
        <v>1.1242339590205334E-3</v>
      </c>
      <c r="F14" s="57">
        <v>313.72370000000001</v>
      </c>
      <c r="G14" s="57">
        <v>321.87130000000002</v>
      </c>
      <c r="H14" s="59">
        <v>29</v>
      </c>
      <c r="I14" s="81">
        <v>2.5000000000000001E-3</v>
      </c>
      <c r="J14" s="81">
        <v>0.41570000000000001</v>
      </c>
      <c r="K14" s="62">
        <v>88465949.217500001</v>
      </c>
      <c r="L14" s="58">
        <f t="shared" si="1"/>
        <v>1.1094898233762766E-3</v>
      </c>
      <c r="M14" s="57">
        <v>314.65530000000001</v>
      </c>
      <c r="N14" s="57">
        <v>322.83479999999997</v>
      </c>
      <c r="O14" s="59">
        <v>29</v>
      </c>
      <c r="P14" s="81">
        <v>3.0000000000000001E-3</v>
      </c>
      <c r="Q14" s="81">
        <v>0.4199</v>
      </c>
      <c r="R14" s="86">
        <f t="shared" si="2"/>
        <v>3.0949017576561264E-3</v>
      </c>
      <c r="S14" s="86">
        <f t="shared" si="3"/>
        <v>2.9934324681944414E-3</v>
      </c>
      <c r="T14" s="86">
        <f t="shared" si="4"/>
        <v>0</v>
      </c>
      <c r="U14" s="87">
        <f t="shared" si="5"/>
        <v>5.0000000000000001E-4</v>
      </c>
      <c r="V14" s="88">
        <f t="shared" si="6"/>
        <v>4.1999999999999815E-3</v>
      </c>
    </row>
    <row r="15" spans="1:25" ht="14.25" customHeight="1">
      <c r="A15" s="176">
        <v>10</v>
      </c>
      <c r="B15" s="173" t="s">
        <v>37</v>
      </c>
      <c r="C15" s="174" t="s">
        <v>38</v>
      </c>
      <c r="D15" s="63">
        <v>2826126719.6300001</v>
      </c>
      <c r="E15" s="58">
        <f t="shared" si="0"/>
        <v>3.6025847981876767E-2</v>
      </c>
      <c r="F15" s="57">
        <v>3.8742480000000001</v>
      </c>
      <c r="G15" s="57">
        <v>3.9090210000000001</v>
      </c>
      <c r="H15" s="59">
        <v>2841</v>
      </c>
      <c r="I15" s="81">
        <v>1.1599999999999999E-2</v>
      </c>
      <c r="J15" s="81">
        <v>0.84960000000000002</v>
      </c>
      <c r="K15" s="63">
        <v>3033775444.8400002</v>
      </c>
      <c r="L15" s="58">
        <f t="shared" si="1"/>
        <v>3.8047893141161013E-2</v>
      </c>
      <c r="M15" s="57">
        <v>3.9574009999999999</v>
      </c>
      <c r="N15" s="57">
        <v>3.9921530000000001</v>
      </c>
      <c r="O15" s="59">
        <v>3070</v>
      </c>
      <c r="P15" s="81">
        <v>2.3699999999999999E-2</v>
      </c>
      <c r="Q15" s="81">
        <v>0.88929999999999998</v>
      </c>
      <c r="R15" s="86">
        <f t="shared" si="2"/>
        <v>7.3474668976338628E-2</v>
      </c>
      <c r="S15" s="86">
        <f t="shared" si="3"/>
        <v>2.1266705909228929E-2</v>
      </c>
      <c r="T15" s="86">
        <f t="shared" si="4"/>
        <v>8.0605420626539956E-2</v>
      </c>
      <c r="U15" s="87">
        <f t="shared" si="5"/>
        <v>1.21E-2</v>
      </c>
      <c r="V15" s="88">
        <f t="shared" si="6"/>
        <v>3.9699999999999958E-2</v>
      </c>
    </row>
    <row r="16" spans="1:25" ht="14.25" customHeight="1">
      <c r="A16" s="178">
        <v>11</v>
      </c>
      <c r="B16" s="173" t="s">
        <v>39</v>
      </c>
      <c r="C16" s="174" t="s">
        <v>40</v>
      </c>
      <c r="D16" s="63">
        <v>112958645.03</v>
      </c>
      <c r="E16" s="58">
        <f t="shared" si="0"/>
        <v>1.4399322386443928E-3</v>
      </c>
      <c r="F16" s="57">
        <v>26.78</v>
      </c>
      <c r="G16" s="57">
        <v>27.78</v>
      </c>
      <c r="H16" s="59">
        <v>78</v>
      </c>
      <c r="I16" s="81">
        <v>8.9999999999999993E-3</v>
      </c>
      <c r="J16" s="81">
        <v>1.68</v>
      </c>
      <c r="K16" s="63">
        <v>113357101.62</v>
      </c>
      <c r="L16" s="58">
        <f t="shared" si="1"/>
        <v>1.4216605571665689E-3</v>
      </c>
      <c r="M16" s="57">
        <v>26.64</v>
      </c>
      <c r="N16" s="57">
        <v>27.14</v>
      </c>
      <c r="O16" s="59">
        <v>78</v>
      </c>
      <c r="P16" s="81">
        <v>-5.3E-3</v>
      </c>
      <c r="Q16" s="81">
        <v>1.66</v>
      </c>
      <c r="R16" s="86">
        <f t="shared" ref="R16" si="7">((K16-D16)/D16)</f>
        <v>3.5274554673896796E-3</v>
      </c>
      <c r="S16" s="86">
        <f t="shared" ref="S16" si="8">((N16-G16)/G16)</f>
        <v>-2.3038156947444224E-2</v>
      </c>
      <c r="T16" s="86">
        <f t="shared" ref="T16" si="9">((O16-H16)/H16)</f>
        <v>0</v>
      </c>
      <c r="U16" s="87">
        <f t="shared" ref="U16" si="10">P16-I16</f>
        <v>-1.43E-2</v>
      </c>
      <c r="V16" s="88">
        <f t="shared" ref="V16" si="11">Q16-J16</f>
        <v>-2.0000000000000018E-2</v>
      </c>
    </row>
    <row r="17" spans="1:22">
      <c r="A17" s="176">
        <v>12</v>
      </c>
      <c r="B17" s="173" t="s">
        <v>41</v>
      </c>
      <c r="C17" s="174" t="s">
        <v>42</v>
      </c>
      <c r="D17" s="64">
        <v>2594861599.54</v>
      </c>
      <c r="E17" s="58">
        <f t="shared" si="0"/>
        <v>3.3077812424234264E-2</v>
      </c>
      <c r="F17" s="57">
        <v>5.39</v>
      </c>
      <c r="G17" s="57">
        <v>5.5</v>
      </c>
      <c r="H17" s="59">
        <v>3701</v>
      </c>
      <c r="I17" s="81">
        <v>2.9600000000000001E-2</v>
      </c>
      <c r="J17" s="81">
        <v>0.4798</v>
      </c>
      <c r="K17" s="64">
        <v>2645978728.1199999</v>
      </c>
      <c r="L17" s="58">
        <f t="shared" si="1"/>
        <v>3.3184366388265885E-2</v>
      </c>
      <c r="M17" s="57">
        <v>5.5</v>
      </c>
      <c r="N17" s="57">
        <v>5.62</v>
      </c>
      <c r="O17" s="59">
        <v>3702</v>
      </c>
      <c r="P17" s="81">
        <v>5.2400000000000002E-2</v>
      </c>
      <c r="Q17" s="81">
        <v>0.51270000000000004</v>
      </c>
      <c r="R17" s="86">
        <f t="shared" si="2"/>
        <v>1.969936608143634E-2</v>
      </c>
      <c r="S17" s="86">
        <f t="shared" si="3"/>
        <v>2.1818181818181837E-2</v>
      </c>
      <c r="T17" s="86">
        <f t="shared" si="4"/>
        <v>2.7019724398811131E-4</v>
      </c>
      <c r="U17" s="87">
        <f t="shared" si="5"/>
        <v>2.2800000000000001E-2</v>
      </c>
      <c r="V17" s="88">
        <f t="shared" si="6"/>
        <v>3.290000000000004E-2</v>
      </c>
    </row>
    <row r="18" spans="1:22">
      <c r="A18" s="176">
        <v>13</v>
      </c>
      <c r="B18" s="173" t="s">
        <v>43</v>
      </c>
      <c r="C18" s="174" t="s">
        <v>44</v>
      </c>
      <c r="D18" s="57">
        <v>4035932424.8099999</v>
      </c>
      <c r="E18" s="58">
        <f t="shared" si="0"/>
        <v>5.1447759575468724E-2</v>
      </c>
      <c r="F18" s="57">
        <v>33.460209999999996</v>
      </c>
      <c r="G18" s="57">
        <v>33.568843000000001</v>
      </c>
      <c r="H18" s="59">
        <v>997</v>
      </c>
      <c r="I18" s="81">
        <v>-1.89E-2</v>
      </c>
      <c r="J18" s="81">
        <v>0.39689999999999998</v>
      </c>
      <c r="K18" s="57">
        <v>4029196092</v>
      </c>
      <c r="L18" s="58">
        <f t="shared" si="1"/>
        <v>5.0531895039873216E-2</v>
      </c>
      <c r="M18" s="57">
        <v>33.696475999999997</v>
      </c>
      <c r="N18" s="57">
        <v>33.817030000000003</v>
      </c>
      <c r="O18" s="59">
        <v>979</v>
      </c>
      <c r="P18" s="81">
        <v>2.6200000000000001E-2</v>
      </c>
      <c r="Q18" s="81">
        <v>0.43240000000000001</v>
      </c>
      <c r="R18" s="86">
        <f t="shared" si="2"/>
        <v>-1.6690895934207992E-3</v>
      </c>
      <c r="S18" s="86">
        <f t="shared" si="3"/>
        <v>7.3933736709365138E-3</v>
      </c>
      <c r="T18" s="86">
        <f t="shared" si="4"/>
        <v>-1.8054162487462388E-2</v>
      </c>
      <c r="U18" s="87">
        <f t="shared" si="5"/>
        <v>4.5100000000000001E-2</v>
      </c>
      <c r="V18" s="88">
        <f t="shared" si="6"/>
        <v>3.5500000000000032E-2</v>
      </c>
    </row>
    <row r="19" spans="1:22">
      <c r="A19" s="176">
        <v>14</v>
      </c>
      <c r="B19" s="173" t="s">
        <v>45</v>
      </c>
      <c r="C19" s="174" t="s">
        <v>46</v>
      </c>
      <c r="D19" s="57">
        <v>183446120.59</v>
      </c>
      <c r="E19" s="58">
        <f t="shared" si="0"/>
        <v>2.3384662857954246E-3</v>
      </c>
      <c r="F19" s="57">
        <v>1.97</v>
      </c>
      <c r="G19" s="57">
        <v>2.0499999999999998</v>
      </c>
      <c r="H19" s="59">
        <v>26</v>
      </c>
      <c r="I19" s="81">
        <v>-8.0000000000000004E-4</v>
      </c>
      <c r="J19" s="81">
        <v>0.41399999999999998</v>
      </c>
      <c r="K19" s="57">
        <v>181559256.72999999</v>
      </c>
      <c r="L19" s="58">
        <f t="shared" si="1"/>
        <v>2.2770133533123048E-3</v>
      </c>
      <c r="M19" s="57">
        <v>1.95</v>
      </c>
      <c r="N19" s="57">
        <v>2.0299999999999998</v>
      </c>
      <c r="O19" s="59">
        <v>26</v>
      </c>
      <c r="P19" s="81">
        <v>-1.44E-2</v>
      </c>
      <c r="Q19" s="81">
        <v>0.39989999999999998</v>
      </c>
      <c r="R19" s="86">
        <f t="shared" si="2"/>
        <v>-1.0285656921669844E-2</v>
      </c>
      <c r="S19" s="86">
        <f t="shared" si="3"/>
        <v>-9.7560975609756184E-3</v>
      </c>
      <c r="T19" s="86">
        <f t="shared" si="4"/>
        <v>0</v>
      </c>
      <c r="U19" s="87">
        <f t="shared" si="5"/>
        <v>-1.3599999999999999E-2</v>
      </c>
      <c r="V19" s="88">
        <f t="shared" si="6"/>
        <v>-1.4100000000000001E-2</v>
      </c>
    </row>
    <row r="20" spans="1:22">
      <c r="A20" s="176">
        <v>15</v>
      </c>
      <c r="B20" s="173" t="s">
        <v>47</v>
      </c>
      <c r="C20" s="174" t="s">
        <v>48</v>
      </c>
      <c r="D20" s="165">
        <v>7824325037.1300001</v>
      </c>
      <c r="E20" s="58">
        <f t="shared" si="0"/>
        <v>9.9740023117343271E-2</v>
      </c>
      <c r="F20" s="57">
        <v>49.86</v>
      </c>
      <c r="G20" s="57">
        <v>50.08</v>
      </c>
      <c r="H20" s="59">
        <v>8944</v>
      </c>
      <c r="I20" s="81">
        <v>3.2399999999999998E-2</v>
      </c>
      <c r="J20" s="81">
        <v>0.63580000000000003</v>
      </c>
      <c r="K20" s="165">
        <v>7827052087.2799997</v>
      </c>
      <c r="L20" s="58">
        <f t="shared" si="1"/>
        <v>9.8162453629733526E-2</v>
      </c>
      <c r="M20" s="57">
        <v>50.03</v>
      </c>
      <c r="N20" s="57">
        <v>50.5</v>
      </c>
      <c r="O20" s="59">
        <v>8944</v>
      </c>
      <c r="P20" s="81">
        <v>7.1000000000000004E-3</v>
      </c>
      <c r="Q20" s="81">
        <v>0.64290000000000003</v>
      </c>
      <c r="R20" s="86">
        <f t="shared" si="2"/>
        <v>3.4853487515645355E-4</v>
      </c>
      <c r="S20" s="86">
        <f t="shared" si="3"/>
        <v>8.3865814696485966E-3</v>
      </c>
      <c r="T20" s="86">
        <f t="shared" si="4"/>
        <v>0</v>
      </c>
      <c r="U20" s="87">
        <f t="shared" si="5"/>
        <v>-2.5299999999999996E-2</v>
      </c>
      <c r="V20" s="88">
        <f t="shared" si="6"/>
        <v>7.0999999999999952E-3</v>
      </c>
    </row>
    <row r="21" spans="1:22" ht="12.75" customHeight="1">
      <c r="A21" s="176">
        <v>16</v>
      </c>
      <c r="B21" s="173" t="s">
        <v>49</v>
      </c>
      <c r="C21" s="174" t="s">
        <v>50</v>
      </c>
      <c r="D21" s="57">
        <v>1590951813.3099999</v>
      </c>
      <c r="E21" s="58">
        <f t="shared" si="0"/>
        <v>2.028054431342026E-2</v>
      </c>
      <c r="F21" s="57">
        <v>12289.91</v>
      </c>
      <c r="G21" s="57">
        <v>12449.56</v>
      </c>
      <c r="H21" s="59">
        <v>32</v>
      </c>
      <c r="I21" s="81">
        <v>-1.06E-2</v>
      </c>
      <c r="J21" s="81">
        <v>0.53490000000000004</v>
      </c>
      <c r="K21" s="57">
        <v>1629263467.3900001</v>
      </c>
      <c r="L21" s="58">
        <f t="shared" si="1"/>
        <v>2.0433299508534165E-2</v>
      </c>
      <c r="M21" s="57">
        <v>12420.25</v>
      </c>
      <c r="N21" s="57">
        <v>12579.84</v>
      </c>
      <c r="O21" s="59">
        <v>33</v>
      </c>
      <c r="P21" s="81">
        <v>1.0500000000000001E-2</v>
      </c>
      <c r="Q21" s="81">
        <v>0.55100000000000005</v>
      </c>
      <c r="R21" s="86">
        <f t="shared" si="2"/>
        <v>2.4080964463840154E-2</v>
      </c>
      <c r="S21" s="86">
        <f t="shared" si="3"/>
        <v>1.0464626862314867E-2</v>
      </c>
      <c r="T21" s="86">
        <f t="shared" si="4"/>
        <v>3.125E-2</v>
      </c>
      <c r="U21" s="87">
        <f t="shared" si="5"/>
        <v>2.1100000000000001E-2</v>
      </c>
      <c r="V21" s="88">
        <f t="shared" si="6"/>
        <v>1.6100000000000003E-2</v>
      </c>
    </row>
    <row r="22" spans="1:22">
      <c r="A22" s="176">
        <v>17</v>
      </c>
      <c r="B22" s="173" t="s">
        <v>51</v>
      </c>
      <c r="C22" s="174" t="s">
        <v>50</v>
      </c>
      <c r="D22" s="57">
        <v>23894671826.369999</v>
      </c>
      <c r="E22" s="58">
        <f t="shared" si="0"/>
        <v>0.30459561802888291</v>
      </c>
      <c r="F22" s="57">
        <v>41211.760000000002</v>
      </c>
      <c r="G22" s="57">
        <v>41784.22</v>
      </c>
      <c r="H22" s="59">
        <v>19949</v>
      </c>
      <c r="I22" s="81">
        <v>-1.8499999999999999E-2</v>
      </c>
      <c r="J22" s="81">
        <v>0.62580000000000002</v>
      </c>
      <c r="K22" s="57">
        <v>24325269239.07</v>
      </c>
      <c r="L22" s="58">
        <f t="shared" si="1"/>
        <v>0.30507374770017565</v>
      </c>
      <c r="M22" s="57">
        <v>41791.81</v>
      </c>
      <c r="N22" s="57">
        <v>42372.13</v>
      </c>
      <c r="O22" s="59">
        <v>20094</v>
      </c>
      <c r="P22" s="81">
        <v>1.41E-2</v>
      </c>
      <c r="Q22" s="81">
        <v>0.64859999999999995</v>
      </c>
      <c r="R22" s="86">
        <f t="shared" si="2"/>
        <v>1.8020645599526351E-2</v>
      </c>
      <c r="S22" s="86">
        <f t="shared" si="3"/>
        <v>1.4070144183617551E-2</v>
      </c>
      <c r="T22" s="86">
        <f t="shared" si="4"/>
        <v>7.2685347636473009E-3</v>
      </c>
      <c r="U22" s="87">
        <f t="shared" si="5"/>
        <v>3.2599999999999997E-2</v>
      </c>
      <c r="V22" s="88">
        <f t="shared" si="6"/>
        <v>2.2799999999999931E-2</v>
      </c>
    </row>
    <row r="23" spans="1:22">
      <c r="A23" s="178">
        <v>18</v>
      </c>
      <c r="B23" s="174" t="s">
        <v>52</v>
      </c>
      <c r="C23" s="174" t="s">
        <v>53</v>
      </c>
      <c r="D23" s="57">
        <v>6372640749.6499996</v>
      </c>
      <c r="E23" s="58">
        <f t="shared" si="0"/>
        <v>8.1234781616608104E-2</v>
      </c>
      <c r="F23" s="57">
        <v>1.8991</v>
      </c>
      <c r="G23" s="65">
        <v>1.9188000000000001</v>
      </c>
      <c r="H23" s="59">
        <v>6661</v>
      </c>
      <c r="I23" s="81">
        <v>6.1000000000000004E-3</v>
      </c>
      <c r="J23" s="81">
        <v>0.45829999999999999</v>
      </c>
      <c r="K23" s="57">
        <v>6393605700.2700005</v>
      </c>
      <c r="L23" s="58">
        <f t="shared" si="1"/>
        <v>8.0184981022357937E-2</v>
      </c>
      <c r="M23" s="57">
        <v>1.9063000000000001</v>
      </c>
      <c r="N23" s="65">
        <v>1.9261999999999999</v>
      </c>
      <c r="O23" s="59">
        <v>6697</v>
      </c>
      <c r="P23" s="81">
        <v>3.8E-3</v>
      </c>
      <c r="Q23" s="81">
        <v>0.4632</v>
      </c>
      <c r="R23" s="86">
        <f t="shared" ref="R23:R24" si="12">((K23-D23)/D23)</f>
        <v>3.2898372030703729E-3</v>
      </c>
      <c r="S23" s="86">
        <f t="shared" ref="S23:S24" si="13">((N23-G23)/G23)</f>
        <v>3.856577027308657E-3</v>
      </c>
      <c r="T23" s="86">
        <f t="shared" ref="T23:T24" si="14">((O23-H23)/H23)</f>
        <v>5.4045939048190965E-3</v>
      </c>
      <c r="U23" s="87">
        <f t="shared" ref="U23:U24" si="15">P23-I23</f>
        <v>-2.3000000000000004E-3</v>
      </c>
      <c r="V23" s="88">
        <f t="shared" ref="V23:V24" si="16">Q23-J23</f>
        <v>4.9000000000000155E-3</v>
      </c>
    </row>
    <row r="24" spans="1:22">
      <c r="A24" s="178">
        <v>19</v>
      </c>
      <c r="B24" s="173" t="s">
        <v>330</v>
      </c>
      <c r="C24" s="174" t="s">
        <v>126</v>
      </c>
      <c r="D24" s="57">
        <v>68707953.340000004</v>
      </c>
      <c r="E24" s="58">
        <f t="shared" si="0"/>
        <v>8.7584971508170256E-4</v>
      </c>
      <c r="F24" s="57">
        <v>1.02</v>
      </c>
      <c r="G24" s="65">
        <v>1.03</v>
      </c>
      <c r="H24" s="59">
        <v>39</v>
      </c>
      <c r="I24" s="81">
        <v>6.4999999999999997E-3</v>
      </c>
      <c r="J24" s="81">
        <v>0.02</v>
      </c>
      <c r="K24" s="57">
        <v>68702453.939999998</v>
      </c>
      <c r="L24" s="58">
        <f t="shared" si="1"/>
        <v>8.6162726067634727E-4</v>
      </c>
      <c r="M24" s="57">
        <v>1.01</v>
      </c>
      <c r="N24" s="65">
        <v>1.03</v>
      </c>
      <c r="O24" s="59">
        <v>48</v>
      </c>
      <c r="P24" s="81">
        <v>1.55E-2</v>
      </c>
      <c r="Q24" s="81">
        <v>1.46E-2</v>
      </c>
      <c r="R24" s="86">
        <f t="shared" si="12"/>
        <v>-8.0040224350626252E-5</v>
      </c>
      <c r="S24" s="86">
        <f t="shared" si="13"/>
        <v>0</v>
      </c>
      <c r="T24" s="86">
        <f t="shared" si="14"/>
        <v>0.23076923076923078</v>
      </c>
      <c r="U24" s="87">
        <f t="shared" si="15"/>
        <v>9.0000000000000011E-3</v>
      </c>
      <c r="V24" s="88">
        <f t="shared" si="16"/>
        <v>-5.4000000000000003E-3</v>
      </c>
    </row>
    <row r="25" spans="1:22">
      <c r="A25" s="176">
        <v>20</v>
      </c>
      <c r="B25" s="174" t="s">
        <v>54</v>
      </c>
      <c r="C25" s="174" t="s">
        <v>55</v>
      </c>
      <c r="D25" s="57">
        <v>9696613546.2199993</v>
      </c>
      <c r="E25" s="58">
        <f>(D25/$D$26)</f>
        <v>0.12360688681393001</v>
      </c>
      <c r="F25" s="57">
        <v>212.71</v>
      </c>
      <c r="G25" s="65">
        <v>216.34</v>
      </c>
      <c r="H25" s="59">
        <v>77</v>
      </c>
      <c r="I25" s="81">
        <v>2.6499999999999999E-2</v>
      </c>
      <c r="J25" s="81">
        <v>0.74790000000000001</v>
      </c>
      <c r="K25" s="57">
        <v>9704993273.2299995</v>
      </c>
      <c r="L25" s="58">
        <f t="shared" si="1"/>
        <v>0.12171452822046813</v>
      </c>
      <c r="M25" s="57">
        <v>212.9</v>
      </c>
      <c r="N25" s="65">
        <v>216.53</v>
      </c>
      <c r="O25" s="59">
        <v>77</v>
      </c>
      <c r="P25" s="81">
        <v>8.9999999999999998E-4</v>
      </c>
      <c r="Q25" s="81">
        <v>0.74939999999999996</v>
      </c>
      <c r="R25" s="86">
        <f t="shared" si="2"/>
        <v>8.6419108795635893E-4</v>
      </c>
      <c r="S25" s="86">
        <f t="shared" si="3"/>
        <v>8.7824720347599947E-4</v>
      </c>
      <c r="T25" s="86">
        <f t="shared" si="4"/>
        <v>0</v>
      </c>
      <c r="U25" s="87">
        <f t="shared" si="5"/>
        <v>-2.5599999999999998E-2</v>
      </c>
      <c r="V25" s="88">
        <f t="shared" si="6"/>
        <v>1.4999999999999458E-3</v>
      </c>
    </row>
    <row r="26" spans="1:22">
      <c r="A26" s="66"/>
      <c r="B26" s="67"/>
      <c r="C26" s="68" t="s">
        <v>56</v>
      </c>
      <c r="D26" s="69">
        <f>SUM(D6:D25)</f>
        <v>78447194943.245102</v>
      </c>
      <c r="E26" s="70">
        <f>(D26/$D$231)</f>
        <v>1.0428443624716932E-2</v>
      </c>
      <c r="F26" s="71"/>
      <c r="G26" s="72"/>
      <c r="H26" s="73">
        <f>SUM(H6:H25)</f>
        <v>61801</v>
      </c>
      <c r="I26" s="83"/>
      <c r="J26" s="59">
        <v>0</v>
      </c>
      <c r="K26" s="69">
        <f>SUM(K6:K25)</f>
        <v>79735701358.92749</v>
      </c>
      <c r="L26" s="70">
        <f>(K26/$K$231)</f>
        <v>1.0487144557180698E-2</v>
      </c>
      <c r="M26" s="71"/>
      <c r="N26" s="72"/>
      <c r="O26" s="73">
        <f>SUM(O6:O25)</f>
        <v>62309</v>
      </c>
      <c r="P26" s="83"/>
      <c r="Q26" s="73"/>
      <c r="R26" s="86">
        <f t="shared" si="2"/>
        <v>1.6425143265028096E-2</v>
      </c>
      <c r="S26" s="86" t="e">
        <f t="shared" si="3"/>
        <v>#DIV/0!</v>
      </c>
      <c r="T26" s="86">
        <f t="shared" si="4"/>
        <v>8.2199317163152708E-3</v>
      </c>
      <c r="U26" s="87">
        <f t="shared" si="5"/>
        <v>0</v>
      </c>
      <c r="V26" s="88">
        <f t="shared" si="6"/>
        <v>0</v>
      </c>
    </row>
    <row r="27" spans="1:22" ht="4.5" customHeight="1">
      <c r="A27" s="66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</row>
    <row r="28" spans="1:22" ht="15" customHeight="1">
      <c r="A28" s="192" t="s">
        <v>57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</row>
    <row r="29" spans="1:22">
      <c r="A29" s="172">
        <v>21</v>
      </c>
      <c r="B29" s="173" t="s">
        <v>58</v>
      </c>
      <c r="C29" s="174" t="s">
        <v>20</v>
      </c>
      <c r="D29" s="75">
        <v>5607377894.9499998</v>
      </c>
      <c r="E29" s="58">
        <f t="shared" ref="E29:E34" si="17">(D29/$K$72)</f>
        <v>1.1986570821488831E-3</v>
      </c>
      <c r="F29" s="65">
        <v>100</v>
      </c>
      <c r="G29" s="65">
        <v>100</v>
      </c>
      <c r="H29" s="59">
        <v>879</v>
      </c>
      <c r="I29" s="81">
        <v>0.1593</v>
      </c>
      <c r="J29" s="81">
        <v>0.1593</v>
      </c>
      <c r="K29" s="75">
        <v>5654084456.0799999</v>
      </c>
      <c r="L29" s="58">
        <f t="shared" ref="L29:L34" si="18">(K29/$K$72)</f>
        <v>1.2086412764247343E-3</v>
      </c>
      <c r="M29" s="65">
        <v>100</v>
      </c>
      <c r="N29" s="65">
        <v>100</v>
      </c>
      <c r="O29" s="59">
        <v>879</v>
      </c>
      <c r="P29" s="81">
        <v>0.15079999999999999</v>
      </c>
      <c r="Q29" s="81">
        <v>0.15079999999999999</v>
      </c>
      <c r="R29" s="86">
        <f>((K29-D29)/D29)</f>
        <v>8.3294834065069899E-3</v>
      </c>
      <c r="S29" s="86">
        <f>((N29-G29)/G29)</f>
        <v>0</v>
      </c>
      <c r="T29" s="86">
        <f>((O29-H29)/H29)</f>
        <v>0</v>
      </c>
      <c r="U29" s="86">
        <f>P29-I29</f>
        <v>-8.5000000000000075E-3</v>
      </c>
      <c r="V29" s="133">
        <f>Q29-J29</f>
        <v>-8.5000000000000075E-3</v>
      </c>
    </row>
    <row r="30" spans="1:22">
      <c r="A30" s="172">
        <v>22</v>
      </c>
      <c r="B30" s="173" t="s">
        <v>59</v>
      </c>
      <c r="C30" s="174" t="s">
        <v>60</v>
      </c>
      <c r="D30" s="75">
        <v>30840388815.849998</v>
      </c>
      <c r="E30" s="58">
        <f t="shared" si="17"/>
        <v>6.5925734207491708E-3</v>
      </c>
      <c r="F30" s="65">
        <v>100</v>
      </c>
      <c r="G30" s="65">
        <v>100</v>
      </c>
      <c r="H30" s="59">
        <v>3790</v>
      </c>
      <c r="I30" s="81">
        <v>0.18961800000000001</v>
      </c>
      <c r="J30" s="81">
        <v>0.18961800000000001</v>
      </c>
      <c r="K30" s="75">
        <v>32040051143.84</v>
      </c>
      <c r="L30" s="58">
        <f t="shared" si="18"/>
        <v>6.8490183710578486E-3</v>
      </c>
      <c r="M30" s="65">
        <v>100</v>
      </c>
      <c r="N30" s="65">
        <v>100</v>
      </c>
      <c r="O30" s="59">
        <v>3835</v>
      </c>
      <c r="P30" s="81">
        <v>0.18593499999999999</v>
      </c>
      <c r="Q30" s="81">
        <v>0.18593499999999999</v>
      </c>
      <c r="R30" s="86">
        <f t="shared" ref="R30:R72" si="19">((K30-D30)/D30)</f>
        <v>3.8899066258641056E-2</v>
      </c>
      <c r="S30" s="86">
        <f t="shared" ref="S30:S72" si="20">((N30-G30)/G30)</f>
        <v>0</v>
      </c>
      <c r="T30" s="86">
        <f t="shared" ref="T30:T72" si="21">((O30-H30)/H30)</f>
        <v>1.1873350923482849E-2</v>
      </c>
      <c r="U30" s="87">
        <f t="shared" ref="U30:U72" si="22">P30-I30</f>
        <v>-3.6830000000000196E-3</v>
      </c>
      <c r="V30" s="88">
        <f t="shared" ref="V30:V72" si="23">Q30-J30</f>
        <v>-3.6830000000000196E-3</v>
      </c>
    </row>
    <row r="31" spans="1:22">
      <c r="A31" s="172">
        <v>23</v>
      </c>
      <c r="B31" s="173" t="s">
        <v>61</v>
      </c>
      <c r="C31" s="174" t="s">
        <v>22</v>
      </c>
      <c r="D31" s="75">
        <v>2700900200.9899998</v>
      </c>
      <c r="E31" s="58">
        <f t="shared" si="17"/>
        <v>5.7735597898790679E-4</v>
      </c>
      <c r="F31" s="65">
        <v>100</v>
      </c>
      <c r="G31" s="65">
        <v>100</v>
      </c>
      <c r="H31" s="59">
        <v>2301</v>
      </c>
      <c r="I31" s="81">
        <v>0.1847</v>
      </c>
      <c r="J31" s="81">
        <v>0.1847</v>
      </c>
      <c r="K31" s="75">
        <v>2851489852.75</v>
      </c>
      <c r="L31" s="58">
        <f t="shared" si="18"/>
        <v>6.0954666703534892E-4</v>
      </c>
      <c r="M31" s="65">
        <v>100</v>
      </c>
      <c r="N31" s="65">
        <v>100</v>
      </c>
      <c r="O31" s="59">
        <v>2304</v>
      </c>
      <c r="P31" s="81">
        <v>0.17560000000000001</v>
      </c>
      <c r="Q31" s="81">
        <v>0.17560000000000001</v>
      </c>
      <c r="R31" s="86">
        <f t="shared" si="19"/>
        <v>5.5755355827217322E-2</v>
      </c>
      <c r="S31" s="86">
        <f t="shared" si="20"/>
        <v>0</v>
      </c>
      <c r="T31" s="86">
        <f t="shared" si="21"/>
        <v>1.3037809647979139E-3</v>
      </c>
      <c r="U31" s="87">
        <f t="shared" si="22"/>
        <v>-9.099999999999997E-3</v>
      </c>
      <c r="V31" s="88">
        <f t="shared" si="23"/>
        <v>-9.099999999999997E-3</v>
      </c>
    </row>
    <row r="32" spans="1:22">
      <c r="A32" s="172">
        <v>24</v>
      </c>
      <c r="B32" s="173" t="s">
        <v>62</v>
      </c>
      <c r="C32" s="174" t="s">
        <v>24</v>
      </c>
      <c r="D32" s="75">
        <v>314926338188.88</v>
      </c>
      <c r="E32" s="58">
        <f t="shared" si="17"/>
        <v>6.7320001023166515E-2</v>
      </c>
      <c r="F32" s="65">
        <v>1</v>
      </c>
      <c r="G32" s="65">
        <v>1</v>
      </c>
      <c r="H32" s="59">
        <v>77791</v>
      </c>
      <c r="I32" s="81">
        <v>0.1807</v>
      </c>
      <c r="J32" s="81">
        <v>0.1807</v>
      </c>
      <c r="K32" s="75">
        <v>325316704736.03003</v>
      </c>
      <c r="L32" s="58">
        <f t="shared" si="18"/>
        <v>6.9541090216937579E-2</v>
      </c>
      <c r="M32" s="65">
        <v>1</v>
      </c>
      <c r="N32" s="65">
        <v>1</v>
      </c>
      <c r="O32" s="59">
        <v>77975</v>
      </c>
      <c r="P32" s="81">
        <v>0.1804</v>
      </c>
      <c r="Q32" s="81">
        <v>0.1804</v>
      </c>
      <c r="R32" s="86">
        <f t="shared" si="19"/>
        <v>3.2993005941974615E-2</v>
      </c>
      <c r="S32" s="86">
        <f t="shared" si="20"/>
        <v>0</v>
      </c>
      <c r="T32" s="86">
        <f t="shared" si="21"/>
        <v>2.3653121826432365E-3</v>
      </c>
      <c r="U32" s="87">
        <f t="shared" si="22"/>
        <v>-2.9999999999999472E-4</v>
      </c>
      <c r="V32" s="88">
        <f t="shared" si="23"/>
        <v>-2.9999999999999472E-4</v>
      </c>
    </row>
    <row r="33" spans="1:22">
      <c r="A33" s="172">
        <v>25</v>
      </c>
      <c r="B33" s="173" t="s">
        <v>63</v>
      </c>
      <c r="C33" s="174" t="s">
        <v>64</v>
      </c>
      <c r="D33" s="75">
        <v>1689210362.29</v>
      </c>
      <c r="E33" s="58">
        <f t="shared" si="17"/>
        <v>3.610928319672744E-4</v>
      </c>
      <c r="F33" s="65">
        <v>1</v>
      </c>
      <c r="G33" s="65">
        <v>1</v>
      </c>
      <c r="H33" s="59">
        <v>300</v>
      </c>
      <c r="I33" s="81">
        <v>0.1638</v>
      </c>
      <c r="J33" s="81">
        <v>0.1638</v>
      </c>
      <c r="K33" s="75">
        <v>1703433477.8199999</v>
      </c>
      <c r="L33" s="58">
        <f t="shared" si="18"/>
        <v>3.6413322597667584E-4</v>
      </c>
      <c r="M33" s="65">
        <v>1</v>
      </c>
      <c r="N33" s="65">
        <v>1</v>
      </c>
      <c r="O33" s="59">
        <v>300</v>
      </c>
      <c r="P33" s="81">
        <v>0.16220000000000001</v>
      </c>
      <c r="Q33" s="81">
        <v>0.16220000000000001</v>
      </c>
      <c r="R33" s="86">
        <f t="shared" si="19"/>
        <v>8.4199788537398148E-3</v>
      </c>
      <c r="S33" s="86">
        <f t="shared" si="20"/>
        <v>0</v>
      </c>
      <c r="T33" s="86">
        <f t="shared" si="21"/>
        <v>0</v>
      </c>
      <c r="U33" s="87">
        <f t="shared" si="22"/>
        <v>-1.5999999999999903E-3</v>
      </c>
      <c r="V33" s="88">
        <f t="shared" si="23"/>
        <v>-1.5999999999999903E-3</v>
      </c>
    </row>
    <row r="34" spans="1:22">
      <c r="A34" s="172">
        <v>26</v>
      </c>
      <c r="B34" s="173" t="s">
        <v>65</v>
      </c>
      <c r="C34" s="174" t="s">
        <v>26</v>
      </c>
      <c r="D34" s="75">
        <v>163444470209.07001</v>
      </c>
      <c r="E34" s="58">
        <f t="shared" si="17"/>
        <v>3.49385890204785E-2</v>
      </c>
      <c r="F34" s="65">
        <v>1</v>
      </c>
      <c r="G34" s="65">
        <v>1</v>
      </c>
      <c r="H34" s="59">
        <v>37126</v>
      </c>
      <c r="I34" s="81">
        <v>0.16109999999999999</v>
      </c>
      <c r="J34" s="81">
        <v>0.16109999999999999</v>
      </c>
      <c r="K34" s="75">
        <v>159762139086.59</v>
      </c>
      <c r="L34" s="58">
        <f t="shared" si="18"/>
        <v>3.415143817003323E-2</v>
      </c>
      <c r="M34" s="65">
        <v>1</v>
      </c>
      <c r="N34" s="65">
        <v>1</v>
      </c>
      <c r="O34" s="59">
        <v>37380</v>
      </c>
      <c r="P34" s="81">
        <v>0.161</v>
      </c>
      <c r="Q34" s="81">
        <v>0.161</v>
      </c>
      <c r="R34" s="86">
        <f t="shared" si="19"/>
        <v>-2.2529554641828854E-2</v>
      </c>
      <c r="S34" s="86">
        <f t="shared" si="20"/>
        <v>0</v>
      </c>
      <c r="T34" s="86">
        <f t="shared" si="21"/>
        <v>6.8415665571297741E-3</v>
      </c>
      <c r="U34" s="87">
        <f t="shared" si="22"/>
        <v>-9.9999999999988987E-5</v>
      </c>
      <c r="V34" s="88">
        <f t="shared" si="23"/>
        <v>-9.9999999999988987E-5</v>
      </c>
    </row>
    <row r="35" spans="1:22">
      <c r="A35" s="172">
        <v>27</v>
      </c>
      <c r="B35" s="173" t="s">
        <v>66</v>
      </c>
      <c r="C35" s="174" t="s">
        <v>28</v>
      </c>
      <c r="D35" s="57">
        <v>15371515762.360001</v>
      </c>
      <c r="E35" s="58">
        <f t="shared" ref="E35" si="24">(D35/$D$26)</f>
        <v>0.19594729643910111</v>
      </c>
      <c r="F35" s="57">
        <v>1</v>
      </c>
      <c r="G35" s="57">
        <v>1</v>
      </c>
      <c r="H35" s="59">
        <v>1363</v>
      </c>
      <c r="I35" s="81">
        <v>0.1875</v>
      </c>
      <c r="J35" s="81">
        <v>0.1875</v>
      </c>
      <c r="K35" s="57">
        <v>14858100861.360001</v>
      </c>
      <c r="L35" s="58">
        <f t="shared" ref="L35" si="25">(K35/$K$26)</f>
        <v>0.1863418846029431</v>
      </c>
      <c r="M35" s="57">
        <v>1</v>
      </c>
      <c r="N35" s="57">
        <v>1</v>
      </c>
      <c r="O35" s="59">
        <v>1376</v>
      </c>
      <c r="P35" s="81">
        <v>0.18759999999999999</v>
      </c>
      <c r="Q35" s="81">
        <v>0.18759999999999999</v>
      </c>
      <c r="R35" s="86">
        <f t="shared" si="19"/>
        <v>-3.3400408192482314E-2</v>
      </c>
      <c r="S35" s="86">
        <f t="shared" si="20"/>
        <v>0</v>
      </c>
      <c r="T35" s="86">
        <f t="shared" si="21"/>
        <v>9.5377842993396925E-3</v>
      </c>
      <c r="U35" s="87">
        <f t="shared" si="22"/>
        <v>9.9999999999988987E-5</v>
      </c>
      <c r="V35" s="88">
        <f t="shared" si="23"/>
        <v>9.9999999999988987E-5</v>
      </c>
    </row>
    <row r="36" spans="1:22" ht="15" customHeight="1">
      <c r="A36" s="172">
        <v>28</v>
      </c>
      <c r="B36" s="173" t="s">
        <v>67</v>
      </c>
      <c r="C36" s="174" t="s">
        <v>48</v>
      </c>
      <c r="D36" s="75">
        <v>36871573891.919998</v>
      </c>
      <c r="E36" s="58">
        <f t="shared" ref="E36:E50" si="26">(D36/$K$72)</f>
        <v>7.8818253386005923E-3</v>
      </c>
      <c r="F36" s="65">
        <v>100</v>
      </c>
      <c r="G36" s="65">
        <v>100</v>
      </c>
      <c r="H36" s="59">
        <v>2083</v>
      </c>
      <c r="I36" s="81">
        <v>0.18329999999999999</v>
      </c>
      <c r="J36" s="81">
        <v>0.18329999999999999</v>
      </c>
      <c r="K36" s="75">
        <v>35182306090.110001</v>
      </c>
      <c r="L36" s="58">
        <f t="shared" ref="L36:L50" si="27">(K36/$K$72)</f>
        <v>7.520720228115849E-3</v>
      </c>
      <c r="M36" s="65">
        <v>100</v>
      </c>
      <c r="N36" s="65">
        <v>100</v>
      </c>
      <c r="O36" s="59">
        <v>2083</v>
      </c>
      <c r="P36" s="81">
        <v>0.18709999999999999</v>
      </c>
      <c r="Q36" s="81">
        <v>0.18709999999999999</v>
      </c>
      <c r="R36" s="86">
        <f t="shared" si="19"/>
        <v>-4.5814908980063421E-2</v>
      </c>
      <c r="S36" s="86">
        <f t="shared" si="20"/>
        <v>0</v>
      </c>
      <c r="T36" s="86">
        <f t="shared" si="21"/>
        <v>0</v>
      </c>
      <c r="U36" s="87">
        <f t="shared" si="22"/>
        <v>3.7999999999999978E-3</v>
      </c>
      <c r="V36" s="88">
        <f t="shared" si="23"/>
        <v>3.7999999999999978E-3</v>
      </c>
    </row>
    <row r="37" spans="1:22" ht="15" customHeight="1">
      <c r="A37" s="172">
        <v>29</v>
      </c>
      <c r="B37" s="173" t="s">
        <v>68</v>
      </c>
      <c r="C37" s="174" t="s">
        <v>69</v>
      </c>
      <c r="D37" s="75">
        <v>2274079925.8499999</v>
      </c>
      <c r="E37" s="58">
        <f t="shared" si="26"/>
        <v>4.86117051420344E-4</v>
      </c>
      <c r="F37" s="65">
        <v>1</v>
      </c>
      <c r="G37" s="65">
        <v>1</v>
      </c>
      <c r="H37" s="59">
        <v>569</v>
      </c>
      <c r="I37" s="81">
        <v>0.16439999999999999</v>
      </c>
      <c r="J37" s="81">
        <v>0.16439999999999999</v>
      </c>
      <c r="K37" s="75">
        <v>2282953575.0700002</v>
      </c>
      <c r="L37" s="58">
        <f t="shared" si="27"/>
        <v>4.8801392063110957E-4</v>
      </c>
      <c r="M37" s="65">
        <v>1</v>
      </c>
      <c r="N37" s="65">
        <v>1</v>
      </c>
      <c r="O37" s="59">
        <v>571</v>
      </c>
      <c r="P37" s="81">
        <v>0.16439999999999999</v>
      </c>
      <c r="Q37" s="81">
        <v>0.16439999999999999</v>
      </c>
      <c r="R37" s="86">
        <f t="shared" si="19"/>
        <v>3.9020832641506638E-3</v>
      </c>
      <c r="S37" s="86">
        <f t="shared" si="20"/>
        <v>0</v>
      </c>
      <c r="T37" s="86">
        <f t="shared" si="21"/>
        <v>3.5149384885764497E-3</v>
      </c>
      <c r="U37" s="87">
        <f t="shared" si="22"/>
        <v>0</v>
      </c>
      <c r="V37" s="88">
        <f t="shared" si="23"/>
        <v>0</v>
      </c>
    </row>
    <row r="38" spans="1:22">
      <c r="A38" s="172">
        <v>30</v>
      </c>
      <c r="B38" s="173" t="s">
        <v>70</v>
      </c>
      <c r="C38" s="174" t="s">
        <v>71</v>
      </c>
      <c r="D38" s="75">
        <v>83576938556.550003</v>
      </c>
      <c r="E38" s="58">
        <f t="shared" si="26"/>
        <v>1.7865763852896881E-2</v>
      </c>
      <c r="F38" s="65">
        <v>100</v>
      </c>
      <c r="G38" s="65">
        <v>100</v>
      </c>
      <c r="H38" s="59">
        <v>5502</v>
      </c>
      <c r="I38" s="81">
        <v>0.17760000000000001</v>
      </c>
      <c r="J38" s="81">
        <v>0.17760000000000001</v>
      </c>
      <c r="K38" s="75">
        <v>83901840492.75</v>
      </c>
      <c r="L38" s="58">
        <f t="shared" si="27"/>
        <v>1.7935216280417547E-2</v>
      </c>
      <c r="M38" s="65">
        <v>100</v>
      </c>
      <c r="N38" s="65">
        <v>100</v>
      </c>
      <c r="O38" s="59">
        <v>5531</v>
      </c>
      <c r="P38" s="81">
        <v>0.17610000000000001</v>
      </c>
      <c r="Q38" s="81">
        <v>0.17610000000000001</v>
      </c>
      <c r="R38" s="86">
        <f t="shared" si="19"/>
        <v>3.8874591700934478E-3</v>
      </c>
      <c r="S38" s="86">
        <f t="shared" si="20"/>
        <v>0</v>
      </c>
      <c r="T38" s="86">
        <f t="shared" si="21"/>
        <v>5.2708106143220645E-3</v>
      </c>
      <c r="U38" s="87">
        <f t="shared" si="22"/>
        <v>-1.5000000000000013E-3</v>
      </c>
      <c r="V38" s="88">
        <f t="shared" si="23"/>
        <v>-1.5000000000000013E-3</v>
      </c>
    </row>
    <row r="39" spans="1:22">
      <c r="A39" s="172">
        <v>31</v>
      </c>
      <c r="B39" s="173" t="s">
        <v>72</v>
      </c>
      <c r="C39" s="174" t="s">
        <v>73</v>
      </c>
      <c r="D39" s="75">
        <v>33924207621.049999</v>
      </c>
      <c r="E39" s="58">
        <f t="shared" si="26"/>
        <v>7.2517837183547415E-3</v>
      </c>
      <c r="F39" s="65">
        <v>100</v>
      </c>
      <c r="G39" s="65">
        <v>100</v>
      </c>
      <c r="H39" s="59">
        <v>5502</v>
      </c>
      <c r="I39" s="81">
        <v>0.1731</v>
      </c>
      <c r="J39" s="81">
        <v>0.1731</v>
      </c>
      <c r="K39" s="75">
        <v>35813776479.199997</v>
      </c>
      <c r="L39" s="58">
        <f t="shared" si="27"/>
        <v>7.6557060393506711E-3</v>
      </c>
      <c r="M39" s="65">
        <v>100</v>
      </c>
      <c r="N39" s="65">
        <v>100</v>
      </c>
      <c r="O39" s="59">
        <v>5513</v>
      </c>
      <c r="P39" s="81">
        <v>0.17330000000000001</v>
      </c>
      <c r="Q39" s="81">
        <v>0.17330000000000001</v>
      </c>
      <c r="R39" s="86">
        <f t="shared" si="19"/>
        <v>5.5699719777021962E-2</v>
      </c>
      <c r="S39" s="86">
        <f t="shared" si="20"/>
        <v>0</v>
      </c>
      <c r="T39" s="86">
        <f t="shared" si="21"/>
        <v>1.9992729916394037E-3</v>
      </c>
      <c r="U39" s="87">
        <f t="shared" si="22"/>
        <v>2.0000000000000573E-4</v>
      </c>
      <c r="V39" s="88">
        <f t="shared" si="23"/>
        <v>2.0000000000000573E-4</v>
      </c>
    </row>
    <row r="40" spans="1:22">
      <c r="A40" s="172">
        <v>32</v>
      </c>
      <c r="B40" s="173" t="s">
        <v>74</v>
      </c>
      <c r="C40" s="174" t="s">
        <v>75</v>
      </c>
      <c r="D40" s="75">
        <v>64069163457.25</v>
      </c>
      <c r="E40" s="58">
        <f t="shared" si="26"/>
        <v>1.3695698410936492E-2</v>
      </c>
      <c r="F40" s="65">
        <v>1</v>
      </c>
      <c r="G40" s="65">
        <v>1</v>
      </c>
      <c r="H40" s="59">
        <v>13765</v>
      </c>
      <c r="I40" s="81">
        <v>0.17680000000000001</v>
      </c>
      <c r="J40" s="81">
        <v>0.17680000000000001</v>
      </c>
      <c r="K40" s="75">
        <v>67551658438.739998</v>
      </c>
      <c r="L40" s="58">
        <f t="shared" si="27"/>
        <v>1.4440131433164282E-2</v>
      </c>
      <c r="M40" s="65">
        <v>1</v>
      </c>
      <c r="N40" s="65">
        <v>1</v>
      </c>
      <c r="O40" s="59">
        <v>13933</v>
      </c>
      <c r="P40" s="81">
        <v>0.17319999999999999</v>
      </c>
      <c r="Q40" s="81">
        <v>0.17319999999999999</v>
      </c>
      <c r="R40" s="86">
        <f t="shared" si="19"/>
        <v>5.4355243514513568E-2</v>
      </c>
      <c r="S40" s="86">
        <f t="shared" si="20"/>
        <v>0</v>
      </c>
      <c r="T40" s="86">
        <f t="shared" si="21"/>
        <v>1.2204867417362876E-2</v>
      </c>
      <c r="U40" s="87">
        <f t="shared" si="22"/>
        <v>-3.6000000000000199E-3</v>
      </c>
      <c r="V40" s="88">
        <f t="shared" si="23"/>
        <v>-3.6000000000000199E-3</v>
      </c>
    </row>
    <row r="41" spans="1:22">
      <c r="A41" s="172">
        <v>33</v>
      </c>
      <c r="B41" s="173" t="s">
        <v>76</v>
      </c>
      <c r="C41" s="174" t="s">
        <v>77</v>
      </c>
      <c r="D41" s="75">
        <v>1079741272.96</v>
      </c>
      <c r="E41" s="58">
        <v>0</v>
      </c>
      <c r="F41" s="65">
        <v>1000</v>
      </c>
      <c r="G41" s="65">
        <v>1000</v>
      </c>
      <c r="H41" s="59">
        <v>58</v>
      </c>
      <c r="I41" s="81">
        <v>0.19189999999999999</v>
      </c>
      <c r="J41" s="81">
        <v>0.19189999999999999</v>
      </c>
      <c r="K41" s="75">
        <v>1076352629.77</v>
      </c>
      <c r="L41" s="58">
        <f t="shared" si="27"/>
        <v>2.3008574180907591E-4</v>
      </c>
      <c r="M41" s="65">
        <v>1000</v>
      </c>
      <c r="N41" s="65">
        <v>1000</v>
      </c>
      <c r="O41" s="59">
        <v>57</v>
      </c>
      <c r="P41" s="81">
        <v>0.1925</v>
      </c>
      <c r="Q41" s="81">
        <v>0.1925</v>
      </c>
      <c r="R41" s="86">
        <f t="shared" si="19"/>
        <v>-3.1383844212145742E-3</v>
      </c>
      <c r="S41" s="86">
        <f t="shared" si="20"/>
        <v>0</v>
      </c>
      <c r="T41" s="86">
        <f t="shared" si="21"/>
        <v>-1.7241379310344827E-2</v>
      </c>
      <c r="U41" s="87">
        <f t="shared" si="22"/>
        <v>6.0000000000001719E-4</v>
      </c>
      <c r="V41" s="88">
        <f t="shared" si="23"/>
        <v>6.0000000000001719E-4</v>
      </c>
    </row>
    <row r="42" spans="1:22">
      <c r="A42" s="172">
        <v>34</v>
      </c>
      <c r="B42" s="173" t="s">
        <v>78</v>
      </c>
      <c r="C42" s="174" t="s">
        <v>79</v>
      </c>
      <c r="D42" s="75">
        <v>83053119871.149994</v>
      </c>
      <c r="E42" s="58">
        <f t="shared" si="26"/>
        <v>1.7753790130280094E-2</v>
      </c>
      <c r="F42" s="76">
        <v>100</v>
      </c>
      <c r="G42" s="76">
        <v>100</v>
      </c>
      <c r="H42" s="59">
        <v>4546</v>
      </c>
      <c r="I42" s="81">
        <v>0.1956</v>
      </c>
      <c r="J42" s="81">
        <v>0.1956</v>
      </c>
      <c r="K42" s="75">
        <v>85372873946.690002</v>
      </c>
      <c r="L42" s="58">
        <f t="shared" si="27"/>
        <v>1.8249670683291148E-2</v>
      </c>
      <c r="M42" s="76">
        <v>100</v>
      </c>
      <c r="N42" s="76">
        <v>100</v>
      </c>
      <c r="O42" s="59">
        <v>4546</v>
      </c>
      <c r="P42" s="81">
        <v>0.1958</v>
      </c>
      <c r="Q42" s="81">
        <v>0.1958</v>
      </c>
      <c r="R42" s="86">
        <f t="shared" si="19"/>
        <v>2.7930968507130303E-2</v>
      </c>
      <c r="S42" s="86">
        <f t="shared" si="20"/>
        <v>0</v>
      </c>
      <c r="T42" s="86">
        <f t="shared" si="21"/>
        <v>0</v>
      </c>
      <c r="U42" s="87">
        <f t="shared" si="22"/>
        <v>2.0000000000000573E-4</v>
      </c>
      <c r="V42" s="88">
        <f t="shared" si="23"/>
        <v>2.0000000000000573E-4</v>
      </c>
    </row>
    <row r="43" spans="1:22">
      <c r="A43" s="172">
        <v>35</v>
      </c>
      <c r="B43" s="173" t="s">
        <v>80</v>
      </c>
      <c r="C43" s="174" t="s">
        <v>79</v>
      </c>
      <c r="D43" s="75">
        <v>12115354651.43</v>
      </c>
      <c r="E43" s="58">
        <f t="shared" si="26"/>
        <v>2.5898300288911551E-3</v>
      </c>
      <c r="F43" s="76">
        <v>1000000</v>
      </c>
      <c r="G43" s="76">
        <v>1000000</v>
      </c>
      <c r="H43" s="59">
        <v>45</v>
      </c>
      <c r="I43" s="81">
        <v>0.19889999999999999</v>
      </c>
      <c r="J43" s="81">
        <v>0.19889999999999999</v>
      </c>
      <c r="K43" s="75">
        <v>11474482447.709999</v>
      </c>
      <c r="L43" s="58">
        <f t="shared" si="27"/>
        <v>2.4528344455485079E-3</v>
      </c>
      <c r="M43" s="76">
        <v>1000000</v>
      </c>
      <c r="N43" s="76">
        <v>1000000</v>
      </c>
      <c r="O43" s="59">
        <v>45</v>
      </c>
      <c r="P43" s="81">
        <v>0.19980000000000001</v>
      </c>
      <c r="Q43" s="81">
        <v>0.19980000000000001</v>
      </c>
      <c r="R43" s="86">
        <f t="shared" si="19"/>
        <v>-5.2897519070509234E-2</v>
      </c>
      <c r="S43" s="86">
        <f t="shared" si="20"/>
        <v>0</v>
      </c>
      <c r="T43" s="86">
        <f t="shared" si="21"/>
        <v>0</v>
      </c>
      <c r="U43" s="87">
        <f t="shared" si="22"/>
        <v>9.000000000000119E-4</v>
      </c>
      <c r="V43" s="88">
        <f t="shared" si="23"/>
        <v>9.000000000000119E-4</v>
      </c>
    </row>
    <row r="44" spans="1:22">
      <c r="A44" s="172">
        <v>36</v>
      </c>
      <c r="B44" s="173" t="s">
        <v>81</v>
      </c>
      <c r="C44" s="174" t="s">
        <v>82</v>
      </c>
      <c r="D44" s="75">
        <v>6928906300.5500002</v>
      </c>
      <c r="E44" s="58">
        <f t="shared" si="26"/>
        <v>1.4811526464410568E-3</v>
      </c>
      <c r="F44" s="65">
        <v>1</v>
      </c>
      <c r="G44" s="65">
        <v>1</v>
      </c>
      <c r="H44" s="59">
        <v>1058</v>
      </c>
      <c r="I44" s="81">
        <v>0.1981</v>
      </c>
      <c r="J44" s="81">
        <v>0.1981</v>
      </c>
      <c r="K44" s="75">
        <v>7154545844.1999998</v>
      </c>
      <c r="L44" s="58">
        <f t="shared" si="27"/>
        <v>1.52938632037491E-3</v>
      </c>
      <c r="M44" s="65">
        <v>1</v>
      </c>
      <c r="N44" s="65">
        <v>1</v>
      </c>
      <c r="O44" s="59">
        <v>1113</v>
      </c>
      <c r="P44" s="81">
        <v>0.20300000000000001</v>
      </c>
      <c r="Q44" s="81">
        <v>0.20300000000000001</v>
      </c>
      <c r="R44" s="86">
        <f t="shared" si="19"/>
        <v>3.256495814239671E-2</v>
      </c>
      <c r="S44" s="86">
        <f t="shared" si="20"/>
        <v>0</v>
      </c>
      <c r="T44" s="86">
        <f t="shared" si="21"/>
        <v>5.1984877126654061E-2</v>
      </c>
      <c r="U44" s="87">
        <f t="shared" si="22"/>
        <v>4.9000000000000155E-3</v>
      </c>
      <c r="V44" s="88">
        <f t="shared" si="23"/>
        <v>4.9000000000000155E-3</v>
      </c>
    </row>
    <row r="45" spans="1:22">
      <c r="A45" s="172">
        <v>37</v>
      </c>
      <c r="B45" s="173" t="s">
        <v>83</v>
      </c>
      <c r="C45" s="174" t="s">
        <v>84</v>
      </c>
      <c r="D45" s="75">
        <v>679037313259.72998</v>
      </c>
      <c r="E45" s="58">
        <f t="shared" si="26"/>
        <v>0.14515392039390682</v>
      </c>
      <c r="F45" s="65">
        <v>100</v>
      </c>
      <c r="G45" s="65">
        <v>100</v>
      </c>
      <c r="H45" s="59">
        <v>33167</v>
      </c>
      <c r="I45" s="81">
        <v>0.16830000000000001</v>
      </c>
      <c r="J45" s="81">
        <v>0.16830000000000001</v>
      </c>
      <c r="K45" s="75">
        <v>685713303603.44995</v>
      </c>
      <c r="L45" s="58">
        <f t="shared" si="27"/>
        <v>0.14658100864366866</v>
      </c>
      <c r="M45" s="65">
        <v>100</v>
      </c>
      <c r="N45" s="65">
        <v>100</v>
      </c>
      <c r="O45" s="59">
        <v>33146</v>
      </c>
      <c r="P45" s="81">
        <v>0.16830000000000001</v>
      </c>
      <c r="Q45" s="81">
        <v>0.16830000000000001</v>
      </c>
      <c r="R45" s="86">
        <f t="shared" si="19"/>
        <v>9.8315515412132036E-3</v>
      </c>
      <c r="S45" s="86">
        <f t="shared" si="20"/>
        <v>0</v>
      </c>
      <c r="T45" s="86">
        <f t="shared" si="21"/>
        <v>-6.3315946573401277E-4</v>
      </c>
      <c r="U45" s="87">
        <f t="shared" si="22"/>
        <v>0</v>
      </c>
      <c r="V45" s="88">
        <f t="shared" si="23"/>
        <v>0</v>
      </c>
    </row>
    <row r="46" spans="1:22">
      <c r="A46" s="172">
        <v>38</v>
      </c>
      <c r="B46" s="173" t="s">
        <v>85</v>
      </c>
      <c r="C46" s="174" t="s">
        <v>86</v>
      </c>
      <c r="D46" s="75">
        <v>3946731122.7600002</v>
      </c>
      <c r="E46" s="58">
        <f t="shared" si="26"/>
        <v>8.4367012537075862E-4</v>
      </c>
      <c r="F46" s="65">
        <v>1</v>
      </c>
      <c r="G46" s="65">
        <v>1</v>
      </c>
      <c r="H46" s="77">
        <v>1775</v>
      </c>
      <c r="I46" s="84">
        <v>0.1918</v>
      </c>
      <c r="J46" s="84">
        <v>0.1918</v>
      </c>
      <c r="K46" s="75">
        <v>3995339564.8899999</v>
      </c>
      <c r="L46" s="58">
        <f t="shared" si="27"/>
        <v>8.5406087386370787E-4</v>
      </c>
      <c r="M46" s="65">
        <v>1</v>
      </c>
      <c r="N46" s="65">
        <v>1</v>
      </c>
      <c r="O46" s="77">
        <v>1784</v>
      </c>
      <c r="P46" s="84">
        <v>0.19289999999999999</v>
      </c>
      <c r="Q46" s="84">
        <v>0.19289999999999999</v>
      </c>
      <c r="R46" s="86">
        <f t="shared" si="19"/>
        <v>1.2316127098115345E-2</v>
      </c>
      <c r="S46" s="86">
        <f t="shared" si="20"/>
        <v>0</v>
      </c>
      <c r="T46" s="86">
        <f t="shared" si="21"/>
        <v>5.0704225352112674E-3</v>
      </c>
      <c r="U46" s="87">
        <f t="shared" si="22"/>
        <v>1.0999999999999899E-3</v>
      </c>
      <c r="V46" s="88">
        <f t="shared" si="23"/>
        <v>1.0999999999999899E-3</v>
      </c>
    </row>
    <row r="47" spans="1:22">
      <c r="A47" s="172">
        <v>39</v>
      </c>
      <c r="B47" s="173" t="s">
        <v>87</v>
      </c>
      <c r="C47" s="174" t="s">
        <v>88</v>
      </c>
      <c r="D47" s="75">
        <v>3335106231.8400002</v>
      </c>
      <c r="E47" s="58">
        <f t="shared" si="26"/>
        <v>7.129265727059648E-4</v>
      </c>
      <c r="F47" s="65">
        <v>1</v>
      </c>
      <c r="G47" s="65">
        <v>1</v>
      </c>
      <c r="H47" s="77">
        <v>476</v>
      </c>
      <c r="I47" s="84">
        <v>0.1525</v>
      </c>
      <c r="J47" s="84">
        <v>0.1525</v>
      </c>
      <c r="K47" s="75">
        <v>3502802185.8299999</v>
      </c>
      <c r="L47" s="58">
        <f t="shared" si="27"/>
        <v>7.4877397708348248E-4</v>
      </c>
      <c r="M47" s="65">
        <v>1</v>
      </c>
      <c r="N47" s="65">
        <v>1</v>
      </c>
      <c r="O47" s="77">
        <v>478</v>
      </c>
      <c r="P47" s="84">
        <v>0.1767</v>
      </c>
      <c r="Q47" s="84">
        <v>0.1767</v>
      </c>
      <c r="R47" s="86">
        <f t="shared" si="19"/>
        <v>5.0282042709470398E-2</v>
      </c>
      <c r="S47" s="86">
        <f t="shared" si="20"/>
        <v>0</v>
      </c>
      <c r="T47" s="86">
        <f t="shared" si="21"/>
        <v>4.2016806722689074E-3</v>
      </c>
      <c r="U47" s="87">
        <f t="shared" si="22"/>
        <v>2.4199999999999999E-2</v>
      </c>
      <c r="V47" s="88">
        <f t="shared" si="23"/>
        <v>2.4199999999999999E-2</v>
      </c>
    </row>
    <row r="48" spans="1:22">
      <c r="A48" s="172">
        <v>40</v>
      </c>
      <c r="B48" s="173" t="s">
        <v>89</v>
      </c>
      <c r="C48" s="174" t="s">
        <v>90</v>
      </c>
      <c r="D48" s="75">
        <v>8699922.7599999998</v>
      </c>
      <c r="E48" s="58">
        <f t="shared" si="26"/>
        <v>1.8597326996302333E-6</v>
      </c>
      <c r="F48" s="65">
        <v>1</v>
      </c>
      <c r="G48" s="65">
        <v>1</v>
      </c>
      <c r="H48" s="77">
        <v>23</v>
      </c>
      <c r="I48" s="84">
        <v>0</v>
      </c>
      <c r="J48" s="84">
        <v>0</v>
      </c>
      <c r="K48" s="75">
        <v>8699839.0099999998</v>
      </c>
      <c r="L48" s="58">
        <f t="shared" si="27"/>
        <v>1.859714796872026E-6</v>
      </c>
      <c r="M48" s="65">
        <v>1</v>
      </c>
      <c r="N48" s="65">
        <v>1</v>
      </c>
      <c r="O48" s="77">
        <v>23</v>
      </c>
      <c r="P48" s="84">
        <v>0</v>
      </c>
      <c r="Q48" s="84">
        <v>0</v>
      </c>
      <c r="R48" s="86">
        <f t="shared" si="19"/>
        <v>-9.6265222474228033E-6</v>
      </c>
      <c r="S48" s="86">
        <f t="shared" si="20"/>
        <v>0</v>
      </c>
      <c r="T48" s="86">
        <f t="shared" si="21"/>
        <v>0</v>
      </c>
      <c r="U48" s="87">
        <f t="shared" si="22"/>
        <v>0</v>
      </c>
      <c r="V48" s="88">
        <f t="shared" si="23"/>
        <v>0</v>
      </c>
    </row>
    <row r="49" spans="1:22">
      <c r="A49" s="172">
        <v>41</v>
      </c>
      <c r="B49" s="173" t="s">
        <v>91</v>
      </c>
      <c r="C49" s="174" t="s">
        <v>92</v>
      </c>
      <c r="D49" s="75">
        <v>1775426796.99</v>
      </c>
      <c r="E49" s="58">
        <f t="shared" si="26"/>
        <v>3.7952282580518804E-4</v>
      </c>
      <c r="F49" s="65">
        <v>10</v>
      </c>
      <c r="G49" s="65">
        <v>10</v>
      </c>
      <c r="H49" s="59">
        <v>530</v>
      </c>
      <c r="I49" s="81">
        <v>0.17249999999999999</v>
      </c>
      <c r="J49" s="81">
        <v>0.17249999999999999</v>
      </c>
      <c r="K49" s="75">
        <v>1780843976.3099999</v>
      </c>
      <c r="L49" s="58">
        <f t="shared" si="27"/>
        <v>3.8068082522645699E-4</v>
      </c>
      <c r="M49" s="65">
        <v>10</v>
      </c>
      <c r="N49" s="65">
        <v>10</v>
      </c>
      <c r="O49" s="59">
        <v>529</v>
      </c>
      <c r="P49" s="81">
        <v>0.18529999999999999</v>
      </c>
      <c r="Q49" s="81">
        <v>0.18529999999999999</v>
      </c>
      <c r="R49" s="86">
        <f t="shared" si="19"/>
        <v>3.0511983536488465E-3</v>
      </c>
      <c r="S49" s="86">
        <f t="shared" si="20"/>
        <v>0</v>
      </c>
      <c r="T49" s="86">
        <f t="shared" si="21"/>
        <v>-1.8867924528301887E-3</v>
      </c>
      <c r="U49" s="87">
        <f t="shared" si="22"/>
        <v>1.2800000000000006E-2</v>
      </c>
      <c r="V49" s="88">
        <f t="shared" si="23"/>
        <v>1.2800000000000006E-2</v>
      </c>
    </row>
    <row r="50" spans="1:22">
      <c r="A50" s="172">
        <v>42</v>
      </c>
      <c r="B50" s="173" t="s">
        <v>93</v>
      </c>
      <c r="C50" s="174" t="s">
        <v>94</v>
      </c>
      <c r="D50" s="75">
        <v>9611176484.1299992</v>
      </c>
      <c r="E50" s="58">
        <f t="shared" si="26"/>
        <v>2.0545261932249266E-3</v>
      </c>
      <c r="F50" s="65">
        <v>100</v>
      </c>
      <c r="G50" s="65">
        <v>100</v>
      </c>
      <c r="H50" s="59">
        <v>995</v>
      </c>
      <c r="I50" s="81">
        <v>0.1807</v>
      </c>
      <c r="J50" s="81">
        <v>0.1807</v>
      </c>
      <c r="K50" s="75">
        <v>9627055915.6200008</v>
      </c>
      <c r="L50" s="58">
        <f t="shared" si="27"/>
        <v>2.0579206484181694E-3</v>
      </c>
      <c r="M50" s="65">
        <v>100</v>
      </c>
      <c r="N50" s="65">
        <v>100</v>
      </c>
      <c r="O50" s="59">
        <v>1002</v>
      </c>
      <c r="P50" s="81">
        <v>0.16880000000000001</v>
      </c>
      <c r="Q50" s="81">
        <v>0.16880000000000001</v>
      </c>
      <c r="R50" s="86">
        <f t="shared" si="19"/>
        <v>1.6521839460779686E-3</v>
      </c>
      <c r="S50" s="86">
        <f t="shared" si="20"/>
        <v>0</v>
      </c>
      <c r="T50" s="86">
        <f t="shared" si="21"/>
        <v>7.0351758793969852E-3</v>
      </c>
      <c r="U50" s="87">
        <f t="shared" si="22"/>
        <v>-1.1899999999999994E-2</v>
      </c>
      <c r="V50" s="88">
        <f t="shared" si="23"/>
        <v>-1.1899999999999994E-2</v>
      </c>
    </row>
    <row r="51" spans="1:22">
      <c r="A51" s="172">
        <v>43</v>
      </c>
      <c r="B51" s="173" t="s">
        <v>95</v>
      </c>
      <c r="C51" s="173" t="s">
        <v>96</v>
      </c>
      <c r="D51" s="78">
        <v>124632141.72</v>
      </c>
      <c r="E51" s="58">
        <f>(D51/$D$197)</f>
        <v>1.4990886909338357E-3</v>
      </c>
      <c r="F51" s="57">
        <v>1</v>
      </c>
      <c r="G51" s="57">
        <v>1</v>
      </c>
      <c r="H51" s="59">
        <v>119</v>
      </c>
      <c r="I51" s="81">
        <v>0.1575</v>
      </c>
      <c r="J51" s="81">
        <v>0.1575</v>
      </c>
      <c r="K51" s="78">
        <v>124618308</v>
      </c>
      <c r="L51" s="85">
        <f>(K51/$K$197)</f>
        <v>1.4860643028192359E-3</v>
      </c>
      <c r="M51" s="57">
        <v>1</v>
      </c>
      <c r="N51" s="57">
        <v>1</v>
      </c>
      <c r="O51" s="59">
        <v>119</v>
      </c>
      <c r="P51" s="81">
        <v>0.15770000000000001</v>
      </c>
      <c r="Q51" s="81">
        <v>0.15770000000000001</v>
      </c>
      <c r="R51" s="87">
        <f t="shared" si="19"/>
        <v>-1.1099640758062075E-4</v>
      </c>
      <c r="S51" s="87">
        <f t="shared" si="20"/>
        <v>0</v>
      </c>
      <c r="T51" s="87">
        <f t="shared" si="21"/>
        <v>0</v>
      </c>
      <c r="U51" s="87">
        <f t="shared" si="22"/>
        <v>2.0000000000000573E-4</v>
      </c>
      <c r="V51" s="88">
        <f t="shared" si="23"/>
        <v>2.0000000000000573E-4</v>
      </c>
    </row>
    <row r="52" spans="1:22">
      <c r="A52" s="172">
        <v>44</v>
      </c>
      <c r="B52" s="173" t="s">
        <v>97</v>
      </c>
      <c r="C52" s="174" t="s">
        <v>38</v>
      </c>
      <c r="D52" s="75">
        <v>901198306.10000002</v>
      </c>
      <c r="E52" s="58">
        <f t="shared" ref="E52" si="28">(D52/$K$72)</f>
        <v>1.9264400442855727E-4</v>
      </c>
      <c r="F52" s="65">
        <v>100</v>
      </c>
      <c r="G52" s="65">
        <v>100</v>
      </c>
      <c r="H52" s="59">
        <v>4991</v>
      </c>
      <c r="I52" s="81">
        <v>0.14979999999999999</v>
      </c>
      <c r="J52" s="81">
        <v>0.14979999999999999</v>
      </c>
      <c r="K52" s="75">
        <v>855982353.50999999</v>
      </c>
      <c r="L52" s="58">
        <f t="shared" ref="L52" si="29">(K52/$K$72)</f>
        <v>1.8297844900970052E-4</v>
      </c>
      <c r="M52" s="65">
        <v>100</v>
      </c>
      <c r="N52" s="65">
        <v>100</v>
      </c>
      <c r="O52" s="59">
        <v>5108</v>
      </c>
      <c r="P52" s="81">
        <v>0.14369999999999999</v>
      </c>
      <c r="Q52" s="81">
        <v>0.14369999999999999</v>
      </c>
      <c r="R52" s="86">
        <f t="shared" ref="R52" si="30">((K52-D52)/D52)</f>
        <v>-5.0173144228017136E-2</v>
      </c>
      <c r="S52" s="86">
        <f t="shared" ref="S52" si="31">((N52-G52)/G52)</f>
        <v>0</v>
      </c>
      <c r="T52" s="86">
        <f t="shared" ref="T52" si="32">((O52-H52)/H52)</f>
        <v>2.3442195952714885E-2</v>
      </c>
      <c r="U52" s="87">
        <f t="shared" ref="U52" si="33">P52-I52</f>
        <v>-6.0999999999999943E-3</v>
      </c>
      <c r="V52" s="88">
        <f t="shared" ref="V52" si="34">Q52-J52</f>
        <v>-6.0999999999999943E-3</v>
      </c>
    </row>
    <row r="53" spans="1:22">
      <c r="A53" s="172">
        <v>45</v>
      </c>
      <c r="B53" s="173" t="s">
        <v>98</v>
      </c>
      <c r="C53" s="174" t="s">
        <v>38</v>
      </c>
      <c r="D53" s="75">
        <v>246519453954.76001</v>
      </c>
      <c r="E53" s="58">
        <f t="shared" ref="E53:E71" si="35">(D53/$K$72)</f>
        <v>5.2697052866094274E-2</v>
      </c>
      <c r="F53" s="65">
        <v>100</v>
      </c>
      <c r="G53" s="65">
        <v>100</v>
      </c>
      <c r="H53" s="59">
        <v>23645</v>
      </c>
      <c r="I53" s="81">
        <v>0.1807</v>
      </c>
      <c r="J53" s="81">
        <v>0.1807</v>
      </c>
      <c r="K53" s="75">
        <v>255272213557.64001</v>
      </c>
      <c r="L53" s="58">
        <f t="shared" ref="L53:L71" si="36">(K53/$K$72)</f>
        <v>5.456808019524708E-2</v>
      </c>
      <c r="M53" s="65">
        <v>100</v>
      </c>
      <c r="N53" s="65">
        <v>100</v>
      </c>
      <c r="O53" s="59">
        <v>24805</v>
      </c>
      <c r="P53" s="81">
        <v>0.18279999999999999</v>
      </c>
      <c r="Q53" s="81">
        <v>0.18279999999999999</v>
      </c>
      <c r="R53" s="86">
        <f t="shared" si="19"/>
        <v>3.5505350439751775E-2</v>
      </c>
      <c r="S53" s="86">
        <f t="shared" si="20"/>
        <v>0</v>
      </c>
      <c r="T53" s="86">
        <f t="shared" si="21"/>
        <v>4.9058997673926831E-2</v>
      </c>
      <c r="U53" s="87">
        <f t="shared" si="22"/>
        <v>2.0999999999999908E-3</v>
      </c>
      <c r="V53" s="88">
        <f t="shared" si="23"/>
        <v>2.0999999999999908E-3</v>
      </c>
    </row>
    <row r="54" spans="1:22">
      <c r="A54" s="172">
        <v>46</v>
      </c>
      <c r="B54" s="173" t="s">
        <v>99</v>
      </c>
      <c r="C54" s="174" t="s">
        <v>42</v>
      </c>
      <c r="D54" s="75">
        <v>44788513704.379997</v>
      </c>
      <c r="E54" s="58">
        <f t="shared" si="35"/>
        <v>9.5741842544671413E-3</v>
      </c>
      <c r="F54" s="65">
        <v>1</v>
      </c>
      <c r="G54" s="65">
        <v>1</v>
      </c>
      <c r="H54" s="59">
        <v>2815</v>
      </c>
      <c r="I54" s="81">
        <v>0.16059999999999999</v>
      </c>
      <c r="J54" s="81">
        <v>0.16059999999999999</v>
      </c>
      <c r="K54" s="75">
        <v>47492574062.290001</v>
      </c>
      <c r="L54" s="58">
        <f t="shared" si="36"/>
        <v>1.0152215762114579E-2</v>
      </c>
      <c r="M54" s="65">
        <v>1</v>
      </c>
      <c r="N54" s="65">
        <v>1</v>
      </c>
      <c r="O54" s="59">
        <v>2846</v>
      </c>
      <c r="P54" s="81">
        <v>0.17749999999999999</v>
      </c>
      <c r="Q54" s="81">
        <v>0.17749999999999999</v>
      </c>
      <c r="R54" s="86">
        <f t="shared" si="19"/>
        <v>6.0373969445777026E-2</v>
      </c>
      <c r="S54" s="86">
        <f t="shared" si="20"/>
        <v>0</v>
      </c>
      <c r="T54" s="86">
        <f t="shared" si="21"/>
        <v>1.1012433392539964E-2</v>
      </c>
      <c r="U54" s="87">
        <f t="shared" si="22"/>
        <v>1.6899999999999998E-2</v>
      </c>
      <c r="V54" s="88">
        <f t="shared" si="23"/>
        <v>1.6899999999999998E-2</v>
      </c>
    </row>
    <row r="55" spans="1:22">
      <c r="A55" s="172">
        <v>47</v>
      </c>
      <c r="B55" s="173" t="s">
        <v>100</v>
      </c>
      <c r="C55" s="174" t="s">
        <v>101</v>
      </c>
      <c r="D55" s="75">
        <v>4650787697.8109999</v>
      </c>
      <c r="E55" s="58">
        <f t="shared" si="35"/>
        <v>9.9417227017508931E-4</v>
      </c>
      <c r="F55" s="65">
        <v>100</v>
      </c>
      <c r="G55" s="65">
        <v>100</v>
      </c>
      <c r="H55" s="59">
        <v>956</v>
      </c>
      <c r="I55" s="81">
        <v>0.17469999999999999</v>
      </c>
      <c r="J55" s="81">
        <v>0.17469999999999999</v>
      </c>
      <c r="K55" s="75">
        <v>4782544436.4250002</v>
      </c>
      <c r="L55" s="58">
        <f t="shared" si="36"/>
        <v>1.0223371541581616E-3</v>
      </c>
      <c r="M55" s="65">
        <v>100</v>
      </c>
      <c r="N55" s="65">
        <v>100</v>
      </c>
      <c r="O55" s="59">
        <v>959</v>
      </c>
      <c r="P55" s="81">
        <v>0.17249999999999999</v>
      </c>
      <c r="Q55" s="81">
        <v>0.17249999999999999</v>
      </c>
      <c r="R55" s="86">
        <f t="shared" si="19"/>
        <v>2.8329983472695316E-2</v>
      </c>
      <c r="S55" s="86">
        <f t="shared" si="20"/>
        <v>0</v>
      </c>
      <c r="T55" s="86">
        <f t="shared" si="21"/>
        <v>3.1380753138075313E-3</v>
      </c>
      <c r="U55" s="87">
        <f t="shared" si="22"/>
        <v>-2.2000000000000075E-3</v>
      </c>
      <c r="V55" s="88">
        <f t="shared" si="23"/>
        <v>-2.2000000000000075E-3</v>
      </c>
    </row>
    <row r="56" spans="1:22">
      <c r="A56" s="172">
        <v>48</v>
      </c>
      <c r="B56" s="173" t="s">
        <v>102</v>
      </c>
      <c r="C56" s="174" t="s">
        <v>44</v>
      </c>
      <c r="D56" s="79">
        <v>81363252924.059998</v>
      </c>
      <c r="E56" s="58">
        <f t="shared" si="35"/>
        <v>1.7392556943937692E-2</v>
      </c>
      <c r="F56" s="65">
        <v>10</v>
      </c>
      <c r="G56" s="65">
        <v>10</v>
      </c>
      <c r="H56" s="59">
        <v>7921</v>
      </c>
      <c r="I56" s="81">
        <v>0.19750000000000001</v>
      </c>
      <c r="J56" s="81">
        <v>0.19750000000000001</v>
      </c>
      <c r="K56" s="79">
        <v>83353499895.690002</v>
      </c>
      <c r="L56" s="58">
        <f t="shared" si="36"/>
        <v>1.7818000649081615E-2</v>
      </c>
      <c r="M56" s="65">
        <v>10</v>
      </c>
      <c r="N56" s="65">
        <v>10</v>
      </c>
      <c r="O56" s="59">
        <v>7823</v>
      </c>
      <c r="P56" s="81">
        <v>0.1888</v>
      </c>
      <c r="Q56" s="81">
        <v>0.1888</v>
      </c>
      <c r="R56" s="86">
        <f t="shared" si="19"/>
        <v>2.4461251241854751E-2</v>
      </c>
      <c r="S56" s="86">
        <f t="shared" si="20"/>
        <v>0</v>
      </c>
      <c r="T56" s="86">
        <f t="shared" si="21"/>
        <v>-1.2372175230400202E-2</v>
      </c>
      <c r="U56" s="87">
        <f t="shared" si="22"/>
        <v>-8.7000000000000133E-3</v>
      </c>
      <c r="V56" s="88">
        <f t="shared" si="23"/>
        <v>-8.7000000000000133E-3</v>
      </c>
    </row>
    <row r="57" spans="1:22">
      <c r="A57" s="172">
        <v>49</v>
      </c>
      <c r="B57" s="173" t="s">
        <v>103</v>
      </c>
      <c r="C57" s="174" t="s">
        <v>104</v>
      </c>
      <c r="D57" s="75">
        <v>31904902286</v>
      </c>
      <c r="E57" s="58">
        <f t="shared" si="35"/>
        <v>6.8201283731605892E-3</v>
      </c>
      <c r="F57" s="65">
        <v>100</v>
      </c>
      <c r="G57" s="65">
        <v>100</v>
      </c>
      <c r="H57" s="59">
        <v>5358</v>
      </c>
      <c r="I57" s="81">
        <v>0.1804</v>
      </c>
      <c r="J57" s="81">
        <v>0.1804</v>
      </c>
      <c r="K57" s="75">
        <v>31870563111</v>
      </c>
      <c r="L57" s="58">
        <f t="shared" si="36"/>
        <v>6.8127878842404524E-3</v>
      </c>
      <c r="M57" s="65">
        <v>100</v>
      </c>
      <c r="N57" s="65">
        <v>100</v>
      </c>
      <c r="O57" s="59">
        <v>5403</v>
      </c>
      <c r="P57" s="81">
        <v>0.19120000000000001</v>
      </c>
      <c r="Q57" s="81">
        <v>0.19120000000000001</v>
      </c>
      <c r="R57" s="86">
        <f t="shared" si="19"/>
        <v>-1.0762977642801987E-3</v>
      </c>
      <c r="S57" s="86">
        <f t="shared" si="20"/>
        <v>0</v>
      </c>
      <c r="T57" s="86">
        <f t="shared" si="21"/>
        <v>8.3986562150055993E-3</v>
      </c>
      <c r="U57" s="87">
        <f t="shared" si="22"/>
        <v>1.0800000000000004E-2</v>
      </c>
      <c r="V57" s="88">
        <f t="shared" si="23"/>
        <v>1.0800000000000004E-2</v>
      </c>
    </row>
    <row r="58" spans="1:22">
      <c r="A58" s="172">
        <v>50</v>
      </c>
      <c r="B58" s="173" t="s">
        <v>105</v>
      </c>
      <c r="C58" s="174" t="s">
        <v>106</v>
      </c>
      <c r="D58" s="75">
        <v>177441321.97</v>
      </c>
      <c r="E58" s="58">
        <f t="shared" si="35"/>
        <v>3.7930615918850472E-5</v>
      </c>
      <c r="F58" s="65">
        <v>1</v>
      </c>
      <c r="G58" s="65">
        <v>1</v>
      </c>
      <c r="H58" s="59">
        <v>94</v>
      </c>
      <c r="I58" s="81">
        <v>0.128</v>
      </c>
      <c r="J58" s="81">
        <v>0.128</v>
      </c>
      <c r="K58" s="75">
        <v>177704537.69</v>
      </c>
      <c r="L58" s="58">
        <f t="shared" si="36"/>
        <v>3.7986882036958017E-5</v>
      </c>
      <c r="M58" s="65">
        <v>1</v>
      </c>
      <c r="N58" s="65">
        <v>1</v>
      </c>
      <c r="O58" s="59">
        <v>94</v>
      </c>
      <c r="P58" s="81">
        <v>9.9599999999999994E-2</v>
      </c>
      <c r="Q58" s="81">
        <v>9.9599999999999994E-2</v>
      </c>
      <c r="R58" s="86">
        <f t="shared" si="19"/>
        <v>1.48339584645622E-3</v>
      </c>
      <c r="S58" s="86">
        <f t="shared" si="20"/>
        <v>0</v>
      </c>
      <c r="T58" s="86">
        <f t="shared" si="21"/>
        <v>0</v>
      </c>
      <c r="U58" s="87">
        <f t="shared" si="22"/>
        <v>-2.8400000000000009E-2</v>
      </c>
      <c r="V58" s="88">
        <f t="shared" si="23"/>
        <v>-2.8400000000000009E-2</v>
      </c>
    </row>
    <row r="59" spans="1:22">
      <c r="A59" s="172">
        <v>51</v>
      </c>
      <c r="B59" s="173" t="s">
        <v>107</v>
      </c>
      <c r="C59" s="174" t="s">
        <v>46</v>
      </c>
      <c r="D59" s="79">
        <v>2451450698.48</v>
      </c>
      <c r="E59" s="58">
        <f t="shared" si="35"/>
        <v>5.2403258641052942E-4</v>
      </c>
      <c r="F59" s="65">
        <v>10</v>
      </c>
      <c r="G59" s="65">
        <v>10</v>
      </c>
      <c r="H59" s="59">
        <v>925</v>
      </c>
      <c r="I59" s="81">
        <v>0.1605</v>
      </c>
      <c r="J59" s="81">
        <v>0.1605</v>
      </c>
      <c r="K59" s="79">
        <v>2279695390.96</v>
      </c>
      <c r="L59" s="58">
        <f t="shared" si="36"/>
        <v>4.8731743726017183E-4</v>
      </c>
      <c r="M59" s="65">
        <v>10</v>
      </c>
      <c r="N59" s="65">
        <v>10</v>
      </c>
      <c r="O59" s="59">
        <v>921</v>
      </c>
      <c r="P59" s="81">
        <v>0.16289999999999999</v>
      </c>
      <c r="Q59" s="81">
        <v>0.16289999999999999</v>
      </c>
      <c r="R59" s="86">
        <f t="shared" si="19"/>
        <v>-7.0062721484260446E-2</v>
      </c>
      <c r="S59" s="86">
        <f t="shared" si="20"/>
        <v>0</v>
      </c>
      <c r="T59" s="86">
        <f t="shared" si="21"/>
        <v>-4.3243243243243244E-3</v>
      </c>
      <c r="U59" s="87">
        <f t="shared" si="22"/>
        <v>2.3999999999999855E-3</v>
      </c>
      <c r="V59" s="88">
        <f t="shared" si="23"/>
        <v>2.3999999999999855E-3</v>
      </c>
    </row>
    <row r="60" spans="1:22">
      <c r="A60" s="172">
        <v>52</v>
      </c>
      <c r="B60" s="173" t="s">
        <v>108</v>
      </c>
      <c r="C60" s="174" t="s">
        <v>109</v>
      </c>
      <c r="D60" s="79">
        <v>1105588954</v>
      </c>
      <c r="E60" s="58">
        <f t="shared" si="35"/>
        <v>2.3633542352320675E-4</v>
      </c>
      <c r="F60" s="65">
        <v>1</v>
      </c>
      <c r="G60" s="65">
        <v>1</v>
      </c>
      <c r="H60" s="59">
        <v>170</v>
      </c>
      <c r="I60" s="81">
        <v>0.222</v>
      </c>
      <c r="J60" s="81">
        <v>0.222</v>
      </c>
      <c r="K60" s="79">
        <v>1101314956</v>
      </c>
      <c r="L60" s="58">
        <f t="shared" si="36"/>
        <v>2.3542179543040352E-4</v>
      </c>
      <c r="M60" s="65">
        <v>1</v>
      </c>
      <c r="N60" s="65">
        <v>1</v>
      </c>
      <c r="O60" s="59">
        <v>172</v>
      </c>
      <c r="P60" s="81">
        <v>0.22420000000000001</v>
      </c>
      <c r="Q60" s="81">
        <v>0.22420000000000001</v>
      </c>
      <c r="R60" s="86">
        <f t="shared" si="19"/>
        <v>-3.8658110544038593E-3</v>
      </c>
      <c r="S60" s="86">
        <f t="shared" si="20"/>
        <v>0</v>
      </c>
      <c r="T60" s="86">
        <f t="shared" si="21"/>
        <v>1.1764705882352941E-2</v>
      </c>
      <c r="U60" s="87">
        <f t="shared" si="22"/>
        <v>2.2000000000000075E-3</v>
      </c>
      <c r="V60" s="88">
        <f t="shared" si="23"/>
        <v>2.2000000000000075E-3</v>
      </c>
    </row>
    <row r="61" spans="1:22">
      <c r="A61" s="172">
        <v>53</v>
      </c>
      <c r="B61" s="173" t="s">
        <v>110</v>
      </c>
      <c r="C61" s="174" t="s">
        <v>111</v>
      </c>
      <c r="D61" s="79">
        <v>1798930425.3299999</v>
      </c>
      <c r="E61" s="58">
        <f t="shared" si="35"/>
        <v>3.8454706192655032E-4</v>
      </c>
      <c r="F61" s="65">
        <v>1</v>
      </c>
      <c r="G61" s="65">
        <v>1</v>
      </c>
      <c r="H61" s="59">
        <v>1769</v>
      </c>
      <c r="I61" s="81">
        <v>0.15909999999999999</v>
      </c>
      <c r="J61" s="81">
        <v>0.15909999999999999</v>
      </c>
      <c r="K61" s="79">
        <v>1854715594.29</v>
      </c>
      <c r="L61" s="58">
        <f t="shared" si="36"/>
        <v>3.9647193824226943E-4</v>
      </c>
      <c r="M61" s="65">
        <v>1</v>
      </c>
      <c r="N61" s="65">
        <v>1</v>
      </c>
      <c r="O61" s="59">
        <v>1797</v>
      </c>
      <c r="P61" s="81">
        <v>0.1673</v>
      </c>
      <c r="Q61" s="81">
        <v>0.1673</v>
      </c>
      <c r="R61" s="86">
        <f t="shared" si="19"/>
        <v>3.1010187039205075E-2</v>
      </c>
      <c r="S61" s="86">
        <f t="shared" si="20"/>
        <v>0</v>
      </c>
      <c r="T61" s="86">
        <f t="shared" si="21"/>
        <v>1.582815149802148E-2</v>
      </c>
      <c r="U61" s="87">
        <f t="shared" si="22"/>
        <v>8.2000000000000128E-3</v>
      </c>
      <c r="V61" s="88">
        <f t="shared" si="23"/>
        <v>8.2000000000000128E-3</v>
      </c>
    </row>
    <row r="62" spans="1:22">
      <c r="A62" s="172">
        <v>54</v>
      </c>
      <c r="B62" s="173" t="s">
        <v>112</v>
      </c>
      <c r="C62" s="174" t="s">
        <v>113</v>
      </c>
      <c r="D62" s="79">
        <v>16476462502.4338</v>
      </c>
      <c r="E62" s="58">
        <f t="shared" si="35"/>
        <v>3.5220790960226317E-3</v>
      </c>
      <c r="F62" s="65">
        <v>100</v>
      </c>
      <c r="G62" s="65">
        <v>100</v>
      </c>
      <c r="H62" s="59">
        <v>150</v>
      </c>
      <c r="I62" s="81">
        <v>0.1701</v>
      </c>
      <c r="J62" s="81">
        <v>0.1701</v>
      </c>
      <c r="K62" s="79">
        <v>16280111943.2703</v>
      </c>
      <c r="L62" s="58">
        <f t="shared" si="36"/>
        <v>3.4801063606845722E-3</v>
      </c>
      <c r="M62" s="65">
        <v>100</v>
      </c>
      <c r="N62" s="65">
        <v>100</v>
      </c>
      <c r="O62" s="59">
        <v>151</v>
      </c>
      <c r="P62" s="81">
        <v>0.17130000000000001</v>
      </c>
      <c r="Q62" s="81">
        <v>0.17130000000000001</v>
      </c>
      <c r="R62" s="86">
        <f t="shared" si="19"/>
        <v>-1.1917033716096289E-2</v>
      </c>
      <c r="S62" s="86">
        <f t="shared" si="20"/>
        <v>0</v>
      </c>
      <c r="T62" s="86">
        <f t="shared" si="21"/>
        <v>6.6666666666666671E-3</v>
      </c>
      <c r="U62" s="87">
        <f t="shared" si="22"/>
        <v>1.2000000000000066E-3</v>
      </c>
      <c r="V62" s="88">
        <f t="shared" si="23"/>
        <v>1.2000000000000066E-3</v>
      </c>
    </row>
    <row r="63" spans="1:22">
      <c r="A63" s="172">
        <v>55</v>
      </c>
      <c r="B63" s="173" t="s">
        <v>114</v>
      </c>
      <c r="C63" s="174" t="s">
        <v>77</v>
      </c>
      <c r="D63" s="79">
        <v>71166128.290000007</v>
      </c>
      <c r="E63" s="58">
        <f t="shared" si="35"/>
        <v>1.5212775968024022E-5</v>
      </c>
      <c r="F63" s="65">
        <v>1000</v>
      </c>
      <c r="G63" s="65">
        <v>1000</v>
      </c>
      <c r="H63" s="59">
        <v>23</v>
      </c>
      <c r="I63" s="81">
        <v>0.24329999999999999</v>
      </c>
      <c r="J63" s="81">
        <v>0.24329999999999999</v>
      </c>
      <c r="K63" s="79">
        <v>71439543.859999999</v>
      </c>
      <c r="L63" s="58">
        <f t="shared" si="36"/>
        <v>1.5271222449693363E-5</v>
      </c>
      <c r="M63" s="65">
        <v>1000</v>
      </c>
      <c r="N63" s="65">
        <v>1000</v>
      </c>
      <c r="O63" s="59">
        <v>23</v>
      </c>
      <c r="P63" s="81">
        <v>0.2432</v>
      </c>
      <c r="Q63" s="81">
        <v>0.2432</v>
      </c>
      <c r="R63" s="86">
        <f t="shared" si="19"/>
        <v>3.8419340291470116E-3</v>
      </c>
      <c r="S63" s="86">
        <f t="shared" si="20"/>
        <v>0</v>
      </c>
      <c r="T63" s="86">
        <f t="shared" si="21"/>
        <v>0</v>
      </c>
      <c r="U63" s="87">
        <f t="shared" si="22"/>
        <v>-9.9999999999988987E-5</v>
      </c>
      <c r="V63" s="88">
        <f t="shared" si="23"/>
        <v>-9.9999999999988987E-5</v>
      </c>
    </row>
    <row r="64" spans="1:22">
      <c r="A64" s="172">
        <v>56</v>
      </c>
      <c r="B64" s="173" t="s">
        <v>115</v>
      </c>
      <c r="C64" s="174" t="s">
        <v>50</v>
      </c>
      <c r="D64" s="75">
        <v>2282381285438.9199</v>
      </c>
      <c r="E64" s="58">
        <f t="shared" si="35"/>
        <v>0.48789158555182904</v>
      </c>
      <c r="F64" s="65">
        <v>100</v>
      </c>
      <c r="G64" s="65">
        <v>100</v>
      </c>
      <c r="H64" s="59">
        <v>258983</v>
      </c>
      <c r="I64" s="81">
        <v>0.1615</v>
      </c>
      <c r="J64" s="81">
        <v>0.1615</v>
      </c>
      <c r="K64" s="75">
        <v>2281937716171.8701</v>
      </c>
      <c r="L64" s="58">
        <f t="shared" si="36"/>
        <v>0.48779676628811369</v>
      </c>
      <c r="M64" s="65">
        <v>100</v>
      </c>
      <c r="N64" s="65">
        <v>100</v>
      </c>
      <c r="O64" s="59">
        <v>261658</v>
      </c>
      <c r="P64" s="81">
        <v>0.16089999999999999</v>
      </c>
      <c r="Q64" s="81">
        <v>0.16089999999999999</v>
      </c>
      <c r="R64" s="86">
        <f t="shared" si="19"/>
        <v>-1.9434494572825189E-4</v>
      </c>
      <c r="S64" s="86">
        <f t="shared" si="20"/>
        <v>0</v>
      </c>
      <c r="T64" s="86">
        <f t="shared" si="21"/>
        <v>1.0328863284462687E-2</v>
      </c>
      <c r="U64" s="87">
        <f t="shared" si="22"/>
        <v>-6.0000000000001719E-4</v>
      </c>
      <c r="V64" s="88">
        <f t="shared" si="23"/>
        <v>-6.0000000000001719E-4</v>
      </c>
    </row>
    <row r="65" spans="1:22">
      <c r="A65" s="172">
        <v>57</v>
      </c>
      <c r="B65" s="173" t="s">
        <v>116</v>
      </c>
      <c r="C65" s="173" t="s">
        <v>117</v>
      </c>
      <c r="D65" s="75">
        <v>7313627790.6599998</v>
      </c>
      <c r="E65" s="58">
        <f t="shared" si="35"/>
        <v>1.5633923576598306E-3</v>
      </c>
      <c r="F65" s="65">
        <v>100</v>
      </c>
      <c r="G65" s="65">
        <v>100</v>
      </c>
      <c r="H65" s="59">
        <v>960</v>
      </c>
      <c r="I65" s="81">
        <v>0.2034</v>
      </c>
      <c r="J65" s="81">
        <v>0.2034</v>
      </c>
      <c r="K65" s="75">
        <v>7234798346.6599998</v>
      </c>
      <c r="L65" s="58">
        <f t="shared" si="36"/>
        <v>1.5465414385488578E-3</v>
      </c>
      <c r="M65" s="65">
        <v>100</v>
      </c>
      <c r="N65" s="65">
        <v>100</v>
      </c>
      <c r="O65" s="59">
        <v>968</v>
      </c>
      <c r="P65" s="81">
        <v>0.2021</v>
      </c>
      <c r="Q65" s="81">
        <v>0.2021</v>
      </c>
      <c r="R65" s="86">
        <f t="shared" si="19"/>
        <v>-1.0778432572227775E-2</v>
      </c>
      <c r="S65" s="86">
        <f t="shared" si="20"/>
        <v>0</v>
      </c>
      <c r="T65" s="86">
        <f t="shared" si="21"/>
        <v>8.3333333333333332E-3</v>
      </c>
      <c r="U65" s="87">
        <f t="shared" si="22"/>
        <v>-1.2999999999999956E-3</v>
      </c>
      <c r="V65" s="88">
        <f t="shared" si="23"/>
        <v>-1.2999999999999956E-3</v>
      </c>
    </row>
    <row r="66" spans="1:22">
      <c r="A66" s="172">
        <v>58</v>
      </c>
      <c r="B66" s="175" t="s">
        <v>118</v>
      </c>
      <c r="C66" s="174" t="s">
        <v>119</v>
      </c>
      <c r="D66" s="75">
        <v>11877377604.950001</v>
      </c>
      <c r="E66" s="58">
        <f t="shared" si="35"/>
        <v>2.5389590375836093E-3</v>
      </c>
      <c r="F66" s="65">
        <v>1</v>
      </c>
      <c r="G66" s="65">
        <v>1</v>
      </c>
      <c r="H66" s="59">
        <v>615</v>
      </c>
      <c r="I66" s="81">
        <v>0.19150600000000001</v>
      </c>
      <c r="J66" s="81">
        <v>0.19150600000000001</v>
      </c>
      <c r="K66" s="75">
        <v>11866967790.610001</v>
      </c>
      <c r="L66" s="58">
        <f t="shared" si="36"/>
        <v>2.5367337911464585E-3</v>
      </c>
      <c r="M66" s="65">
        <v>1</v>
      </c>
      <c r="N66" s="65">
        <v>1</v>
      </c>
      <c r="O66" s="59">
        <v>624</v>
      </c>
      <c r="P66" s="81">
        <v>0.19375600000000001</v>
      </c>
      <c r="Q66" s="81">
        <v>0.19375600000000001</v>
      </c>
      <c r="R66" s="86">
        <f t="shared" si="19"/>
        <v>-8.7644046406858123E-4</v>
      </c>
      <c r="S66" s="86">
        <f t="shared" si="20"/>
        <v>0</v>
      </c>
      <c r="T66" s="86">
        <f t="shared" si="21"/>
        <v>1.4634146341463415E-2</v>
      </c>
      <c r="U66" s="87">
        <f t="shared" si="22"/>
        <v>2.250000000000002E-3</v>
      </c>
      <c r="V66" s="88">
        <f t="shared" si="23"/>
        <v>2.250000000000002E-3</v>
      </c>
    </row>
    <row r="67" spans="1:22">
      <c r="A67" s="172">
        <v>59</v>
      </c>
      <c r="B67" s="173" t="s">
        <v>120</v>
      </c>
      <c r="C67" s="174" t="s">
        <v>53</v>
      </c>
      <c r="D67" s="75">
        <v>207772955090.81</v>
      </c>
      <c r="E67" s="58">
        <f t="shared" si="35"/>
        <v>4.4414435546228148E-2</v>
      </c>
      <c r="F67" s="65">
        <v>1</v>
      </c>
      <c r="G67" s="65">
        <v>1</v>
      </c>
      <c r="H67" s="59">
        <v>77056</v>
      </c>
      <c r="I67" s="81">
        <v>0.15759999999999999</v>
      </c>
      <c r="J67" s="81">
        <v>0.15759999999999999</v>
      </c>
      <c r="K67" s="75">
        <v>206320901194.39001</v>
      </c>
      <c r="L67" s="58">
        <f t="shared" si="36"/>
        <v>4.4104038294747523E-2</v>
      </c>
      <c r="M67" s="65">
        <v>1</v>
      </c>
      <c r="N67" s="65">
        <v>1</v>
      </c>
      <c r="O67" s="59">
        <v>77389</v>
      </c>
      <c r="P67" s="81">
        <v>0.16259999999999999</v>
      </c>
      <c r="Q67" s="81">
        <v>0.16259999999999999</v>
      </c>
      <c r="R67" s="86">
        <f t="shared" si="19"/>
        <v>-6.9886569009202518E-3</v>
      </c>
      <c r="S67" s="86">
        <f t="shared" si="20"/>
        <v>0</v>
      </c>
      <c r="T67" s="86">
        <f t="shared" si="21"/>
        <v>4.3215323920265782E-3</v>
      </c>
      <c r="U67" s="87">
        <f t="shared" si="22"/>
        <v>5.0000000000000044E-3</v>
      </c>
      <c r="V67" s="88">
        <f t="shared" si="23"/>
        <v>5.0000000000000044E-3</v>
      </c>
    </row>
    <row r="68" spans="1:22">
      <c r="A68" s="172">
        <v>60</v>
      </c>
      <c r="B68" s="173" t="s">
        <v>121</v>
      </c>
      <c r="C68" s="174" t="s">
        <v>122</v>
      </c>
      <c r="D68" s="75">
        <v>2175841961.5</v>
      </c>
      <c r="E68" s="58">
        <f t="shared" si="35"/>
        <v>4.6511728398714394E-4</v>
      </c>
      <c r="F68" s="65">
        <v>1</v>
      </c>
      <c r="G68" s="65">
        <v>1</v>
      </c>
      <c r="H68" s="59">
        <v>152</v>
      </c>
      <c r="I68" s="81">
        <v>0.15679999999999999</v>
      </c>
      <c r="J68" s="81">
        <v>0.15679999999999999</v>
      </c>
      <c r="K68" s="75">
        <v>2226154699.7399998</v>
      </c>
      <c r="L68" s="58">
        <f t="shared" si="36"/>
        <v>4.7587235010601418E-4</v>
      </c>
      <c r="M68" s="65">
        <v>1</v>
      </c>
      <c r="N68" s="65">
        <v>1</v>
      </c>
      <c r="O68" s="59">
        <v>151</v>
      </c>
      <c r="P68" s="81">
        <v>0.1535</v>
      </c>
      <c r="Q68" s="81">
        <v>0.1535</v>
      </c>
      <c r="R68" s="86">
        <f t="shared" si="19"/>
        <v>2.3123342195917003E-2</v>
      </c>
      <c r="S68" s="86">
        <f t="shared" si="20"/>
        <v>0</v>
      </c>
      <c r="T68" s="86">
        <f t="shared" si="21"/>
        <v>-6.5789473684210523E-3</v>
      </c>
      <c r="U68" s="87">
        <f t="shared" si="22"/>
        <v>-3.2999999999999974E-3</v>
      </c>
      <c r="V68" s="88">
        <f t="shared" si="23"/>
        <v>-3.2999999999999974E-3</v>
      </c>
    </row>
    <row r="69" spans="1:22">
      <c r="A69" s="172">
        <v>61</v>
      </c>
      <c r="B69" s="173" t="s">
        <v>123</v>
      </c>
      <c r="C69" s="174" t="s">
        <v>124</v>
      </c>
      <c r="D69" s="75">
        <v>8407271330.6800003</v>
      </c>
      <c r="E69" s="58">
        <f t="shared" si="35"/>
        <v>1.7971742783989245E-3</v>
      </c>
      <c r="F69" s="65">
        <v>1</v>
      </c>
      <c r="G69" s="65">
        <v>1</v>
      </c>
      <c r="H69" s="59">
        <v>561</v>
      </c>
      <c r="I69" s="81">
        <v>0.16700000000000001</v>
      </c>
      <c r="J69" s="81">
        <v>0.16700000000000001</v>
      </c>
      <c r="K69" s="75">
        <v>8393016634.3000002</v>
      </c>
      <c r="L69" s="58">
        <f t="shared" si="36"/>
        <v>1.7941271335319526E-3</v>
      </c>
      <c r="M69" s="65">
        <v>1</v>
      </c>
      <c r="N69" s="65">
        <v>1</v>
      </c>
      <c r="O69" s="59">
        <v>561</v>
      </c>
      <c r="P69" s="81">
        <v>0.17380000000000001</v>
      </c>
      <c r="Q69" s="81">
        <v>0.17380000000000001</v>
      </c>
      <c r="R69" s="86">
        <f t="shared" si="19"/>
        <v>-1.6955199635322296E-3</v>
      </c>
      <c r="S69" s="86">
        <f t="shared" si="20"/>
        <v>0</v>
      </c>
      <c r="T69" s="86">
        <f t="shared" si="21"/>
        <v>0</v>
      </c>
      <c r="U69" s="87">
        <f t="shared" si="22"/>
        <v>6.8000000000000005E-3</v>
      </c>
      <c r="V69" s="88">
        <f t="shared" si="23"/>
        <v>6.8000000000000005E-3</v>
      </c>
    </row>
    <row r="70" spans="1:22">
      <c r="A70" s="172">
        <v>62</v>
      </c>
      <c r="B70" s="173" t="s">
        <v>125</v>
      </c>
      <c r="C70" s="174" t="s">
        <v>126</v>
      </c>
      <c r="D70" s="75">
        <v>9947548012.0300007</v>
      </c>
      <c r="E70" s="58">
        <f t="shared" si="35"/>
        <v>2.1264304097239955E-3</v>
      </c>
      <c r="F70" s="65">
        <v>1</v>
      </c>
      <c r="G70" s="65">
        <v>1</v>
      </c>
      <c r="H70" s="59">
        <v>5306</v>
      </c>
      <c r="I70" s="81">
        <v>0.19850000000000001</v>
      </c>
      <c r="J70" s="81">
        <v>0.19850000000000001</v>
      </c>
      <c r="K70" s="75">
        <v>9905617573.6900005</v>
      </c>
      <c r="L70" s="58">
        <f t="shared" si="36"/>
        <v>2.1174671798836965E-3</v>
      </c>
      <c r="M70" s="65">
        <v>1</v>
      </c>
      <c r="N70" s="65">
        <v>1</v>
      </c>
      <c r="O70" s="59">
        <v>5372</v>
      </c>
      <c r="P70" s="81">
        <v>0.1996</v>
      </c>
      <c r="Q70" s="81">
        <v>0.1996</v>
      </c>
      <c r="R70" s="86">
        <f t="shared" si="19"/>
        <v>-4.2151531502327864E-3</v>
      </c>
      <c r="S70" s="86">
        <f t="shared" si="20"/>
        <v>0</v>
      </c>
      <c r="T70" s="86">
        <f t="shared" si="21"/>
        <v>1.2438748586505842E-2</v>
      </c>
      <c r="U70" s="87">
        <f t="shared" si="22"/>
        <v>1.0999999999999899E-3</v>
      </c>
      <c r="V70" s="88">
        <f t="shared" si="23"/>
        <v>1.0999999999999899E-3</v>
      </c>
    </row>
    <row r="71" spans="1:22">
      <c r="A71" s="172">
        <v>63</v>
      </c>
      <c r="B71" s="173" t="s">
        <v>127</v>
      </c>
      <c r="C71" s="174" t="s">
        <v>128</v>
      </c>
      <c r="D71" s="75">
        <v>124050760294.56</v>
      </c>
      <c r="E71" s="58">
        <f t="shared" si="35"/>
        <v>2.6517621098257314E-2</v>
      </c>
      <c r="F71" s="65">
        <v>1</v>
      </c>
      <c r="G71" s="65">
        <v>1</v>
      </c>
      <c r="H71" s="59">
        <v>6909</v>
      </c>
      <c r="I71" s="81">
        <v>0.18079999999999999</v>
      </c>
      <c r="J71" s="81">
        <v>0.18079999999999999</v>
      </c>
      <c r="K71" s="75">
        <v>128023121213.53</v>
      </c>
      <c r="L71" s="58">
        <f t="shared" si="36"/>
        <v>2.7366769958487164E-2</v>
      </c>
      <c r="M71" s="65">
        <v>1</v>
      </c>
      <c r="N71" s="65">
        <v>1</v>
      </c>
      <c r="O71" s="59">
        <v>6953</v>
      </c>
      <c r="P71" s="81">
        <v>0.1782</v>
      </c>
      <c r="Q71" s="81">
        <v>0.1782</v>
      </c>
      <c r="R71" s="86">
        <f t="shared" si="19"/>
        <v>3.2022060239998394E-2</v>
      </c>
      <c r="S71" s="86">
        <f t="shared" si="20"/>
        <v>0</v>
      </c>
      <c r="T71" s="86">
        <f t="shared" si="21"/>
        <v>6.3685048487480099E-3</v>
      </c>
      <c r="U71" s="87">
        <f t="shared" si="22"/>
        <v>-2.5999999999999912E-3</v>
      </c>
      <c r="V71" s="88">
        <f t="shared" si="23"/>
        <v>-2.5999999999999912E-3</v>
      </c>
    </row>
    <row r="72" spans="1:22">
      <c r="A72" s="66"/>
      <c r="B72" s="67"/>
      <c r="C72" s="68" t="s">
        <v>56</v>
      </c>
      <c r="D72" s="90">
        <f>SUM(D29:D71)</f>
        <v>4642448189370.7549</v>
      </c>
      <c r="E72" s="70">
        <f>(D72/$D$231)</f>
        <v>0.6171477419753284</v>
      </c>
      <c r="F72" s="71"/>
      <c r="G72" s="76"/>
      <c r="H72" s="73">
        <f>SUM(H29:H71)</f>
        <v>593122</v>
      </c>
      <c r="I72" s="94"/>
      <c r="J72" s="94"/>
      <c r="K72" s="90">
        <f>SUM(K29:K71)</f>
        <v>4678050109959.2363</v>
      </c>
      <c r="L72" s="70">
        <f>(K72/$K$231)</f>
        <v>0.61527505136047456</v>
      </c>
      <c r="M72" s="71"/>
      <c r="N72" s="76"/>
      <c r="O72" s="73">
        <f>SUM(O29:O71)</f>
        <v>598300</v>
      </c>
      <c r="P72" s="94"/>
      <c r="Q72" s="94"/>
      <c r="R72" s="86">
        <f t="shared" si="19"/>
        <v>7.6687814567311281E-3</v>
      </c>
      <c r="S72" s="86" t="e">
        <f t="shared" si="20"/>
        <v>#DIV/0!</v>
      </c>
      <c r="T72" s="86">
        <f t="shared" si="21"/>
        <v>8.7300757685602626E-3</v>
      </c>
      <c r="U72" s="87">
        <f t="shared" si="22"/>
        <v>0</v>
      </c>
      <c r="V72" s="88">
        <f t="shared" si="23"/>
        <v>0</v>
      </c>
    </row>
    <row r="73" spans="1:22" ht="3" customHeight="1">
      <c r="A73" s="66"/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</row>
    <row r="74" spans="1:22" ht="15" customHeight="1">
      <c r="A74" s="192" t="s">
        <v>129</v>
      </c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92"/>
    </row>
    <row r="75" spans="1:22">
      <c r="A75" s="172">
        <v>64</v>
      </c>
      <c r="B75" s="173" t="s">
        <v>130</v>
      </c>
      <c r="C75" s="174" t="s">
        <v>22</v>
      </c>
      <c r="D75" s="63">
        <v>709316276.53999996</v>
      </c>
      <c r="E75" s="58">
        <f>(D75/$D$114)</f>
        <v>2.9691423063413287E-3</v>
      </c>
      <c r="F75" s="91">
        <v>1.6543000000000001</v>
      </c>
      <c r="G75" s="91">
        <v>1.6543000000000001</v>
      </c>
      <c r="H75" s="59">
        <v>533</v>
      </c>
      <c r="I75" s="81">
        <v>2.545E-3</v>
      </c>
      <c r="J75" s="81">
        <v>0.26889999999999997</v>
      </c>
      <c r="K75" s="63">
        <v>711210350.05999994</v>
      </c>
      <c r="L75" s="58">
        <f t="shared" ref="L75:L98" si="37">(K75/$K$114)</f>
        <v>2.9840130817324921E-3</v>
      </c>
      <c r="M75" s="91">
        <v>1.6584000000000001</v>
      </c>
      <c r="N75" s="91">
        <v>1.6584000000000001</v>
      </c>
      <c r="O75" s="59">
        <v>534</v>
      </c>
      <c r="P75" s="81">
        <v>-1.024E-3</v>
      </c>
      <c r="Q75" s="81">
        <v>0.27210000000000001</v>
      </c>
      <c r="R75" s="86">
        <f>((K75-D75)/D75)</f>
        <v>2.6702806387570183E-3</v>
      </c>
      <c r="S75" s="86">
        <f>((N75-G75)/G75)</f>
        <v>2.4783896512119885E-3</v>
      </c>
      <c r="T75" s="86">
        <f>((O75-H75)/H75)</f>
        <v>1.876172607879925E-3</v>
      </c>
      <c r="U75" s="87">
        <f>P75-I75</f>
        <v>-3.5690000000000001E-3</v>
      </c>
      <c r="V75" s="88">
        <f>Q75-J75</f>
        <v>3.2000000000000361E-3</v>
      </c>
    </row>
    <row r="76" spans="1:22">
      <c r="A76" s="172">
        <v>65</v>
      </c>
      <c r="B76" s="173" t="s">
        <v>131</v>
      </c>
      <c r="C76" s="174" t="s">
        <v>24</v>
      </c>
      <c r="D76" s="63">
        <v>1408677873.6700001</v>
      </c>
      <c r="E76" s="58">
        <f>(D76/$D$114)</f>
        <v>5.8966151053558673E-3</v>
      </c>
      <c r="F76" s="91">
        <v>1.3656999999999999</v>
      </c>
      <c r="G76" s="91">
        <v>1.3656999999999999</v>
      </c>
      <c r="H76" s="59">
        <v>1438</v>
      </c>
      <c r="I76" s="81">
        <v>-0.2243</v>
      </c>
      <c r="J76" s="81">
        <v>0.1648</v>
      </c>
      <c r="K76" s="63">
        <v>1401618365.1099999</v>
      </c>
      <c r="L76" s="58">
        <f t="shared" si="37"/>
        <v>5.8807461628362177E-3</v>
      </c>
      <c r="M76" s="91">
        <v>1.3697999999999999</v>
      </c>
      <c r="N76" s="91">
        <v>1.3697999999999999</v>
      </c>
      <c r="O76" s="59">
        <v>1448</v>
      </c>
      <c r="P76" s="81">
        <v>0.1565</v>
      </c>
      <c r="Q76" s="81">
        <v>0.1651</v>
      </c>
      <c r="R76" s="86">
        <f t="shared" ref="R76:R114" si="38">((K76-D76)/D76)</f>
        <v>-5.0114427804620696E-3</v>
      </c>
      <c r="S76" s="86">
        <f t="shared" ref="S76:S114" si="39">((N76-G76)/G76)</f>
        <v>3.0021234531741911E-3</v>
      </c>
      <c r="T76" s="86">
        <f t="shared" ref="T76:T114" si="40">((O76-H76)/H76)</f>
        <v>6.954102920723227E-3</v>
      </c>
      <c r="U76" s="87">
        <f t="shared" ref="U76:U114" si="41">P76-I76</f>
        <v>0.38080000000000003</v>
      </c>
      <c r="V76" s="88">
        <f t="shared" ref="V76:V114" si="42">Q76-J76</f>
        <v>2.9999999999999472E-4</v>
      </c>
    </row>
    <row r="77" spans="1:22">
      <c r="A77" s="172">
        <v>66</v>
      </c>
      <c r="B77" s="173" t="s">
        <v>132</v>
      </c>
      <c r="C77" s="174" t="s">
        <v>24</v>
      </c>
      <c r="D77" s="63">
        <v>830877301.82000005</v>
      </c>
      <c r="E77" s="58">
        <f>(D77/$D$114)</f>
        <v>3.4779872248897649E-3</v>
      </c>
      <c r="F77" s="91">
        <v>1.2048000000000001</v>
      </c>
      <c r="G77" s="91">
        <v>1.2048000000000001</v>
      </c>
      <c r="H77" s="59">
        <v>566</v>
      </c>
      <c r="I77" s="81">
        <v>0.1215</v>
      </c>
      <c r="J77" s="81">
        <v>0.12939999999999999</v>
      </c>
      <c r="K77" s="63">
        <v>832808406.25999999</v>
      </c>
      <c r="L77" s="58">
        <f t="shared" si="37"/>
        <v>3.4941999629884125E-3</v>
      </c>
      <c r="M77" s="91">
        <v>1.2076</v>
      </c>
      <c r="N77" s="91">
        <v>1.2076</v>
      </c>
      <c r="O77" s="59">
        <v>563</v>
      </c>
      <c r="P77" s="81">
        <v>0.1212</v>
      </c>
      <c r="Q77" s="81">
        <v>0.1295</v>
      </c>
      <c r="R77" s="86">
        <f t="shared" si="38"/>
        <v>2.3241752251143928E-3</v>
      </c>
      <c r="S77" s="86">
        <f t="shared" si="39"/>
        <v>2.3240371845948816E-3</v>
      </c>
      <c r="T77" s="86">
        <f t="shared" si="40"/>
        <v>-5.3003533568904597E-3</v>
      </c>
      <c r="U77" s="87">
        <f t="shared" si="41"/>
        <v>-2.9999999999999472E-4</v>
      </c>
      <c r="V77" s="88">
        <f t="shared" si="42"/>
        <v>1.0000000000001674E-4</v>
      </c>
    </row>
    <row r="78" spans="1:22">
      <c r="A78" s="172">
        <v>67</v>
      </c>
      <c r="B78" s="173" t="s">
        <v>133</v>
      </c>
      <c r="C78" s="174" t="s">
        <v>64</v>
      </c>
      <c r="D78" s="63">
        <v>323760072.19</v>
      </c>
      <c r="E78" s="58">
        <f>(D78/$D$114)</f>
        <v>1.3552342717025505E-3</v>
      </c>
      <c r="F78" s="62">
        <v>1257.58</v>
      </c>
      <c r="G78" s="62">
        <v>1257.58</v>
      </c>
      <c r="H78" s="59">
        <v>109</v>
      </c>
      <c r="I78" s="81">
        <v>-2.92E-2</v>
      </c>
      <c r="J78" s="81">
        <v>0.18110000000000001</v>
      </c>
      <c r="K78" s="63">
        <v>324739062.27999997</v>
      </c>
      <c r="L78" s="58">
        <f t="shared" si="37"/>
        <v>1.3625021203801551E-3</v>
      </c>
      <c r="M78" s="62">
        <v>1261.3900000000001</v>
      </c>
      <c r="N78" s="62">
        <v>1261.3900000000001</v>
      </c>
      <c r="O78" s="59">
        <v>109</v>
      </c>
      <c r="P78" s="81">
        <v>2.3999999999999998E-3</v>
      </c>
      <c r="Q78" s="81">
        <v>0.18079999999999999</v>
      </c>
      <c r="R78" s="86">
        <f t="shared" si="38"/>
        <v>3.0238135400014652E-3</v>
      </c>
      <c r="S78" s="86">
        <f t="shared" si="39"/>
        <v>3.0296283337840719E-3</v>
      </c>
      <c r="T78" s="86">
        <f t="shared" si="40"/>
        <v>0</v>
      </c>
      <c r="U78" s="87">
        <f t="shared" si="41"/>
        <v>3.1600000000000003E-2</v>
      </c>
      <c r="V78" s="88">
        <f t="shared" si="42"/>
        <v>-3.0000000000002247E-4</v>
      </c>
    </row>
    <row r="79" spans="1:22" ht="15" customHeight="1">
      <c r="A79" s="172">
        <v>68</v>
      </c>
      <c r="B79" s="173" t="s">
        <v>134</v>
      </c>
      <c r="C79" s="174" t="s">
        <v>28</v>
      </c>
      <c r="D79" s="63">
        <v>1929112726.5699999</v>
      </c>
      <c r="E79" s="58">
        <f>(D79/$K$114)</f>
        <v>8.0939452185079686E-3</v>
      </c>
      <c r="F79" s="62">
        <v>1.0734999999999999</v>
      </c>
      <c r="G79" s="62">
        <v>1.0734999999999999</v>
      </c>
      <c r="H79" s="59">
        <v>1011</v>
      </c>
      <c r="I79" s="81">
        <v>7.3000000000000001E-3</v>
      </c>
      <c r="J79" s="81">
        <v>0.129</v>
      </c>
      <c r="K79" s="63">
        <v>1922621763.0599999</v>
      </c>
      <c r="L79" s="58">
        <f t="shared" si="37"/>
        <v>8.0667111941082198E-3</v>
      </c>
      <c r="M79" s="62">
        <v>1.0771999999999999</v>
      </c>
      <c r="N79" s="62">
        <v>1.0771999999999999</v>
      </c>
      <c r="O79" s="59">
        <v>1011</v>
      </c>
      <c r="P79" s="81">
        <v>9.1000000000000004E-3</v>
      </c>
      <c r="Q79" s="81">
        <v>0.13070000000000001</v>
      </c>
      <c r="R79" s="86">
        <f t="shared" si="38"/>
        <v>-3.36474039106105E-3</v>
      </c>
      <c r="S79" s="86">
        <f t="shared" si="39"/>
        <v>3.4466697717746037E-3</v>
      </c>
      <c r="T79" s="86">
        <f t="shared" si="40"/>
        <v>0</v>
      </c>
      <c r="U79" s="87">
        <f t="shared" si="41"/>
        <v>1.8000000000000004E-3</v>
      </c>
      <c r="V79" s="88">
        <f t="shared" si="42"/>
        <v>1.7000000000000071E-3</v>
      </c>
    </row>
    <row r="80" spans="1:22">
      <c r="A80" s="172">
        <v>69</v>
      </c>
      <c r="B80" s="173" t="s">
        <v>135</v>
      </c>
      <c r="C80" s="174" t="s">
        <v>136</v>
      </c>
      <c r="D80" s="63">
        <v>476839005.06</v>
      </c>
      <c r="E80" s="58">
        <f t="shared" ref="E80:E98" si="43">(D80/$D$114)</f>
        <v>1.9960106796696533E-3</v>
      </c>
      <c r="F80" s="62">
        <v>2.7193000000000001</v>
      </c>
      <c r="G80" s="62">
        <v>2.7193000000000001</v>
      </c>
      <c r="H80" s="59">
        <v>1390</v>
      </c>
      <c r="I80" s="81">
        <v>0.1384</v>
      </c>
      <c r="J80" s="81">
        <v>0.1484</v>
      </c>
      <c r="K80" s="63">
        <v>478427720.17000002</v>
      </c>
      <c r="L80" s="58">
        <f t="shared" si="37"/>
        <v>2.0073309893905403E-3</v>
      </c>
      <c r="M80" s="62">
        <v>2.7269999999999999</v>
      </c>
      <c r="N80" s="62">
        <v>2.7269999999999999</v>
      </c>
      <c r="O80" s="59">
        <v>1390</v>
      </c>
      <c r="P80" s="81">
        <v>0.14760000000000001</v>
      </c>
      <c r="Q80" s="81">
        <v>0.1487</v>
      </c>
      <c r="R80" s="86">
        <f t="shared" si="38"/>
        <v>3.331764165979057E-3</v>
      </c>
      <c r="S80" s="86">
        <f t="shared" si="39"/>
        <v>2.8316110763798837E-3</v>
      </c>
      <c r="T80" s="86">
        <f t="shared" si="40"/>
        <v>0</v>
      </c>
      <c r="U80" s="87">
        <f t="shared" si="41"/>
        <v>9.2000000000000137E-3</v>
      </c>
      <c r="V80" s="88">
        <f t="shared" si="42"/>
        <v>2.9999999999999472E-4</v>
      </c>
    </row>
    <row r="81" spans="1:22">
      <c r="A81" s="172">
        <v>70</v>
      </c>
      <c r="B81" s="174" t="s">
        <v>137</v>
      </c>
      <c r="C81" s="174" t="s">
        <v>138</v>
      </c>
      <c r="D81" s="63">
        <v>1107879683.5799999</v>
      </c>
      <c r="E81" s="58">
        <f t="shared" si="43"/>
        <v>4.6374974713666011E-3</v>
      </c>
      <c r="F81" s="62">
        <v>1103.9100000000001</v>
      </c>
      <c r="G81" s="62">
        <v>1103.9100000000001</v>
      </c>
      <c r="H81" s="59">
        <v>253</v>
      </c>
      <c r="I81" s="81">
        <v>1.49E-3</v>
      </c>
      <c r="J81" s="81">
        <v>0.10099</v>
      </c>
      <c r="K81" s="63">
        <v>1126164158.1400001</v>
      </c>
      <c r="L81" s="58">
        <f t="shared" si="37"/>
        <v>4.7250276655626819E-3</v>
      </c>
      <c r="M81" s="62">
        <v>1108.6500000000001</v>
      </c>
      <c r="N81" s="62">
        <v>1108.6500000000001</v>
      </c>
      <c r="O81" s="59">
        <v>256</v>
      </c>
      <c r="P81" s="81">
        <v>3.5100000000000001E-3</v>
      </c>
      <c r="Q81" s="81">
        <v>0.10571</v>
      </c>
      <c r="R81" s="86">
        <f t="shared" ref="R81" si="44">((K81-D81)/D81)</f>
        <v>1.6504025510167109E-2</v>
      </c>
      <c r="S81" s="86">
        <f t="shared" ref="S81" si="45">((N81-G81)/G81)</f>
        <v>4.2938283012202158E-3</v>
      </c>
      <c r="T81" s="86">
        <f t="shared" ref="T81" si="46">((O81-H81)/H81)</f>
        <v>1.1857707509881422E-2</v>
      </c>
      <c r="U81" s="87">
        <f t="shared" si="41"/>
        <v>2.0200000000000001E-3</v>
      </c>
      <c r="V81" s="88">
        <f t="shared" si="42"/>
        <v>4.720000000000002E-3</v>
      </c>
    </row>
    <row r="82" spans="1:22">
      <c r="A82" s="172">
        <v>71</v>
      </c>
      <c r="B82" s="173" t="s">
        <v>139</v>
      </c>
      <c r="C82" s="174" t="s">
        <v>69</v>
      </c>
      <c r="D82" s="63">
        <v>229466472.69</v>
      </c>
      <c r="E82" s="58">
        <f t="shared" si="43"/>
        <v>9.6052865905492163E-4</v>
      </c>
      <c r="F82" s="62">
        <v>12.481</v>
      </c>
      <c r="G82" s="62">
        <v>12.537000000000001</v>
      </c>
      <c r="H82" s="59">
        <v>46</v>
      </c>
      <c r="I82" s="81">
        <v>5.9899999999999997E-3</v>
      </c>
      <c r="J82" s="81">
        <v>0.1343</v>
      </c>
      <c r="K82" s="63">
        <v>230391001.31</v>
      </c>
      <c r="L82" s="58">
        <f t="shared" si="37"/>
        <v>9.6664757728074247E-4</v>
      </c>
      <c r="M82" s="62">
        <v>12.532</v>
      </c>
      <c r="N82" s="62">
        <v>12.577999999999999</v>
      </c>
      <c r="O82" s="59">
        <v>46</v>
      </c>
      <c r="P82" s="81">
        <v>3.1700000000000001E-3</v>
      </c>
      <c r="Q82" s="81">
        <v>0.25359999999999999</v>
      </c>
      <c r="R82" s="86">
        <f t="shared" si="38"/>
        <v>4.0290357417443112E-3</v>
      </c>
      <c r="S82" s="86">
        <f t="shared" si="39"/>
        <v>3.2703198532343138E-3</v>
      </c>
      <c r="T82" s="86">
        <f t="shared" si="40"/>
        <v>0</v>
      </c>
      <c r="U82" s="87">
        <f t="shared" si="41"/>
        <v>-2.8199999999999996E-3</v>
      </c>
      <c r="V82" s="88">
        <f t="shared" si="42"/>
        <v>0.11929999999999999</v>
      </c>
    </row>
    <row r="83" spans="1:22">
      <c r="A83" s="172">
        <v>72</v>
      </c>
      <c r="B83" s="173" t="s">
        <v>140</v>
      </c>
      <c r="C83" s="174" t="s">
        <v>71</v>
      </c>
      <c r="D83" s="63">
        <v>2104126955.6986599</v>
      </c>
      <c r="E83" s="58">
        <f t="shared" si="43"/>
        <v>8.8077104229903717E-3</v>
      </c>
      <c r="F83" s="63">
        <v>4723.9563670820298</v>
      </c>
      <c r="G83" s="63">
        <v>4723.9563670820298</v>
      </c>
      <c r="H83" s="59">
        <v>1163</v>
      </c>
      <c r="I83" s="81">
        <v>0.1152</v>
      </c>
      <c r="J83" s="81">
        <v>8.1699999999999995E-2</v>
      </c>
      <c r="K83" s="63">
        <v>2107728973.4565301</v>
      </c>
      <c r="L83" s="58">
        <f t="shared" si="37"/>
        <v>8.8433623456271142E-3</v>
      </c>
      <c r="M83" s="63">
        <v>4734.4154967843397</v>
      </c>
      <c r="N83" s="63">
        <v>4734.4154967843397</v>
      </c>
      <c r="O83" s="59">
        <v>1164</v>
      </c>
      <c r="P83" s="81">
        <v>0.1154</v>
      </c>
      <c r="Q83" s="81">
        <v>8.2600000000000007E-2</v>
      </c>
      <c r="R83" s="86">
        <f t="shared" si="38"/>
        <v>1.7118823311087585E-3</v>
      </c>
      <c r="S83" s="86">
        <f t="shared" si="39"/>
        <v>2.2140614539101688E-3</v>
      </c>
      <c r="T83" s="86">
        <f t="shared" si="40"/>
        <v>8.598452278589854E-4</v>
      </c>
      <c r="U83" s="87">
        <f t="shared" si="41"/>
        <v>2.0000000000000573E-4</v>
      </c>
      <c r="V83" s="88">
        <f t="shared" si="42"/>
        <v>9.000000000000119E-4</v>
      </c>
    </row>
    <row r="84" spans="1:22">
      <c r="A84" s="172">
        <v>73</v>
      </c>
      <c r="B84" s="173" t="s">
        <v>141</v>
      </c>
      <c r="C84" s="174" t="s">
        <v>73</v>
      </c>
      <c r="D84" s="63">
        <v>370390427.67000002</v>
      </c>
      <c r="E84" s="58">
        <f t="shared" si="43"/>
        <v>1.5504252828136506E-3</v>
      </c>
      <c r="F84" s="91">
        <v>111.55</v>
      </c>
      <c r="G84" s="91">
        <v>111.55</v>
      </c>
      <c r="H84" s="59">
        <v>96</v>
      </c>
      <c r="I84" s="81">
        <v>2.2000000000000001E-3</v>
      </c>
      <c r="J84" s="81">
        <v>0.1201</v>
      </c>
      <c r="K84" s="63">
        <v>372391543.13</v>
      </c>
      <c r="L84" s="58">
        <f t="shared" si="37"/>
        <v>1.5624368179297775E-3</v>
      </c>
      <c r="M84" s="91">
        <v>111.8</v>
      </c>
      <c r="N84" s="91">
        <v>111.8</v>
      </c>
      <c r="O84" s="59">
        <v>97</v>
      </c>
      <c r="P84" s="81">
        <v>2.2000000000000001E-3</v>
      </c>
      <c r="Q84" s="81">
        <v>0.1201</v>
      </c>
      <c r="R84" s="86">
        <f t="shared" si="38"/>
        <v>5.4027191593160606E-3</v>
      </c>
      <c r="S84" s="86">
        <f t="shared" si="39"/>
        <v>2.2411474675033617E-3</v>
      </c>
      <c r="T84" s="86">
        <f t="shared" si="40"/>
        <v>1.0416666666666666E-2</v>
      </c>
      <c r="U84" s="87">
        <f t="shared" si="41"/>
        <v>0</v>
      </c>
      <c r="V84" s="88">
        <f t="shared" si="42"/>
        <v>0</v>
      </c>
    </row>
    <row r="85" spans="1:22" ht="13.5" customHeight="1">
      <c r="A85" s="172">
        <v>74</v>
      </c>
      <c r="B85" s="173" t="s">
        <v>142</v>
      </c>
      <c r="C85" s="174" t="s">
        <v>75</v>
      </c>
      <c r="D85" s="63">
        <v>606173012.25999999</v>
      </c>
      <c r="E85" s="58">
        <f t="shared" si="43"/>
        <v>2.5373926909486779E-3</v>
      </c>
      <c r="F85" s="91">
        <v>1.4953000000000001</v>
      </c>
      <c r="G85" s="91">
        <v>1.4953000000000001</v>
      </c>
      <c r="H85" s="59">
        <v>1633</v>
      </c>
      <c r="I85" s="81">
        <v>-6.4000000000000003E-3</v>
      </c>
      <c r="J85" s="81">
        <v>0.1507</v>
      </c>
      <c r="K85" s="63">
        <v>594716777.28999996</v>
      </c>
      <c r="L85" s="58">
        <f t="shared" si="37"/>
        <v>2.4952429941569811E-3</v>
      </c>
      <c r="M85" s="91">
        <v>1.4997</v>
      </c>
      <c r="N85" s="91">
        <v>1.4997</v>
      </c>
      <c r="O85" s="59">
        <v>1664</v>
      </c>
      <c r="P85" s="81">
        <v>2.8999999999999998E-3</v>
      </c>
      <c r="Q85" s="81">
        <v>0.15390000000000001</v>
      </c>
      <c r="R85" s="86">
        <f t="shared" si="38"/>
        <v>-1.8899282446256806E-2</v>
      </c>
      <c r="S85" s="86">
        <f t="shared" si="39"/>
        <v>2.9425533337791476E-3</v>
      </c>
      <c r="T85" s="86">
        <f t="shared" si="40"/>
        <v>1.8983466013472138E-2</v>
      </c>
      <c r="U85" s="87">
        <f t="shared" si="41"/>
        <v>9.2999999999999992E-3</v>
      </c>
      <c r="V85" s="88">
        <f t="shared" si="42"/>
        <v>3.2000000000000084E-3</v>
      </c>
    </row>
    <row r="86" spans="1:22" ht="13.5" customHeight="1">
      <c r="A86" s="172">
        <v>75</v>
      </c>
      <c r="B86" s="173" t="s">
        <v>143</v>
      </c>
      <c r="C86" s="174" t="s">
        <v>75</v>
      </c>
      <c r="D86" s="63">
        <v>55588291.859999999</v>
      </c>
      <c r="E86" s="58">
        <f t="shared" si="43"/>
        <v>2.3268823028265557E-4</v>
      </c>
      <c r="F86" s="91">
        <v>1.0423</v>
      </c>
      <c r="G86" s="91">
        <v>1.0423</v>
      </c>
      <c r="H86" s="59">
        <v>13</v>
      </c>
      <c r="I86" s="81">
        <v>-8.8999999999999999E-3</v>
      </c>
      <c r="J86" s="81">
        <v>5.16E-2</v>
      </c>
      <c r="K86" s="63">
        <v>56082659.060000002</v>
      </c>
      <c r="L86" s="58">
        <f t="shared" si="37"/>
        <v>2.35305051844739E-4</v>
      </c>
      <c r="M86" s="91">
        <v>1.0457000000000001</v>
      </c>
      <c r="N86" s="91">
        <v>1.0457000000000001</v>
      </c>
      <c r="O86" s="59">
        <v>21</v>
      </c>
      <c r="P86" s="81">
        <v>1.0456999999999999E-2</v>
      </c>
      <c r="Q86" s="81">
        <v>1.0456999999999999E-2</v>
      </c>
      <c r="R86" s="86">
        <f t="shared" ref="R86" si="47">((K86-D86)/D86)</f>
        <v>8.8933691512787377E-3</v>
      </c>
      <c r="S86" s="86">
        <f t="shared" ref="S86" si="48">((N86-G86)/G86)</f>
        <v>3.262016693850206E-3</v>
      </c>
      <c r="T86" s="86">
        <f t="shared" ref="T86" si="49">((O86-H86)/H86)</f>
        <v>0.61538461538461542</v>
      </c>
      <c r="U86" s="87">
        <f t="shared" ref="U86" si="50">P86-I86</f>
        <v>1.9356999999999999E-2</v>
      </c>
      <c r="V86" s="88">
        <f t="shared" ref="V86" si="51">Q86-J86</f>
        <v>-4.1142999999999999E-2</v>
      </c>
    </row>
    <row r="87" spans="1:22">
      <c r="A87" s="172">
        <v>76</v>
      </c>
      <c r="B87" s="173" t="s">
        <v>144</v>
      </c>
      <c r="C87" s="174" t="s">
        <v>30</v>
      </c>
      <c r="D87" s="63">
        <v>189142762.62</v>
      </c>
      <c r="E87" s="58">
        <f t="shared" si="43"/>
        <v>7.9173677103918521E-4</v>
      </c>
      <c r="F87" s="91">
        <v>138.42740000000001</v>
      </c>
      <c r="G87" s="91">
        <v>138.42740000000001</v>
      </c>
      <c r="H87" s="59">
        <v>378</v>
      </c>
      <c r="I87" s="81">
        <v>6.1600000000000001E-4</v>
      </c>
      <c r="J87" s="81">
        <v>0.17849999999999999</v>
      </c>
      <c r="K87" s="63">
        <v>223633193.96000001</v>
      </c>
      <c r="L87" s="58">
        <f t="shared" si="37"/>
        <v>9.3829396075290831E-4</v>
      </c>
      <c r="M87" s="91">
        <v>139.1148</v>
      </c>
      <c r="N87" s="91">
        <v>139.1148</v>
      </c>
      <c r="O87" s="59">
        <v>380</v>
      </c>
      <c r="P87" s="81">
        <v>5.0500000000000002E-4</v>
      </c>
      <c r="Q87" s="81">
        <v>0.18049999999999999</v>
      </c>
      <c r="R87" s="86">
        <f t="shared" si="38"/>
        <v>0.18235131422550649</v>
      </c>
      <c r="S87" s="86">
        <f t="shared" si="39"/>
        <v>4.9657798961766E-3</v>
      </c>
      <c r="T87" s="86">
        <f t="shared" si="40"/>
        <v>5.2910052910052907E-3</v>
      </c>
      <c r="U87" s="87">
        <f t="shared" si="41"/>
        <v>-1.1099999999999999E-4</v>
      </c>
      <c r="V87" s="88">
        <f t="shared" si="42"/>
        <v>2.0000000000000018E-3</v>
      </c>
    </row>
    <row r="88" spans="1:22">
      <c r="A88" s="172">
        <v>77</v>
      </c>
      <c r="B88" s="173" t="s">
        <v>145</v>
      </c>
      <c r="C88" s="174" t="s">
        <v>77</v>
      </c>
      <c r="D88" s="63">
        <v>2745417246.96</v>
      </c>
      <c r="E88" s="58">
        <f t="shared" si="43"/>
        <v>1.1492101289809318E-2</v>
      </c>
      <c r="F88" s="62">
        <v>1275.6199999999999</v>
      </c>
      <c r="G88" s="62">
        <v>1275.6199999999999</v>
      </c>
      <c r="H88" s="59">
        <v>319</v>
      </c>
      <c r="I88" s="81">
        <v>1.9E-2</v>
      </c>
      <c r="J88" s="81">
        <v>0.23669999999999999</v>
      </c>
      <c r="K88" s="63">
        <v>2714710425.9299998</v>
      </c>
      <c r="L88" s="58">
        <f t="shared" si="37"/>
        <v>1.1390064027340578E-2</v>
      </c>
      <c r="M88" s="62">
        <v>1279.8599999999999</v>
      </c>
      <c r="N88" s="62">
        <v>1279.8599999999999</v>
      </c>
      <c r="O88" s="59">
        <v>314</v>
      </c>
      <c r="P88" s="81">
        <v>1.9099999999999999E-2</v>
      </c>
      <c r="Q88" s="81">
        <v>0.23480000000000001</v>
      </c>
      <c r="R88" s="86">
        <f t="shared" si="38"/>
        <v>-1.1184755637417906E-2</v>
      </c>
      <c r="S88" s="86">
        <f t="shared" si="39"/>
        <v>3.3238738809363362E-3</v>
      </c>
      <c r="T88" s="86">
        <f t="shared" si="40"/>
        <v>-1.5673981191222569E-2</v>
      </c>
      <c r="U88" s="87">
        <f t="shared" si="41"/>
        <v>9.9999999999999395E-5</v>
      </c>
      <c r="V88" s="88">
        <f t="shared" si="42"/>
        <v>-1.899999999999985E-3</v>
      </c>
    </row>
    <row r="89" spans="1:22">
      <c r="A89" s="172">
        <v>78</v>
      </c>
      <c r="B89" s="173" t="s">
        <v>146</v>
      </c>
      <c r="C89" s="174" t="s">
        <v>79</v>
      </c>
      <c r="D89" s="63">
        <v>156937438.38999999</v>
      </c>
      <c r="E89" s="58">
        <f t="shared" si="43"/>
        <v>6.5692780947528093E-4</v>
      </c>
      <c r="F89" s="62">
        <v>1101.98</v>
      </c>
      <c r="G89" s="62">
        <v>1132.08</v>
      </c>
      <c r="H89" s="59">
        <v>72</v>
      </c>
      <c r="I89" s="81">
        <v>-1.0200000000000001E-2</v>
      </c>
      <c r="J89" s="81">
        <v>0.1051</v>
      </c>
      <c r="K89" s="63">
        <v>147215537.06</v>
      </c>
      <c r="L89" s="58">
        <f t="shared" si="37"/>
        <v>6.1766970683744171E-4</v>
      </c>
      <c r="M89" s="62">
        <v>1103.6099999999999</v>
      </c>
      <c r="N89" s="62">
        <v>1136.69</v>
      </c>
      <c r="O89" s="59">
        <v>72</v>
      </c>
      <c r="P89" s="81">
        <v>3.0999999999999999E-3</v>
      </c>
      <c r="Q89" s="81">
        <v>0.1082</v>
      </c>
      <c r="R89" s="86">
        <f t="shared" si="38"/>
        <v>-6.1947623395256467E-2</v>
      </c>
      <c r="S89" s="86">
        <f t="shared" si="39"/>
        <v>4.0721503780652675E-3</v>
      </c>
      <c r="T89" s="86">
        <f t="shared" si="40"/>
        <v>0</v>
      </c>
      <c r="U89" s="87">
        <f t="shared" si="41"/>
        <v>1.3300000000000001E-2</v>
      </c>
      <c r="V89" s="88">
        <f t="shared" si="42"/>
        <v>3.1000000000000055E-3</v>
      </c>
    </row>
    <row r="90" spans="1:22">
      <c r="A90" s="172">
        <v>79</v>
      </c>
      <c r="B90" s="173" t="s">
        <v>147</v>
      </c>
      <c r="C90" s="174" t="s">
        <v>82</v>
      </c>
      <c r="D90" s="63">
        <v>708697966.32000005</v>
      </c>
      <c r="E90" s="58">
        <f t="shared" si="43"/>
        <v>2.9665541082506265E-3</v>
      </c>
      <c r="F90" s="92">
        <v>1.18</v>
      </c>
      <c r="G90" s="92">
        <v>1.18</v>
      </c>
      <c r="H90" s="59">
        <v>58</v>
      </c>
      <c r="I90" s="81">
        <v>0.11257</v>
      </c>
      <c r="J90" s="81">
        <v>0.11020000000000001</v>
      </c>
      <c r="K90" s="63">
        <v>709332867.5</v>
      </c>
      <c r="L90" s="58">
        <f t="shared" si="37"/>
        <v>2.976135760319366E-3</v>
      </c>
      <c r="M90" s="92">
        <v>1.17798</v>
      </c>
      <c r="N90" s="92">
        <v>1.17798</v>
      </c>
      <c r="O90" s="59">
        <v>54</v>
      </c>
      <c r="P90" s="81">
        <v>0.11257</v>
      </c>
      <c r="Q90" s="81">
        <v>0.1091</v>
      </c>
      <c r="R90" s="86">
        <f t="shared" si="38"/>
        <v>8.958699053374582E-4</v>
      </c>
      <c r="S90" s="86">
        <f t="shared" si="39"/>
        <v>-1.7118644067795855E-3</v>
      </c>
      <c r="T90" s="86">
        <f t="shared" si="40"/>
        <v>-6.8965517241379309E-2</v>
      </c>
      <c r="U90" s="87">
        <f t="shared" si="41"/>
        <v>0</v>
      </c>
      <c r="V90" s="88">
        <f t="shared" si="42"/>
        <v>-1.1000000000000038E-3</v>
      </c>
    </row>
    <row r="91" spans="1:22">
      <c r="A91" s="172">
        <v>80</v>
      </c>
      <c r="B91" s="173" t="s">
        <v>148</v>
      </c>
      <c r="C91" s="174" t="s">
        <v>32</v>
      </c>
      <c r="D91" s="92">
        <v>11473000975.67</v>
      </c>
      <c r="E91" s="58">
        <f t="shared" si="43"/>
        <v>4.8025082328187828E-2</v>
      </c>
      <c r="F91" s="92">
        <v>1659.53</v>
      </c>
      <c r="G91" s="92">
        <v>1659.53</v>
      </c>
      <c r="H91" s="59">
        <v>2041</v>
      </c>
      <c r="I91" s="81">
        <v>1.6000000000000001E-3</v>
      </c>
      <c r="J91" s="81">
        <v>4.48E-2</v>
      </c>
      <c r="K91" s="92">
        <v>11483133398.98</v>
      </c>
      <c r="L91" s="58">
        <f t="shared" si="37"/>
        <v>4.8179586080186881E-2</v>
      </c>
      <c r="M91" s="92">
        <v>1662.59</v>
      </c>
      <c r="N91" s="92">
        <v>1662.59</v>
      </c>
      <c r="O91" s="59">
        <v>2039</v>
      </c>
      <c r="P91" s="81">
        <v>1.8E-3</v>
      </c>
      <c r="Q91" s="81">
        <v>4.2999999999999997E-2</v>
      </c>
      <c r="R91" s="86">
        <f t="shared" si="38"/>
        <v>8.8315370420403484E-4</v>
      </c>
      <c r="S91" s="86">
        <f t="shared" si="39"/>
        <v>1.8438955607912755E-3</v>
      </c>
      <c r="T91" s="86">
        <f t="shared" si="40"/>
        <v>-9.7991180793728563E-4</v>
      </c>
      <c r="U91" s="87">
        <f t="shared" si="41"/>
        <v>1.9999999999999987E-4</v>
      </c>
      <c r="V91" s="88">
        <f t="shared" si="42"/>
        <v>-1.800000000000003E-3</v>
      </c>
    </row>
    <row r="92" spans="1:22">
      <c r="A92" s="172">
        <v>81</v>
      </c>
      <c r="B92" s="173" t="s">
        <v>149</v>
      </c>
      <c r="C92" s="174" t="s">
        <v>92</v>
      </c>
      <c r="D92" s="63">
        <v>23727535.239999998</v>
      </c>
      <c r="E92" s="58">
        <f t="shared" si="43"/>
        <v>9.9321601711921086E-5</v>
      </c>
      <c r="F92" s="91">
        <v>0.7248</v>
      </c>
      <c r="G92" s="91">
        <v>0.7248</v>
      </c>
      <c r="H92" s="59">
        <v>744</v>
      </c>
      <c r="I92" s="81">
        <v>2.2000000000000001E-3</v>
      </c>
      <c r="J92" s="81">
        <v>1.1299999999999999E-2</v>
      </c>
      <c r="K92" s="63">
        <v>23782925.219999999</v>
      </c>
      <c r="L92" s="58">
        <f t="shared" si="37"/>
        <v>9.9785611911241832E-5</v>
      </c>
      <c r="M92" s="91">
        <v>0.72650000000000003</v>
      </c>
      <c r="N92" s="91">
        <v>0.72650000000000003</v>
      </c>
      <c r="O92" s="59">
        <v>744</v>
      </c>
      <c r="P92" s="81">
        <v>2.3E-3</v>
      </c>
      <c r="Q92" s="81">
        <v>1.37E-2</v>
      </c>
      <c r="R92" s="86">
        <f t="shared" si="38"/>
        <v>2.3344177741067575E-3</v>
      </c>
      <c r="S92" s="86">
        <f t="shared" si="39"/>
        <v>2.3454746136865822E-3</v>
      </c>
      <c r="T92" s="86">
        <f t="shared" si="40"/>
        <v>0</v>
      </c>
      <c r="U92" s="87">
        <f t="shared" si="41"/>
        <v>9.9999999999999829E-5</v>
      </c>
      <c r="V92" s="88">
        <f t="shared" si="42"/>
        <v>2.4000000000000011E-3</v>
      </c>
    </row>
    <row r="93" spans="1:22">
      <c r="A93" s="172">
        <v>82</v>
      </c>
      <c r="B93" s="173" t="s">
        <v>150</v>
      </c>
      <c r="C93" s="174" t="s">
        <v>38</v>
      </c>
      <c r="D93" s="63">
        <v>11529073513.42</v>
      </c>
      <c r="E93" s="58">
        <f t="shared" si="43"/>
        <v>4.8259797573789634E-2</v>
      </c>
      <c r="F93" s="91">
        <v>1</v>
      </c>
      <c r="G93" s="91">
        <v>1</v>
      </c>
      <c r="H93" s="59">
        <v>4925</v>
      </c>
      <c r="I93" s="81">
        <v>0.06</v>
      </c>
      <c r="J93" s="81">
        <v>0.06</v>
      </c>
      <c r="K93" s="63">
        <v>11554474040.440001</v>
      </c>
      <c r="L93" s="58">
        <f t="shared" si="37"/>
        <v>4.8478908787397024E-2</v>
      </c>
      <c r="M93" s="91">
        <v>1</v>
      </c>
      <c r="N93" s="91">
        <v>1</v>
      </c>
      <c r="O93" s="59">
        <v>4972</v>
      </c>
      <c r="P93" s="81">
        <v>0.06</v>
      </c>
      <c r="Q93" s="81">
        <v>0.06</v>
      </c>
      <c r="R93" s="86">
        <f t="shared" si="38"/>
        <v>2.203171572323994E-3</v>
      </c>
      <c r="S93" s="86">
        <f t="shared" si="39"/>
        <v>0</v>
      </c>
      <c r="T93" s="86">
        <f t="shared" si="40"/>
        <v>9.5431472081218272E-3</v>
      </c>
      <c r="U93" s="87">
        <f t="shared" si="41"/>
        <v>0</v>
      </c>
      <c r="V93" s="88">
        <f t="shared" si="42"/>
        <v>0</v>
      </c>
    </row>
    <row r="94" spans="1:22">
      <c r="A94" s="172">
        <v>83</v>
      </c>
      <c r="B94" s="173" t="s">
        <v>151</v>
      </c>
      <c r="C94" s="174" t="s">
        <v>152</v>
      </c>
      <c r="D94" s="63">
        <v>1789754678.1300001</v>
      </c>
      <c r="E94" s="58">
        <f t="shared" si="43"/>
        <v>7.4917727233465231E-3</v>
      </c>
      <c r="F94" s="63">
        <v>273.64</v>
      </c>
      <c r="G94" s="63">
        <v>273.64</v>
      </c>
      <c r="H94" s="59">
        <v>562</v>
      </c>
      <c r="I94" s="81">
        <v>3.0000000000000001E-3</v>
      </c>
      <c r="J94" s="81">
        <v>0.18720000000000001</v>
      </c>
      <c r="K94" s="63">
        <v>1799905575.52</v>
      </c>
      <c r="L94" s="58">
        <f t="shared" si="37"/>
        <v>7.5518329883441943E-3</v>
      </c>
      <c r="M94" s="63">
        <v>274.3</v>
      </c>
      <c r="N94" s="63">
        <v>274.3</v>
      </c>
      <c r="O94" s="59">
        <v>562</v>
      </c>
      <c r="P94" s="81">
        <v>3.0000000000000001E-3</v>
      </c>
      <c r="Q94" s="81">
        <v>0.18720000000000001</v>
      </c>
      <c r="R94" s="86">
        <f t="shared" si="38"/>
        <v>5.6716697064906618E-3</v>
      </c>
      <c r="S94" s="86">
        <f t="shared" si="39"/>
        <v>2.4119280806900491E-3</v>
      </c>
      <c r="T94" s="86">
        <f t="shared" si="40"/>
        <v>0</v>
      </c>
      <c r="U94" s="87">
        <f t="shared" si="41"/>
        <v>0</v>
      </c>
      <c r="V94" s="88">
        <f t="shared" si="42"/>
        <v>0</v>
      </c>
    </row>
    <row r="95" spans="1:22">
      <c r="A95" s="172">
        <v>84</v>
      </c>
      <c r="B95" s="173" t="s">
        <v>153</v>
      </c>
      <c r="C95" s="174" t="s">
        <v>42</v>
      </c>
      <c r="D95" s="63">
        <v>1069683401.5700001</v>
      </c>
      <c r="E95" s="58">
        <f t="shared" si="43"/>
        <v>4.4776108303691007E-3</v>
      </c>
      <c r="F95" s="91">
        <v>3.59</v>
      </c>
      <c r="G95" s="91">
        <v>3.61</v>
      </c>
      <c r="H95" s="77">
        <v>789</v>
      </c>
      <c r="I95" s="84">
        <v>3.8999999999999998E-3</v>
      </c>
      <c r="J95" s="84">
        <v>-6.4000000000000003E-3</v>
      </c>
      <c r="K95" s="63">
        <v>1078285482.5699999</v>
      </c>
      <c r="L95" s="58">
        <f t="shared" si="37"/>
        <v>4.5241439267013819E-3</v>
      </c>
      <c r="M95" s="91">
        <v>3.6</v>
      </c>
      <c r="N95" s="91">
        <v>3.62</v>
      </c>
      <c r="O95" s="77">
        <v>791</v>
      </c>
      <c r="P95" s="84">
        <v>6.4999999999999997E-3</v>
      </c>
      <c r="Q95" s="84">
        <v>-3.7000000000000002E-3</v>
      </c>
      <c r="R95" s="86">
        <f t="shared" si="38"/>
        <v>8.0417074691206767E-3</v>
      </c>
      <c r="S95" s="86">
        <f t="shared" si="39"/>
        <v>2.770083102493139E-3</v>
      </c>
      <c r="T95" s="86">
        <f t="shared" si="40"/>
        <v>2.5348542458808617E-3</v>
      </c>
      <c r="U95" s="87">
        <f t="shared" si="41"/>
        <v>2.5999999999999999E-3</v>
      </c>
      <c r="V95" s="88">
        <f t="shared" si="42"/>
        <v>2.7000000000000001E-3</v>
      </c>
    </row>
    <row r="96" spans="1:22">
      <c r="A96" s="172">
        <v>85</v>
      </c>
      <c r="B96" s="173" t="s">
        <v>154</v>
      </c>
      <c r="C96" s="174" t="s">
        <v>44</v>
      </c>
      <c r="D96" s="63">
        <v>711106519.06000006</v>
      </c>
      <c r="E96" s="58">
        <f t="shared" si="43"/>
        <v>2.9766361211324851E-3</v>
      </c>
      <c r="F96" s="91">
        <v>112.68</v>
      </c>
      <c r="G96" s="91">
        <v>112.68</v>
      </c>
      <c r="H96" s="77">
        <v>287</v>
      </c>
      <c r="I96" s="84">
        <v>8.2699999999999996E-2</v>
      </c>
      <c r="J96" s="84">
        <v>0.1696</v>
      </c>
      <c r="K96" s="63">
        <v>733960970.75999999</v>
      </c>
      <c r="L96" s="58">
        <f t="shared" si="37"/>
        <v>3.0794674712539701E-3</v>
      </c>
      <c r="M96" s="91">
        <v>112.93367000000001</v>
      </c>
      <c r="N96" s="91">
        <v>112.93367000000001</v>
      </c>
      <c r="O96" s="77">
        <v>297</v>
      </c>
      <c r="P96" s="84">
        <v>0.1497</v>
      </c>
      <c r="Q96" s="84">
        <v>0.1709</v>
      </c>
      <c r="R96" s="86">
        <f t="shared" si="38"/>
        <v>3.2139280244837087E-2</v>
      </c>
      <c r="S96" s="86">
        <f t="shared" si="39"/>
        <v>2.2512424565140185E-3</v>
      </c>
      <c r="T96" s="86">
        <f t="shared" si="40"/>
        <v>3.484320557491289E-2</v>
      </c>
      <c r="U96" s="87">
        <f t="shared" si="41"/>
        <v>6.7000000000000004E-2</v>
      </c>
      <c r="V96" s="88">
        <f t="shared" si="42"/>
        <v>1.2999999999999956E-3</v>
      </c>
    </row>
    <row r="97" spans="1:22">
      <c r="A97" s="172">
        <v>86</v>
      </c>
      <c r="B97" s="174" t="s">
        <v>155</v>
      </c>
      <c r="C97" s="181" t="s">
        <v>48</v>
      </c>
      <c r="D97" s="63">
        <v>1057954014.3200001</v>
      </c>
      <c r="E97" s="58">
        <f t="shared" si="43"/>
        <v>4.4285125352033451E-3</v>
      </c>
      <c r="F97" s="91">
        <v>110.26</v>
      </c>
      <c r="G97" s="91">
        <v>113.4</v>
      </c>
      <c r="H97" s="59">
        <v>289</v>
      </c>
      <c r="I97" s="81">
        <v>-1.9800000000000002E-2</v>
      </c>
      <c r="J97" s="81">
        <v>0.13020000000000001</v>
      </c>
      <c r="K97" s="63">
        <v>1058419508.3</v>
      </c>
      <c r="L97" s="58">
        <f t="shared" si="37"/>
        <v>4.4407925987882827E-3</v>
      </c>
      <c r="M97" s="91">
        <v>110.86</v>
      </c>
      <c r="N97" s="91">
        <v>111.54</v>
      </c>
      <c r="O97" s="59">
        <v>289</v>
      </c>
      <c r="P97" s="81">
        <v>5.0000000000000001E-3</v>
      </c>
      <c r="Q97" s="81">
        <v>0.1358</v>
      </c>
      <c r="R97" s="86">
        <f t="shared" si="38"/>
        <v>4.3999453066879859E-4</v>
      </c>
      <c r="S97" s="86">
        <f t="shared" si="39"/>
        <v>-1.6402116402116397E-2</v>
      </c>
      <c r="T97" s="86">
        <f t="shared" si="40"/>
        <v>0</v>
      </c>
      <c r="U97" s="87">
        <f t="shared" si="41"/>
        <v>2.4800000000000003E-2</v>
      </c>
      <c r="V97" s="88">
        <f t="shared" si="42"/>
        <v>5.5999999999999939E-3</v>
      </c>
    </row>
    <row r="98" spans="1:22">
      <c r="A98" s="172">
        <v>87</v>
      </c>
      <c r="B98" s="173" t="s">
        <v>156</v>
      </c>
      <c r="C98" s="174" t="s">
        <v>20</v>
      </c>
      <c r="D98" s="165">
        <v>1626830645.78</v>
      </c>
      <c r="E98" s="167">
        <f t="shared" si="43"/>
        <v>6.8097855010459379E-3</v>
      </c>
      <c r="F98" s="168">
        <v>389.07220000000001</v>
      </c>
      <c r="G98" s="168">
        <v>389.07220000000001</v>
      </c>
      <c r="H98" s="61">
        <v>97</v>
      </c>
      <c r="I98" s="82">
        <v>2.5999999999999999E-3</v>
      </c>
      <c r="J98" s="82">
        <v>0.13109999999999999</v>
      </c>
      <c r="K98" s="165">
        <v>1634381645.9000001</v>
      </c>
      <c r="L98" s="167">
        <f t="shared" si="37"/>
        <v>6.8573470724907779E-3</v>
      </c>
      <c r="M98" s="168">
        <v>390.0471</v>
      </c>
      <c r="N98" s="168">
        <v>390.0471</v>
      </c>
      <c r="O98" s="61">
        <v>97</v>
      </c>
      <c r="P98" s="82">
        <v>2.5000000000000001E-3</v>
      </c>
      <c r="Q98" s="82">
        <v>0.13389999999999999</v>
      </c>
      <c r="R98" s="87">
        <f t="shared" si="38"/>
        <v>4.6415403715115797E-3</v>
      </c>
      <c r="S98" s="87">
        <f t="shared" si="39"/>
        <v>2.5057045967303523E-3</v>
      </c>
      <c r="T98" s="87">
        <f t="shared" si="40"/>
        <v>0</v>
      </c>
      <c r="U98" s="87">
        <f t="shared" si="41"/>
        <v>-9.9999999999999829E-5</v>
      </c>
      <c r="V98" s="88">
        <f t="shared" si="42"/>
        <v>2.7999999999999969E-3</v>
      </c>
    </row>
    <row r="99" spans="1:22">
      <c r="A99" s="172">
        <v>88</v>
      </c>
      <c r="B99" s="173" t="s">
        <v>157</v>
      </c>
      <c r="C99" s="174" t="s">
        <v>104</v>
      </c>
      <c r="D99" s="75">
        <v>1776983043</v>
      </c>
      <c r="E99" s="58">
        <f>(D99/$K$72)</f>
        <v>3.7985549560850775E-4</v>
      </c>
      <c r="F99" s="91">
        <v>103.61</v>
      </c>
      <c r="G99" s="91">
        <v>103.61</v>
      </c>
      <c r="H99" s="59">
        <v>411</v>
      </c>
      <c r="I99" s="81">
        <v>0</v>
      </c>
      <c r="J99" s="81">
        <v>0.1384</v>
      </c>
      <c r="K99" s="75">
        <v>1784956896</v>
      </c>
      <c r="L99" s="58">
        <f t="shared" ref="L99:L113" si="52">(K99/$K$114)</f>
        <v>7.4891130697736282E-3</v>
      </c>
      <c r="M99" s="91">
        <v>103.97</v>
      </c>
      <c r="N99" s="91">
        <v>103.97</v>
      </c>
      <c r="O99" s="59">
        <v>411</v>
      </c>
      <c r="P99" s="81">
        <v>3.5000000000000001E-3</v>
      </c>
      <c r="Q99" s="81">
        <v>0.1394</v>
      </c>
      <c r="R99" s="86">
        <f t="shared" si="38"/>
        <v>4.4872983067627392E-3</v>
      </c>
      <c r="S99" s="86">
        <f t="shared" si="39"/>
        <v>3.4745680918830176E-3</v>
      </c>
      <c r="T99" s="86">
        <f t="shared" si="40"/>
        <v>0</v>
      </c>
      <c r="U99" s="87">
        <f t="shared" si="41"/>
        <v>3.5000000000000001E-3</v>
      </c>
      <c r="V99" s="88">
        <f t="shared" si="42"/>
        <v>1.0000000000000009E-3</v>
      </c>
    </row>
    <row r="100" spans="1:22">
      <c r="A100" s="172">
        <v>89</v>
      </c>
      <c r="B100" s="173" t="s">
        <v>158</v>
      </c>
      <c r="C100" s="174" t="s">
        <v>46</v>
      </c>
      <c r="D100" s="63">
        <v>58498809.740000002</v>
      </c>
      <c r="E100" s="58">
        <f t="shared" ref="E100:E113" si="53">(D100/$D$114)</f>
        <v>2.448714298745566E-4</v>
      </c>
      <c r="F100" s="63">
        <v>11.94</v>
      </c>
      <c r="G100" s="63">
        <v>12.63</v>
      </c>
      <c r="H100" s="59">
        <v>57</v>
      </c>
      <c r="I100" s="81">
        <v>-9.4999999999999998E-3</v>
      </c>
      <c r="J100" s="81">
        <v>-1.8200000000000001E-2</v>
      </c>
      <c r="K100" s="63">
        <v>58242821.640000001</v>
      </c>
      <c r="L100" s="58">
        <f t="shared" si="52"/>
        <v>2.4436840897508054E-4</v>
      </c>
      <c r="M100" s="63">
        <v>11.89</v>
      </c>
      <c r="N100" s="63">
        <v>12.59</v>
      </c>
      <c r="O100" s="59">
        <v>55</v>
      </c>
      <c r="P100" s="81">
        <v>-1.4E-3</v>
      </c>
      <c r="Q100" s="81">
        <v>-1.84E-2</v>
      </c>
      <c r="R100" s="86">
        <f t="shared" si="38"/>
        <v>-4.3759539918461505E-3</v>
      </c>
      <c r="S100" s="86">
        <f t="shared" si="39"/>
        <v>-3.1670625494854255E-3</v>
      </c>
      <c r="T100" s="86">
        <f t="shared" si="40"/>
        <v>-3.5087719298245612E-2</v>
      </c>
      <c r="U100" s="87">
        <f t="shared" si="41"/>
        <v>8.0999999999999996E-3</v>
      </c>
      <c r="V100" s="88">
        <f t="shared" si="42"/>
        <v>-1.9999999999999879E-4</v>
      </c>
    </row>
    <row r="101" spans="1:22">
      <c r="A101" s="172">
        <v>90</v>
      </c>
      <c r="B101" s="173" t="s">
        <v>159</v>
      </c>
      <c r="C101" s="174" t="s">
        <v>160</v>
      </c>
      <c r="D101" s="63">
        <v>836046106.07000005</v>
      </c>
      <c r="E101" s="58">
        <f t="shared" si="53"/>
        <v>3.4996234341231592E-3</v>
      </c>
      <c r="F101" s="63">
        <v>154.35</v>
      </c>
      <c r="G101" s="63">
        <v>154.35</v>
      </c>
      <c r="H101" s="59">
        <v>173</v>
      </c>
      <c r="I101" s="81">
        <v>0.1308</v>
      </c>
      <c r="J101" s="81">
        <v>0.18820000000000001</v>
      </c>
      <c r="K101" s="63">
        <v>859261948.00999999</v>
      </c>
      <c r="L101" s="58">
        <f t="shared" si="52"/>
        <v>3.6051906349232306E-3</v>
      </c>
      <c r="M101" s="63">
        <v>154.88</v>
      </c>
      <c r="N101" s="63">
        <v>154.88</v>
      </c>
      <c r="O101" s="59">
        <v>174</v>
      </c>
      <c r="P101" s="81">
        <v>0.2</v>
      </c>
      <c r="Q101" s="81">
        <v>0.1883</v>
      </c>
      <c r="R101" s="86">
        <f t="shared" si="38"/>
        <v>2.7768614399905037E-2</v>
      </c>
      <c r="S101" s="86">
        <f t="shared" si="39"/>
        <v>3.4337544541626248E-3</v>
      </c>
      <c r="T101" s="86">
        <f t="shared" si="40"/>
        <v>5.7803468208092483E-3</v>
      </c>
      <c r="U101" s="87">
        <f t="shared" si="41"/>
        <v>6.9200000000000012E-2</v>
      </c>
      <c r="V101" s="88">
        <f t="shared" si="42"/>
        <v>9.9999999999988987E-5</v>
      </c>
    </row>
    <row r="102" spans="1:22">
      <c r="A102" s="172">
        <v>91</v>
      </c>
      <c r="B102" s="173" t="s">
        <v>161</v>
      </c>
      <c r="C102" s="174" t="s">
        <v>162</v>
      </c>
      <c r="D102" s="63">
        <v>10619125065.224701</v>
      </c>
      <c r="E102" s="58">
        <f t="shared" si="53"/>
        <v>4.4450824731230104E-2</v>
      </c>
      <c r="F102" s="63">
        <v>1.1399999999999999</v>
      </c>
      <c r="G102" s="63">
        <v>1.1399999999999999</v>
      </c>
      <c r="H102" s="59">
        <v>5118</v>
      </c>
      <c r="I102" s="81">
        <v>0.1701</v>
      </c>
      <c r="J102" s="81">
        <v>0.1701</v>
      </c>
      <c r="K102" s="63">
        <v>10772634275.696699</v>
      </c>
      <c r="L102" s="58">
        <f t="shared" si="52"/>
        <v>4.5198557080457093E-2</v>
      </c>
      <c r="M102" s="63">
        <v>1.1399999999999999</v>
      </c>
      <c r="N102" s="63">
        <v>1.1399999999999999</v>
      </c>
      <c r="O102" s="59">
        <v>5118</v>
      </c>
      <c r="P102" s="81">
        <v>0.17030000000000001</v>
      </c>
      <c r="Q102" s="81">
        <v>0.17030000000000001</v>
      </c>
      <c r="R102" s="86">
        <f t="shared" si="38"/>
        <v>1.4455918875530256E-2</v>
      </c>
      <c r="S102" s="86">
        <f t="shared" si="39"/>
        <v>0</v>
      </c>
      <c r="T102" s="86">
        <f t="shared" si="40"/>
        <v>0</v>
      </c>
      <c r="U102" s="87">
        <f t="shared" si="41"/>
        <v>2.0000000000000573E-4</v>
      </c>
      <c r="V102" s="88">
        <f t="shared" si="42"/>
        <v>2.0000000000000573E-4</v>
      </c>
    </row>
    <row r="103" spans="1:22" ht="14.25" customHeight="1">
      <c r="A103" s="172">
        <v>92</v>
      </c>
      <c r="B103" s="173" t="s">
        <v>163</v>
      </c>
      <c r="C103" s="174" t="s">
        <v>50</v>
      </c>
      <c r="D103" s="63">
        <v>6904230300.3500004</v>
      </c>
      <c r="E103" s="58">
        <f t="shared" si="53"/>
        <v>2.8900566581509798E-2</v>
      </c>
      <c r="F103" s="63">
        <v>5176.09</v>
      </c>
      <c r="G103" s="63">
        <v>5176.09</v>
      </c>
      <c r="H103" s="59">
        <v>222</v>
      </c>
      <c r="I103" s="81">
        <v>0</v>
      </c>
      <c r="J103" s="81">
        <v>1.6999999999999999E-3</v>
      </c>
      <c r="K103" s="63">
        <v>6904240869.6899996</v>
      </c>
      <c r="L103" s="58">
        <f t="shared" si="52"/>
        <v>2.8968005137789399E-2</v>
      </c>
      <c r="M103" s="63">
        <v>5176.09</v>
      </c>
      <c r="N103" s="63">
        <v>5176.09</v>
      </c>
      <c r="O103" s="59">
        <v>222</v>
      </c>
      <c r="P103" s="81">
        <v>0</v>
      </c>
      <c r="Q103" s="81">
        <v>1.6999999999999999E-3</v>
      </c>
      <c r="R103" s="86">
        <f t="shared" si="38"/>
        <v>1.5308498615208585E-6</v>
      </c>
      <c r="S103" s="86">
        <f t="shared" si="39"/>
        <v>0</v>
      </c>
      <c r="T103" s="86">
        <f t="shared" si="40"/>
        <v>0</v>
      </c>
      <c r="U103" s="87">
        <f t="shared" si="41"/>
        <v>0</v>
      </c>
      <c r="V103" s="88">
        <f t="shared" si="42"/>
        <v>0</v>
      </c>
    </row>
    <row r="104" spans="1:22" ht="13.5" customHeight="1">
      <c r="A104" s="172">
        <v>93</v>
      </c>
      <c r="B104" s="173" t="s">
        <v>164</v>
      </c>
      <c r="C104" s="174" t="s">
        <v>50</v>
      </c>
      <c r="D104" s="63">
        <v>15743455916.17</v>
      </c>
      <c r="E104" s="58">
        <f t="shared" si="53"/>
        <v>6.5900871803953306E-2</v>
      </c>
      <c r="F104" s="91">
        <v>259.24</v>
      </c>
      <c r="G104" s="91">
        <v>259.24</v>
      </c>
      <c r="H104" s="59">
        <v>6057</v>
      </c>
      <c r="I104" s="81">
        <v>0</v>
      </c>
      <c r="J104" s="81">
        <v>1.5E-3</v>
      </c>
      <c r="K104" s="63">
        <v>15697481181.700001</v>
      </c>
      <c r="L104" s="58">
        <f t="shared" si="52"/>
        <v>6.5861652874554935E-2</v>
      </c>
      <c r="M104" s="91">
        <v>259.24</v>
      </c>
      <c r="N104" s="91">
        <v>259.24</v>
      </c>
      <c r="O104" s="59">
        <v>6049</v>
      </c>
      <c r="P104" s="81">
        <v>0</v>
      </c>
      <c r="Q104" s="81">
        <v>1.5E-3</v>
      </c>
      <c r="R104" s="86">
        <f t="shared" si="38"/>
        <v>-2.9202441137958133E-3</v>
      </c>
      <c r="S104" s="86">
        <f t="shared" si="39"/>
        <v>0</v>
      </c>
      <c r="T104" s="86">
        <f t="shared" si="40"/>
        <v>-1.3207858675912169E-3</v>
      </c>
      <c r="U104" s="87">
        <f t="shared" si="41"/>
        <v>0</v>
      </c>
      <c r="V104" s="88">
        <f t="shared" si="42"/>
        <v>0</v>
      </c>
    </row>
    <row r="105" spans="1:22" ht="13.5" customHeight="1">
      <c r="A105" s="172">
        <v>94</v>
      </c>
      <c r="B105" s="173" t="s">
        <v>165</v>
      </c>
      <c r="C105" s="174" t="s">
        <v>50</v>
      </c>
      <c r="D105" s="63">
        <v>581221199.85000002</v>
      </c>
      <c r="E105" s="58">
        <f t="shared" si="53"/>
        <v>2.4329463610155656E-3</v>
      </c>
      <c r="F105" s="62">
        <v>9273.39</v>
      </c>
      <c r="G105" s="62">
        <v>9309.31</v>
      </c>
      <c r="H105" s="59">
        <v>16</v>
      </c>
      <c r="I105" s="81">
        <v>-1.0500000000000001E-2</v>
      </c>
      <c r="J105" s="81">
        <v>0.3644</v>
      </c>
      <c r="K105" s="63">
        <v>602500656.85000002</v>
      </c>
      <c r="L105" s="58">
        <f t="shared" si="52"/>
        <v>2.5279016842782802E-3</v>
      </c>
      <c r="M105" s="62">
        <v>9293.9599999999991</v>
      </c>
      <c r="N105" s="62">
        <v>9329.3700000000008</v>
      </c>
      <c r="O105" s="59">
        <v>17</v>
      </c>
      <c r="P105" s="81">
        <v>2.2000000000000001E-3</v>
      </c>
      <c r="Q105" s="81">
        <v>0.36730000000000002</v>
      </c>
      <c r="R105" s="86">
        <f t="shared" si="38"/>
        <v>3.6611632551413718E-2</v>
      </c>
      <c r="S105" s="86">
        <f t="shared" si="39"/>
        <v>2.1548320981900175E-3</v>
      </c>
      <c r="T105" s="86">
        <f t="shared" si="40"/>
        <v>6.25E-2</v>
      </c>
      <c r="U105" s="87">
        <f t="shared" si="41"/>
        <v>1.2700000000000001E-2</v>
      </c>
      <c r="V105" s="88">
        <f t="shared" si="42"/>
        <v>2.9000000000000137E-3</v>
      </c>
    </row>
    <row r="106" spans="1:22" ht="15" customHeight="1">
      <c r="A106" s="172">
        <v>95</v>
      </c>
      <c r="B106" s="173" t="s">
        <v>166</v>
      </c>
      <c r="C106" s="174" t="s">
        <v>50</v>
      </c>
      <c r="D106" s="63">
        <v>6458777411.8599997</v>
      </c>
      <c r="E106" s="58">
        <f t="shared" si="53"/>
        <v>2.703593572438464E-2</v>
      </c>
      <c r="F106" s="91">
        <v>160.25</v>
      </c>
      <c r="G106" s="91">
        <v>160.25</v>
      </c>
      <c r="H106" s="59">
        <v>5269</v>
      </c>
      <c r="I106" s="81">
        <v>2.8E-3</v>
      </c>
      <c r="J106" s="81">
        <v>0.16220000000000001</v>
      </c>
      <c r="K106" s="63">
        <v>6449015964.9200001</v>
      </c>
      <c r="L106" s="58">
        <f t="shared" si="52"/>
        <v>2.705802580347641E-2</v>
      </c>
      <c r="M106" s="91">
        <v>160.69</v>
      </c>
      <c r="N106" s="91">
        <v>160.69</v>
      </c>
      <c r="O106" s="59">
        <v>5307</v>
      </c>
      <c r="P106" s="81">
        <v>2.7000000000000001E-3</v>
      </c>
      <c r="Q106" s="81">
        <v>0.16539999999999999</v>
      </c>
      <c r="R106" s="86">
        <f t="shared" si="38"/>
        <v>-1.5113459278028405E-3</v>
      </c>
      <c r="S106" s="86">
        <f t="shared" si="39"/>
        <v>2.7457098283931217E-3</v>
      </c>
      <c r="T106" s="86">
        <f t="shared" si="40"/>
        <v>7.2119946858986523E-3</v>
      </c>
      <c r="U106" s="87">
        <f t="shared" si="41"/>
        <v>-9.9999999999999829E-5</v>
      </c>
      <c r="V106" s="88">
        <f t="shared" si="42"/>
        <v>3.1999999999999806E-3</v>
      </c>
    </row>
    <row r="107" spans="1:22" ht="15" customHeight="1">
      <c r="A107" s="172">
        <v>96</v>
      </c>
      <c r="B107" s="173" t="s">
        <v>167</v>
      </c>
      <c r="C107" s="174" t="s">
        <v>50</v>
      </c>
      <c r="D107" s="63">
        <v>6196515136.8400002</v>
      </c>
      <c r="E107" s="58">
        <f t="shared" si="53"/>
        <v>2.5938126408746733E-2</v>
      </c>
      <c r="F107" s="91">
        <v>383.22</v>
      </c>
      <c r="G107" s="91">
        <v>383.67</v>
      </c>
      <c r="H107" s="59">
        <v>10842</v>
      </c>
      <c r="I107" s="81">
        <v>5.9999999999999995E-4</v>
      </c>
      <c r="J107" s="81">
        <v>8.3000000000000004E-2</v>
      </c>
      <c r="K107" s="63">
        <v>6221433298.96</v>
      </c>
      <c r="L107" s="58">
        <f t="shared" si="52"/>
        <v>2.6103161110713004E-2</v>
      </c>
      <c r="M107" s="91">
        <v>383.96</v>
      </c>
      <c r="N107" s="91">
        <v>384.31</v>
      </c>
      <c r="O107" s="59">
        <v>10885</v>
      </c>
      <c r="P107" s="81">
        <v>1.6999999999999999E-3</v>
      </c>
      <c r="Q107" s="81">
        <v>8.4900000000000003E-2</v>
      </c>
      <c r="R107" s="86">
        <f t="shared" si="38"/>
        <v>4.021318687959706E-3</v>
      </c>
      <c r="S107" s="86">
        <f t="shared" si="39"/>
        <v>1.6681001902676424E-3</v>
      </c>
      <c r="T107" s="86">
        <f t="shared" si="40"/>
        <v>3.9660579228924554E-3</v>
      </c>
      <c r="U107" s="87">
        <f t="shared" si="41"/>
        <v>1.0999999999999998E-3</v>
      </c>
      <c r="V107" s="88">
        <f t="shared" si="42"/>
        <v>1.8999999999999989E-3</v>
      </c>
    </row>
    <row r="108" spans="1:22" ht="15" customHeight="1">
      <c r="A108" s="172">
        <v>97</v>
      </c>
      <c r="B108" s="173" t="s">
        <v>168</v>
      </c>
      <c r="C108" s="174" t="s">
        <v>119</v>
      </c>
      <c r="D108" s="63">
        <v>90871672.810000002</v>
      </c>
      <c r="E108" s="58">
        <f t="shared" si="53"/>
        <v>3.8038169588367366E-4</v>
      </c>
      <c r="F108" s="91">
        <v>112.258</v>
      </c>
      <c r="G108" s="91">
        <v>112.258</v>
      </c>
      <c r="H108" s="59">
        <v>23</v>
      </c>
      <c r="I108" s="81">
        <v>-3.2000000000000003E-4</v>
      </c>
      <c r="J108" s="81">
        <v>0.24179999999999999</v>
      </c>
      <c r="K108" s="63">
        <v>91154705.079999998</v>
      </c>
      <c r="L108" s="58">
        <f t="shared" si="52"/>
        <v>3.8245623449833073E-4</v>
      </c>
      <c r="M108" s="91">
        <v>112.6073</v>
      </c>
      <c r="N108" s="91">
        <v>112.6073</v>
      </c>
      <c r="O108" s="59">
        <v>23</v>
      </c>
      <c r="P108" s="81">
        <v>5.7299999999999999E-3</v>
      </c>
      <c r="Q108" s="81">
        <v>0.2397</v>
      </c>
      <c r="R108" s="86">
        <f t="shared" ref="R108" si="54">((K108-D108)/D108)</f>
        <v>3.1146369517349687E-3</v>
      </c>
      <c r="S108" s="86">
        <f t="shared" ref="S108" si="55">((N108-G108)/G108)</f>
        <v>3.1115822480357702E-3</v>
      </c>
      <c r="T108" s="86">
        <f t="shared" ref="T108" si="56">((O108-H108)/H108)</f>
        <v>0</v>
      </c>
      <c r="U108" s="87">
        <f t="shared" ref="U108" si="57">P108-I108</f>
        <v>6.0499999999999998E-3</v>
      </c>
      <c r="V108" s="88">
        <f t="shared" ref="V108" si="58">Q108-J108</f>
        <v>-2.0999999999999908E-3</v>
      </c>
    </row>
    <row r="109" spans="1:22">
      <c r="A109" s="172">
        <v>98</v>
      </c>
      <c r="B109" s="173" t="s">
        <v>169</v>
      </c>
      <c r="C109" s="174" t="s">
        <v>53</v>
      </c>
      <c r="D109" s="63">
        <v>84162713620.190002</v>
      </c>
      <c r="E109" s="58">
        <f t="shared" si="53"/>
        <v>0.35229851885698804</v>
      </c>
      <c r="F109" s="63">
        <v>1.9705999999999999</v>
      </c>
      <c r="G109" s="63">
        <v>1.9705999999999999</v>
      </c>
      <c r="H109" s="59">
        <v>6827</v>
      </c>
      <c r="I109" s="81">
        <v>1.5E-3</v>
      </c>
      <c r="J109" s="81">
        <v>8.4000000000000005E-2</v>
      </c>
      <c r="K109" s="63">
        <v>84259180307.309998</v>
      </c>
      <c r="L109" s="58">
        <f t="shared" si="52"/>
        <v>0.35352479933940545</v>
      </c>
      <c r="M109" s="63">
        <v>1.9729000000000001</v>
      </c>
      <c r="N109" s="63">
        <v>1.9729000000000001</v>
      </c>
      <c r="O109" s="59">
        <v>6833</v>
      </c>
      <c r="P109" s="81">
        <v>1.1999999999999999E-3</v>
      </c>
      <c r="Q109" s="81">
        <v>8.3500000000000005E-2</v>
      </c>
      <c r="R109" s="86">
        <f t="shared" si="38"/>
        <v>1.1461926899758788E-3</v>
      </c>
      <c r="S109" s="86">
        <f t="shared" si="39"/>
        <v>1.1671572110018222E-3</v>
      </c>
      <c r="T109" s="86">
        <f t="shared" si="40"/>
        <v>8.7886333675113524E-4</v>
      </c>
      <c r="U109" s="87">
        <f t="shared" si="41"/>
        <v>-3.0000000000000014E-4</v>
      </c>
      <c r="V109" s="88">
        <f t="shared" si="42"/>
        <v>-5.0000000000000044E-4</v>
      </c>
    </row>
    <row r="110" spans="1:22">
      <c r="A110" s="172">
        <v>99</v>
      </c>
      <c r="B110" s="173" t="s">
        <v>170</v>
      </c>
      <c r="C110" s="174" t="s">
        <v>53</v>
      </c>
      <c r="D110" s="63">
        <v>59485003699.599998</v>
      </c>
      <c r="E110" s="58">
        <f t="shared" si="53"/>
        <v>0.24899956044839588</v>
      </c>
      <c r="F110" s="63">
        <v>127.9513</v>
      </c>
      <c r="G110" s="63">
        <v>127.9513</v>
      </c>
      <c r="H110" s="59">
        <v>1140</v>
      </c>
      <c r="I110" s="81">
        <v>3.0000000000000001E-3</v>
      </c>
      <c r="J110" s="81">
        <v>0.19980000000000001</v>
      </c>
      <c r="K110" s="63">
        <v>58849801257.709999</v>
      </c>
      <c r="L110" s="58">
        <f t="shared" si="52"/>
        <v>0.24691510295870836</v>
      </c>
      <c r="M110" s="63">
        <v>128.33349999999999</v>
      </c>
      <c r="N110" s="63">
        <v>128.33349999999999</v>
      </c>
      <c r="O110" s="59">
        <v>1155</v>
      </c>
      <c r="P110" s="81">
        <v>3.0000000000000001E-3</v>
      </c>
      <c r="Q110" s="81">
        <v>0.19919999999999999</v>
      </c>
      <c r="R110" s="86">
        <f t="shared" ref="R110:R112" si="59">((K110-D110)/D110)</f>
        <v>-1.067836265250616E-2</v>
      </c>
      <c r="S110" s="86">
        <f t="shared" ref="S110:S112" si="60">((N110-G110)/G110)</f>
        <v>2.9870739883063571E-3</v>
      </c>
      <c r="T110" s="86">
        <f t="shared" ref="T110:T112" si="61">((O110-H110)/H110)</f>
        <v>1.3157894736842105E-2</v>
      </c>
      <c r="U110" s="87">
        <f t="shared" ref="U110:U112" si="62">P110-I110</f>
        <v>0</v>
      </c>
      <c r="V110" s="88">
        <f t="shared" ref="V110:V112" si="63">Q110-J110</f>
        <v>-6.0000000000001719E-4</v>
      </c>
    </row>
    <row r="111" spans="1:22">
      <c r="A111" s="172">
        <v>100</v>
      </c>
      <c r="B111" s="173" t="s">
        <v>171</v>
      </c>
      <c r="C111" s="173" t="s">
        <v>172</v>
      </c>
      <c r="D111" s="63">
        <v>115084865.91</v>
      </c>
      <c r="E111" s="58">
        <f t="shared" si="53"/>
        <v>4.8173622331043538E-4</v>
      </c>
      <c r="F111" s="63">
        <v>116.174336054341</v>
      </c>
      <c r="G111" s="63">
        <v>116.174336054341</v>
      </c>
      <c r="H111" s="93">
        <v>87</v>
      </c>
      <c r="I111" s="95">
        <v>1.5E-3</v>
      </c>
      <c r="J111" s="95">
        <v>5.2299999999999999E-2</v>
      </c>
      <c r="K111" s="63">
        <v>115180496.2</v>
      </c>
      <c r="L111" s="58">
        <f t="shared" si="52"/>
        <v>4.8326083470557474E-4</v>
      </c>
      <c r="M111" s="63">
        <v>116.27087164448599</v>
      </c>
      <c r="N111" s="63">
        <v>116.27087164448599</v>
      </c>
      <c r="O111" s="93">
        <v>87</v>
      </c>
      <c r="P111" s="95">
        <v>8.0000000000000004E-4</v>
      </c>
      <c r="Q111" s="95">
        <v>5.3100000000000001E-2</v>
      </c>
      <c r="R111" s="86">
        <f t="shared" si="59"/>
        <v>8.3095452424467758E-4</v>
      </c>
      <c r="S111" s="86">
        <f t="shared" si="60"/>
        <v>8.3095452424053842E-4</v>
      </c>
      <c r="T111" s="86">
        <f t="shared" si="61"/>
        <v>0</v>
      </c>
      <c r="U111" s="87">
        <f t="shared" si="62"/>
        <v>-6.9999999999999999E-4</v>
      </c>
      <c r="V111" s="88">
        <f t="shared" si="63"/>
        <v>8.000000000000021E-4</v>
      </c>
    </row>
    <row r="112" spans="1:22">
      <c r="A112" s="172">
        <v>101</v>
      </c>
      <c r="B112" s="173" t="s">
        <v>173</v>
      </c>
      <c r="C112" s="174" t="s">
        <v>126</v>
      </c>
      <c r="D112" s="63">
        <v>358358023.06999999</v>
      </c>
      <c r="E112" s="58">
        <f t="shared" si="53"/>
        <v>1.5000585807845572E-3</v>
      </c>
      <c r="F112" s="63">
        <v>1.36</v>
      </c>
      <c r="G112" s="63">
        <v>1.36</v>
      </c>
      <c r="H112" s="59">
        <v>732</v>
      </c>
      <c r="I112" s="81">
        <v>-3.0700000000000002E-2</v>
      </c>
      <c r="J112" s="81">
        <v>0.26500000000000001</v>
      </c>
      <c r="K112" s="63">
        <v>365225502.58999997</v>
      </c>
      <c r="L112" s="58">
        <f t="shared" si="52"/>
        <v>1.5323703844002578E-3</v>
      </c>
      <c r="M112" s="63">
        <v>1.37</v>
      </c>
      <c r="N112" s="63">
        <v>1.37</v>
      </c>
      <c r="O112" s="59">
        <v>738</v>
      </c>
      <c r="P112" s="81">
        <v>4.4999999999999997E-3</v>
      </c>
      <c r="Q112" s="81">
        <v>0.27179999999999999</v>
      </c>
      <c r="R112" s="86">
        <f t="shared" si="59"/>
        <v>1.9163738713500269E-2</v>
      </c>
      <c r="S112" s="86">
        <f t="shared" si="60"/>
        <v>7.3529411764705942E-3</v>
      </c>
      <c r="T112" s="86">
        <f t="shared" si="61"/>
        <v>8.1967213114754103E-3</v>
      </c>
      <c r="U112" s="87">
        <f t="shared" si="62"/>
        <v>3.5200000000000002E-2</v>
      </c>
      <c r="V112" s="88">
        <f t="shared" si="63"/>
        <v>6.7999999999999727E-3</v>
      </c>
    </row>
    <row r="113" spans="1:28">
      <c r="A113" s="172">
        <v>102</v>
      </c>
      <c r="B113" s="173" t="s">
        <v>174</v>
      </c>
      <c r="C113" s="174" t="s">
        <v>128</v>
      </c>
      <c r="D113" s="63">
        <v>2275599234.75</v>
      </c>
      <c r="E113" s="58">
        <f t="shared" si="53"/>
        <v>9.5254799355970494E-3</v>
      </c>
      <c r="F113" s="91">
        <v>34.783099999999997</v>
      </c>
      <c r="G113" s="91">
        <v>34.783099999999997</v>
      </c>
      <c r="H113" s="59">
        <v>1301</v>
      </c>
      <c r="I113" s="81">
        <v>0.10340000000000001</v>
      </c>
      <c r="J113" s="81">
        <v>0.10340000000000001</v>
      </c>
      <c r="K113" s="63">
        <v>1989778719.8399999</v>
      </c>
      <c r="L113" s="58">
        <f t="shared" si="52"/>
        <v>8.348480487178768E-3</v>
      </c>
      <c r="M113" s="91">
        <v>30.105599999999999</v>
      </c>
      <c r="N113" s="91">
        <v>30.105599999999999</v>
      </c>
      <c r="O113" s="59">
        <v>1304</v>
      </c>
      <c r="P113" s="81">
        <v>0.13339999999999999</v>
      </c>
      <c r="Q113" s="81">
        <v>0.13339999999999999</v>
      </c>
      <c r="R113" s="86">
        <f t="shared" si="38"/>
        <v>-0.12560230753522847</v>
      </c>
      <c r="S113" s="86">
        <f t="shared" si="39"/>
        <v>-0.13447622552331445</v>
      </c>
      <c r="T113" s="86">
        <f t="shared" si="40"/>
        <v>2.3059185242121443E-3</v>
      </c>
      <c r="U113" s="87">
        <f t="shared" si="41"/>
        <v>2.9999999999999985E-2</v>
      </c>
      <c r="V113" s="88">
        <f t="shared" si="42"/>
        <v>2.9999999999999985E-2</v>
      </c>
    </row>
    <row r="114" spans="1:28">
      <c r="A114" s="66"/>
      <c r="B114" s="67"/>
      <c r="C114" s="68" t="s">
        <v>56</v>
      </c>
      <c r="D114" s="90">
        <f>SUM(D75:D113)</f>
        <v>238896018902.52338</v>
      </c>
      <c r="E114" s="70">
        <f>(D114/$D$231)</f>
        <v>3.1757842547419174E-2</v>
      </c>
      <c r="F114" s="71"/>
      <c r="G114" s="76"/>
      <c r="H114" s="73">
        <f>SUM(H75:H113)</f>
        <v>57087</v>
      </c>
      <c r="I114" s="84"/>
      <c r="J114" s="84"/>
      <c r="K114" s="90">
        <f>SUM(K75:K113)</f>
        <v>238340225253.66324</v>
      </c>
      <c r="L114" s="70">
        <f>(K114/$K$231)</f>
        <v>3.1347418451550653E-2</v>
      </c>
      <c r="M114" s="71"/>
      <c r="N114" s="76"/>
      <c r="O114" s="73">
        <f>SUM(O75:O113)</f>
        <v>57292</v>
      </c>
      <c r="P114" s="84"/>
      <c r="Q114" s="84"/>
      <c r="R114" s="86">
        <f t="shared" si="38"/>
        <v>-2.3265086266963625E-3</v>
      </c>
      <c r="S114" s="86" t="e">
        <f t="shared" si="39"/>
        <v>#DIV/0!</v>
      </c>
      <c r="T114" s="86">
        <f t="shared" si="40"/>
        <v>3.591010212482702E-3</v>
      </c>
      <c r="U114" s="87">
        <f t="shared" si="41"/>
        <v>0</v>
      </c>
      <c r="V114" s="88">
        <f t="shared" si="42"/>
        <v>0</v>
      </c>
    </row>
    <row r="115" spans="1:28" ht="3.75" customHeight="1">
      <c r="A115" s="66"/>
      <c r="B115" s="193"/>
      <c r="C115" s="193"/>
      <c r="D115" s="193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  <c r="R115" s="193"/>
      <c r="S115" s="193"/>
      <c r="T115" s="193"/>
      <c r="U115" s="193"/>
      <c r="V115" s="193"/>
    </row>
    <row r="116" spans="1:28" ht="15" customHeight="1">
      <c r="A116" s="192" t="s">
        <v>175</v>
      </c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  <c r="V116" s="192"/>
    </row>
    <row r="117" spans="1:28">
      <c r="A117" s="194" t="s">
        <v>176</v>
      </c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4"/>
      <c r="Q117" s="194"/>
      <c r="R117" s="194"/>
      <c r="S117" s="194"/>
      <c r="T117" s="194"/>
      <c r="U117" s="194"/>
      <c r="V117" s="194"/>
      <c r="Z117" s="96"/>
      <c r="AB117" s="98"/>
    </row>
    <row r="118" spans="1:28" ht="16.5" customHeight="1">
      <c r="A118" s="172">
        <v>103</v>
      </c>
      <c r="B118" s="173" t="s">
        <v>177</v>
      </c>
      <c r="C118" s="174" t="s">
        <v>20</v>
      </c>
      <c r="D118" s="63">
        <v>3500238041.1399999</v>
      </c>
      <c r="E118" s="58">
        <f t="shared" ref="E118:E123" si="64">(D118/$D$156)</f>
        <v>1.8304061644774869E-3</v>
      </c>
      <c r="F118" s="63">
        <v>114.47020000000001</v>
      </c>
      <c r="G118" s="63">
        <v>114.5214</v>
      </c>
      <c r="H118" s="59">
        <v>174</v>
      </c>
      <c r="I118" s="81">
        <v>-1E-4</v>
      </c>
      <c r="J118" s="81">
        <v>5.7200000000000001E-2</v>
      </c>
      <c r="K118" s="63">
        <v>3566501940.3000002</v>
      </c>
      <c r="L118" s="58">
        <f t="shared" ref="L118:L134" si="65">(K118/$K$156)</f>
        <v>1.824986095841153E-3</v>
      </c>
      <c r="M118" s="171">
        <v>114.5485</v>
      </c>
      <c r="N118" s="63">
        <v>114.5214</v>
      </c>
      <c r="O118" s="59">
        <v>174</v>
      </c>
      <c r="P118" s="81">
        <v>6.9999999999999999E-4</v>
      </c>
      <c r="Q118" s="81">
        <v>5.79E-2</v>
      </c>
      <c r="R118" s="86">
        <f>((K118-D118)/D118)</f>
        <v>1.8931255069274858E-2</v>
      </c>
      <c r="S118" s="86">
        <f>((N118-G118)/G118)</f>
        <v>0</v>
      </c>
      <c r="T118" s="86">
        <f>((O118-H118)/H118)</f>
        <v>0</v>
      </c>
      <c r="U118" s="86">
        <f>P118-I118</f>
        <v>8.0000000000000004E-4</v>
      </c>
      <c r="V118" s="133">
        <f>Q118-J118</f>
        <v>6.9999999999999923E-4</v>
      </c>
      <c r="X118" s="96"/>
      <c r="Y118" s="99"/>
      <c r="Z118" s="96"/>
      <c r="AA118" s="100"/>
    </row>
    <row r="119" spans="1:28" ht="16.5" customHeight="1">
      <c r="A119" s="172">
        <v>104</v>
      </c>
      <c r="B119" s="173" t="s">
        <v>178</v>
      </c>
      <c r="C119" s="174" t="s">
        <v>60</v>
      </c>
      <c r="D119" s="63">
        <v>5895110690.0536947</v>
      </c>
      <c r="E119" s="58">
        <f t="shared" si="64"/>
        <v>3.0827751771525377E-3</v>
      </c>
      <c r="F119" s="63">
        <v>145441.22999999998</v>
      </c>
      <c r="G119" s="63">
        <v>145441.22999999998</v>
      </c>
      <c r="H119" s="59">
        <v>98</v>
      </c>
      <c r="I119" s="81">
        <v>-2.15E-3</v>
      </c>
      <c r="J119" s="81">
        <v>7.4762999999999996E-2</v>
      </c>
      <c r="K119" s="63">
        <f>4064122.5*W137</f>
        <v>5951896834.5314999</v>
      </c>
      <c r="L119" s="58">
        <f t="shared" si="65"/>
        <v>3.0455973804930214E-3</v>
      </c>
      <c r="M119" s="63">
        <f>100*W137</f>
        <v>146449.74</v>
      </c>
      <c r="N119" s="63">
        <f>100*W137</f>
        <v>146449.74</v>
      </c>
      <c r="O119" s="59">
        <v>98</v>
      </c>
      <c r="P119" s="81">
        <v>1.3079999999999999E-3</v>
      </c>
      <c r="Q119" s="81">
        <v>7.6071E-2</v>
      </c>
      <c r="R119" s="87">
        <f>((K119-D119)/D119)</f>
        <v>9.6327528800460756E-3</v>
      </c>
      <c r="S119" s="87">
        <f>((N119-G119)/G119)</f>
        <v>6.9341410272727305E-3</v>
      </c>
      <c r="T119" s="87">
        <f>((O119-H119)/H119)</f>
        <v>0</v>
      </c>
      <c r="U119" s="87">
        <f>P119-I119</f>
        <v>3.4580000000000001E-3</v>
      </c>
      <c r="V119" s="88">
        <f>Q119-J119</f>
        <v>1.3080000000000036E-3</v>
      </c>
      <c r="X119" s="96"/>
      <c r="Y119" s="99"/>
      <c r="Z119" s="96"/>
      <c r="AA119" s="100"/>
    </row>
    <row r="120" spans="1:28">
      <c r="A120" s="172">
        <v>105</v>
      </c>
      <c r="B120" s="173" t="s">
        <v>179</v>
      </c>
      <c r="C120" s="174" t="s">
        <v>24</v>
      </c>
      <c r="D120" s="63">
        <v>17319230227.564949</v>
      </c>
      <c r="E120" s="58">
        <f t="shared" si="64"/>
        <v>9.0568771037683113E-3</v>
      </c>
      <c r="F120" s="63">
        <v>1782.2368324199999</v>
      </c>
      <c r="G120" s="63">
        <v>1782.2368324199999</v>
      </c>
      <c r="H120" s="59">
        <v>320</v>
      </c>
      <c r="I120" s="81">
        <v>3.8300000000000001E-2</v>
      </c>
      <c r="J120" s="81">
        <v>8.3099999999999993E-2</v>
      </c>
      <c r="K120" s="63">
        <f>12217707.11*W137</f>
        <v>17892800296.556511</v>
      </c>
      <c r="L120" s="58">
        <f t="shared" si="65"/>
        <v>9.1557812959247552E-3</v>
      </c>
      <c r="M120" s="63">
        <f>1.2271*W137</f>
        <v>1797.0847595400001</v>
      </c>
      <c r="N120" s="63">
        <f>1.2271*W137</f>
        <v>1797.0847595400001</v>
      </c>
      <c r="O120" s="59">
        <v>321</v>
      </c>
      <c r="P120" s="81">
        <v>7.2300000000000003E-2</v>
      </c>
      <c r="Q120" s="81">
        <v>8.3000000000000004E-2</v>
      </c>
      <c r="R120" s="87">
        <f t="shared" ref="R120:R132" si="66">((K120-D120)/D120)</f>
        <v>3.3117526671519092E-2</v>
      </c>
      <c r="S120" s="87">
        <f t="shared" ref="S120:S132" si="67">((N120-G120)/G120)</f>
        <v>8.3310628811542123E-3</v>
      </c>
      <c r="T120" s="87">
        <f t="shared" ref="T120:T132" si="68">((O120-H120)/H120)</f>
        <v>3.1250000000000002E-3</v>
      </c>
      <c r="U120" s="87">
        <f t="shared" ref="U120:U132" si="69">P120-I120</f>
        <v>3.4000000000000002E-2</v>
      </c>
      <c r="V120" s="88">
        <f t="shared" ref="V120:V132" si="70">Q120-J120</f>
        <v>-9.9999999999988987E-5</v>
      </c>
    </row>
    <row r="121" spans="1:28">
      <c r="A121" s="172">
        <v>106</v>
      </c>
      <c r="B121" s="173" t="s">
        <v>180</v>
      </c>
      <c r="C121" s="174" t="s">
        <v>24</v>
      </c>
      <c r="D121" s="63">
        <v>4195488097.7603221</v>
      </c>
      <c r="E121" s="58">
        <f t="shared" si="64"/>
        <v>2.1939785771345091E-3</v>
      </c>
      <c r="F121" s="63">
        <v>1524.36953163</v>
      </c>
      <c r="G121" s="63">
        <v>1524.36953163</v>
      </c>
      <c r="H121" s="59">
        <v>101</v>
      </c>
      <c r="I121" s="81">
        <v>3.9800000000000002E-2</v>
      </c>
      <c r="J121" s="81">
        <v>5.0700000000000002E-2</v>
      </c>
      <c r="K121" s="63">
        <f>3002282.48*W137</f>
        <v>4396834886.0255518</v>
      </c>
      <c r="L121" s="58">
        <f t="shared" si="65"/>
        <v>2.2498691062063439E-3</v>
      </c>
      <c r="M121" s="63">
        <f>1.0493*W137</f>
        <v>1536.6971218199999</v>
      </c>
      <c r="N121" s="63">
        <f>1.0493*W137</f>
        <v>1536.6971218199999</v>
      </c>
      <c r="O121" s="59">
        <v>102</v>
      </c>
      <c r="P121" s="81">
        <v>5.9700000000000003E-2</v>
      </c>
      <c r="Q121" s="81">
        <v>5.0999999999999997E-2</v>
      </c>
      <c r="R121" s="87">
        <f t="shared" si="66"/>
        <v>4.799126670689751E-2</v>
      </c>
      <c r="S121" s="87">
        <f t="shared" ref="S121" si="71">((N121-G121)/G121)</f>
        <v>8.0870090448594088E-3</v>
      </c>
      <c r="T121" s="87">
        <f t="shared" ref="T121" si="72">((O121-H121)/H121)</f>
        <v>9.9009900990099011E-3</v>
      </c>
      <c r="U121" s="87">
        <f t="shared" ref="U121" si="73">P121-I121</f>
        <v>1.9900000000000001E-2</v>
      </c>
      <c r="V121" s="88">
        <f t="shared" ref="V121" si="74">Q121-J121</f>
        <v>2.9999999999999472E-4</v>
      </c>
    </row>
    <row r="122" spans="1:28">
      <c r="A122" s="172">
        <v>107</v>
      </c>
      <c r="B122" s="173" t="s">
        <v>181</v>
      </c>
      <c r="C122" s="174" t="s">
        <v>28</v>
      </c>
      <c r="D122" s="63">
        <v>40952816471.471451</v>
      </c>
      <c r="E122" s="58">
        <f t="shared" si="64"/>
        <v>2.1415768539468399E-2</v>
      </c>
      <c r="F122" s="63">
        <v>1609.30720995</v>
      </c>
      <c r="G122" s="63">
        <v>1609.30720995</v>
      </c>
      <c r="H122" s="59">
        <v>615</v>
      </c>
      <c r="I122" s="81">
        <v>1.9E-3</v>
      </c>
      <c r="J122" s="81">
        <v>9.4299999999999995E-2</v>
      </c>
      <c r="K122" s="63">
        <f>29034572.14*W137</f>
        <v>42521055409.142433</v>
      </c>
      <c r="L122" s="58">
        <f t="shared" si="65"/>
        <v>2.1758108141011902E-2</v>
      </c>
      <c r="M122" s="63">
        <f xml:space="preserve"> 1.1153*W137</f>
        <v>1633.3539502199999</v>
      </c>
      <c r="N122" s="63">
        <f xml:space="preserve"> 1.1153*W137</f>
        <v>1633.3539502199999</v>
      </c>
      <c r="O122" s="59">
        <v>618</v>
      </c>
      <c r="P122" s="81">
        <v>8.0000000000000002E-3</v>
      </c>
      <c r="Q122" s="81">
        <v>0.10249999999999999</v>
      </c>
      <c r="R122" s="87">
        <f t="shared" si="66"/>
        <v>3.8293799371856362E-2</v>
      </c>
      <c r="S122" s="87">
        <f t="shared" ref="S122:T125" si="75">((N122-G122)/G122)</f>
        <v>1.4942293255957629E-2</v>
      </c>
      <c r="T122" s="87">
        <f t="shared" si="75"/>
        <v>4.8780487804878049E-3</v>
      </c>
      <c r="U122" s="87">
        <f t="shared" si="69"/>
        <v>6.1000000000000004E-3</v>
      </c>
      <c r="V122" s="88">
        <f t="shared" si="70"/>
        <v>8.199999999999999E-3</v>
      </c>
    </row>
    <row r="123" spans="1:28">
      <c r="A123" s="172">
        <v>108</v>
      </c>
      <c r="B123" s="173" t="s">
        <v>182</v>
      </c>
      <c r="C123" s="174" t="s">
        <v>69</v>
      </c>
      <c r="D123" s="63">
        <v>1410181833.029871</v>
      </c>
      <c r="E123" s="58">
        <f t="shared" si="64"/>
        <v>7.3743713709578445E-4</v>
      </c>
      <c r="F123" s="63">
        <v>1649.4489894300002</v>
      </c>
      <c r="G123" s="63">
        <v>1658.0300219999999</v>
      </c>
      <c r="H123" s="59">
        <v>63</v>
      </c>
      <c r="I123" s="81">
        <v>5.9899999999999997E-3</v>
      </c>
      <c r="J123" s="81">
        <v>0.1343</v>
      </c>
      <c r="K123" s="63">
        <f>963170.77*W137</f>
        <v>1410561088.4209981</v>
      </c>
      <c r="L123" s="58">
        <f t="shared" si="65"/>
        <v>7.2178689842135573E-4</v>
      </c>
      <c r="M123" s="63">
        <f>1.1347*W137</f>
        <v>1661.7651997800001</v>
      </c>
      <c r="N123" s="63">
        <f>1.14*W137</f>
        <v>1669.5270359999997</v>
      </c>
      <c r="O123" s="59">
        <v>63</v>
      </c>
      <c r="P123" s="81">
        <v>1.9000000000000001E-4</v>
      </c>
      <c r="Q123" s="81">
        <v>0.13239999999999999</v>
      </c>
      <c r="R123" s="87">
        <f t="shared" si="66"/>
        <v>2.6894077220683923E-4</v>
      </c>
      <c r="S123" s="87">
        <f t="shared" si="75"/>
        <v>6.9341410272725501E-3</v>
      </c>
      <c r="T123" s="87">
        <f t="shared" si="75"/>
        <v>0</v>
      </c>
      <c r="U123" s="87">
        <f t="shared" si="69"/>
        <v>-5.7999999999999996E-3</v>
      </c>
      <c r="V123" s="88">
        <f t="shared" si="70"/>
        <v>-1.9000000000000128E-3</v>
      </c>
    </row>
    <row r="124" spans="1:28">
      <c r="A124" s="172">
        <v>109</v>
      </c>
      <c r="B124" s="173" t="s">
        <v>183</v>
      </c>
      <c r="C124" s="174" t="s">
        <v>30</v>
      </c>
      <c r="D124" s="63">
        <v>649980623.79785705</v>
      </c>
      <c r="E124" s="58">
        <v>0</v>
      </c>
      <c r="F124" s="63">
        <v>2037.19530861</v>
      </c>
      <c r="G124" s="63">
        <v>2037.19530861</v>
      </c>
      <c r="H124" s="59">
        <v>66</v>
      </c>
      <c r="I124" s="81">
        <v>3.86E-4</v>
      </c>
      <c r="J124" s="81">
        <v>0.1578</v>
      </c>
      <c r="K124" s="63">
        <f>452092.01*W137</f>
        <v>662087573.20577395</v>
      </c>
      <c r="L124" s="58">
        <f t="shared" si="65"/>
        <v>3.3879152053064952E-4</v>
      </c>
      <c r="M124" s="63">
        <f>1.4007*W137</f>
        <v>2051.3215081799999</v>
      </c>
      <c r="N124" s="63">
        <f>1.4007*W137</f>
        <v>2051.3215081799999</v>
      </c>
      <c r="O124" s="59">
        <v>67</v>
      </c>
      <c r="P124" s="81">
        <v>1.353E-3</v>
      </c>
      <c r="Q124" s="81">
        <v>0.1608</v>
      </c>
      <c r="R124" s="87">
        <f t="shared" si="66"/>
        <v>1.862663126352232E-2</v>
      </c>
      <c r="S124" s="87">
        <f t="shared" si="75"/>
        <v>6.934141027272629E-3</v>
      </c>
      <c r="T124" s="87">
        <f t="shared" si="75"/>
        <v>1.5151515151515152E-2</v>
      </c>
      <c r="U124" s="87">
        <f t="shared" si="69"/>
        <v>9.6699999999999998E-4</v>
      </c>
      <c r="V124" s="88">
        <f t="shared" si="70"/>
        <v>3.0000000000000027E-3</v>
      </c>
    </row>
    <row r="125" spans="1:28">
      <c r="A125" s="172">
        <v>110</v>
      </c>
      <c r="B125" s="173" t="s">
        <v>184</v>
      </c>
      <c r="C125" s="174" t="s">
        <v>79</v>
      </c>
      <c r="D125" s="63">
        <v>2073502762.7670178</v>
      </c>
      <c r="E125" s="58">
        <f t="shared" ref="E125:E134" si="76">(D125/$D$156)</f>
        <v>1.084312608005864E-3</v>
      </c>
      <c r="F125" s="63">
        <v>159374.49983399999</v>
      </c>
      <c r="G125" s="63">
        <v>160188.970722</v>
      </c>
      <c r="H125" s="59">
        <v>84</v>
      </c>
      <c r="I125" s="81">
        <v>1.1999999999999999E-3</v>
      </c>
      <c r="J125" s="81">
        <v>5.9499999999999997E-2</v>
      </c>
      <c r="K125" s="63">
        <f>1422903.49*W137</f>
        <v>2083838461.5559258</v>
      </c>
      <c r="L125" s="58">
        <f t="shared" si="65"/>
        <v>1.0663042617043107E-3</v>
      </c>
      <c r="M125" s="63">
        <f>109.68*W137</f>
        <v>160626.07483200001</v>
      </c>
      <c r="N125" s="63">
        <f>110.29*W137</f>
        <v>161519.41824600002</v>
      </c>
      <c r="O125" s="59">
        <v>84</v>
      </c>
      <c r="P125" s="81">
        <v>1.1999999999999999E-3</v>
      </c>
      <c r="Q125" s="81">
        <v>6.0600000000000001E-2</v>
      </c>
      <c r="R125" s="87">
        <f t="shared" si="66"/>
        <v>4.9846563865270054E-3</v>
      </c>
      <c r="S125" s="87">
        <f t="shared" si="75"/>
        <v>8.3054876874697134E-3</v>
      </c>
      <c r="T125" s="87">
        <f t="shared" si="75"/>
        <v>0</v>
      </c>
      <c r="U125" s="87">
        <f t="shared" si="69"/>
        <v>0</v>
      </c>
      <c r="V125" s="88">
        <f t="shared" si="70"/>
        <v>1.1000000000000038E-3</v>
      </c>
    </row>
    <row r="126" spans="1:28">
      <c r="A126" s="172">
        <v>111</v>
      </c>
      <c r="B126" s="173" t="s">
        <v>185</v>
      </c>
      <c r="C126" s="174" t="s">
        <v>82</v>
      </c>
      <c r="D126" s="63">
        <v>4998497778.3800001</v>
      </c>
      <c r="E126" s="58">
        <f t="shared" si="76"/>
        <v>2.6139025515230178E-3</v>
      </c>
      <c r="F126" s="63">
        <v>1673.1</v>
      </c>
      <c r="G126" s="63">
        <v>1673.1</v>
      </c>
      <c r="H126" s="59">
        <v>61</v>
      </c>
      <c r="I126" s="81">
        <v>8.9999999999999993E-3</v>
      </c>
      <c r="J126" s="81">
        <v>8.8099999999999998E-2</v>
      </c>
      <c r="K126" s="63">
        <v>5114195064.7550001</v>
      </c>
      <c r="L126" s="58">
        <f t="shared" si="65"/>
        <v>2.6169437282886313E-3</v>
      </c>
      <c r="M126" s="63">
        <v>1704.4542900000001</v>
      </c>
      <c r="N126" s="63">
        <v>1704.4542900000001</v>
      </c>
      <c r="O126" s="59">
        <v>57</v>
      </c>
      <c r="P126" s="81">
        <v>8.9999999999999993E-3</v>
      </c>
      <c r="Q126" s="81">
        <v>8.6599999999999996E-2</v>
      </c>
      <c r="R126" s="87">
        <f t="shared" si="66"/>
        <v>2.3146411482951022E-2</v>
      </c>
      <c r="S126" s="87">
        <f t="shared" si="67"/>
        <v>1.8740236686390663E-2</v>
      </c>
      <c r="T126" s="87">
        <f t="shared" si="68"/>
        <v>-6.5573770491803282E-2</v>
      </c>
      <c r="U126" s="87">
        <f t="shared" si="69"/>
        <v>0</v>
      </c>
      <c r="V126" s="88">
        <f t="shared" si="70"/>
        <v>-1.5000000000000013E-3</v>
      </c>
      <c r="X126" s="97"/>
    </row>
    <row r="127" spans="1:28">
      <c r="A127" s="172">
        <v>112</v>
      </c>
      <c r="B127" s="173" t="s">
        <v>186</v>
      </c>
      <c r="C127" s="174" t="s">
        <v>32</v>
      </c>
      <c r="D127" s="63">
        <v>57654515089.916649</v>
      </c>
      <c r="E127" s="58">
        <f t="shared" si="76"/>
        <v>3.0149715130852375E-2</v>
      </c>
      <c r="F127" s="63">
        <v>185263.03877399999</v>
      </c>
      <c r="G127" s="63">
        <v>185263.03877399999</v>
      </c>
      <c r="H127" s="59">
        <v>2544</v>
      </c>
      <c r="I127" s="81">
        <v>1.1999999999999999E-3</v>
      </c>
      <c r="J127" s="81">
        <v>7.6300000000000007E-2</v>
      </c>
      <c r="K127" s="63">
        <f>40023305.12*W137</f>
        <v>58614026287.646683</v>
      </c>
      <c r="L127" s="58">
        <f t="shared" si="65"/>
        <v>2.9992913164439534E-2</v>
      </c>
      <c r="M127" s="63">
        <f>127.54*W137</f>
        <v>186781.99839600001</v>
      </c>
      <c r="N127" s="63">
        <f>127.54*W137</f>
        <v>186781.99839600001</v>
      </c>
      <c r="O127" s="59">
        <v>2549</v>
      </c>
      <c r="P127" s="81">
        <v>1.2999999999999999E-3</v>
      </c>
      <c r="Q127" s="81">
        <v>7.7799999999999994E-2</v>
      </c>
      <c r="R127" s="87">
        <f t="shared" si="66"/>
        <v>1.6642429413092841E-2</v>
      </c>
      <c r="S127" s="87">
        <f t="shared" si="67"/>
        <v>8.1989350496025452E-3</v>
      </c>
      <c r="T127" s="87">
        <f t="shared" si="68"/>
        <v>1.9654088050314465E-3</v>
      </c>
      <c r="U127" s="87">
        <f t="shared" si="69"/>
        <v>1.0000000000000005E-4</v>
      </c>
      <c r="V127" s="88">
        <f t="shared" si="70"/>
        <v>1.4999999999999875E-3</v>
      </c>
    </row>
    <row r="128" spans="1:28">
      <c r="A128" s="172">
        <v>113</v>
      </c>
      <c r="B128" s="179" t="s">
        <v>187</v>
      </c>
      <c r="C128" s="179" t="s">
        <v>32</v>
      </c>
      <c r="D128" s="63">
        <v>166245874744.98383</v>
      </c>
      <c r="E128" s="58">
        <f t="shared" si="76"/>
        <v>8.6936222729887047E-2</v>
      </c>
      <c r="F128" s="63">
        <v>180579.831168</v>
      </c>
      <c r="G128" s="63">
        <v>180579.831168</v>
      </c>
      <c r="H128" s="59">
        <v>982</v>
      </c>
      <c r="I128" s="81">
        <v>1.5E-3</v>
      </c>
      <c r="J128" s="81">
        <v>8.4199999999999997E-2</v>
      </c>
      <c r="K128" s="63">
        <f>113863989.5*W137</f>
        <v>166753516576.37729</v>
      </c>
      <c r="L128" s="58">
        <f t="shared" si="65"/>
        <v>8.5328104198061167E-2</v>
      </c>
      <c r="M128" s="63">
        <f>124.35*W137</f>
        <v>182110.25168999998</v>
      </c>
      <c r="N128" s="63">
        <f>124.35*W137</f>
        <v>182110.25168999998</v>
      </c>
      <c r="O128" s="59">
        <v>980</v>
      </c>
      <c r="P128" s="81">
        <v>1.5E-3</v>
      </c>
      <c r="Q128" s="81">
        <v>8.5800000000000001E-2</v>
      </c>
      <c r="R128" s="87">
        <f t="shared" si="66"/>
        <v>3.053560469829224E-3</v>
      </c>
      <c r="S128" s="87">
        <f t="shared" si="67"/>
        <v>8.4750357340635969E-3</v>
      </c>
      <c r="T128" s="87">
        <f t="shared" si="68"/>
        <v>-2.0366598778004071E-3</v>
      </c>
      <c r="U128" s="87">
        <f t="shared" si="69"/>
        <v>0</v>
      </c>
      <c r="V128" s="88">
        <f t="shared" si="70"/>
        <v>1.6000000000000042E-3</v>
      </c>
      <c r="X128" s="96"/>
    </row>
    <row r="129" spans="1:23">
      <c r="A129" s="172">
        <v>114</v>
      </c>
      <c r="B129" s="173" t="s">
        <v>188</v>
      </c>
      <c r="C129" s="174" t="s">
        <v>88</v>
      </c>
      <c r="D129" s="63">
        <v>2352985699.1449709</v>
      </c>
      <c r="E129" s="58">
        <f t="shared" si="76"/>
        <v>1.2304647506886687E-3</v>
      </c>
      <c r="F129" s="63">
        <v>1454.4123</v>
      </c>
      <c r="G129" s="63">
        <v>1454.4123</v>
      </c>
      <c r="H129" s="59">
        <v>16</v>
      </c>
      <c r="I129" s="81">
        <v>8.2100000000000006E-2</v>
      </c>
      <c r="J129" s="81">
        <v>8.5800000000000001E-2</v>
      </c>
      <c r="K129" s="63">
        <f>1620212.2*W137</f>
        <v>2372796554.34828</v>
      </c>
      <c r="L129" s="58">
        <f t="shared" si="65"/>
        <v>1.2141646892195881E-3</v>
      </c>
      <c r="M129" s="63">
        <f>1*W137</f>
        <v>1464.4974</v>
      </c>
      <c r="N129" s="63">
        <f>1*W137</f>
        <v>1464.4974</v>
      </c>
      <c r="O129" s="59">
        <v>16</v>
      </c>
      <c r="P129" s="81">
        <v>0.08</v>
      </c>
      <c r="Q129" s="81">
        <v>8.5800000000000001E-2</v>
      </c>
      <c r="R129" s="87">
        <f t="shared" ref="R129" si="77">((K129-D129)/D129)</f>
        <v>8.4194541473447699E-3</v>
      </c>
      <c r="S129" s="87">
        <f t="shared" ref="S129" si="78">((N129-G129)/G129)</f>
        <v>6.9341410272726733E-3</v>
      </c>
      <c r="T129" s="87">
        <f t="shared" si="68"/>
        <v>0</v>
      </c>
      <c r="U129" s="87">
        <f t="shared" si="69"/>
        <v>-2.1000000000000046E-3</v>
      </c>
      <c r="V129" s="88">
        <f t="shared" si="70"/>
        <v>0</v>
      </c>
    </row>
    <row r="130" spans="1:23">
      <c r="A130" s="172">
        <v>115</v>
      </c>
      <c r="B130" s="173" t="s">
        <v>189</v>
      </c>
      <c r="C130" s="174" t="s">
        <v>36</v>
      </c>
      <c r="D130" s="63">
        <v>247997846.9777104</v>
      </c>
      <c r="E130" s="58">
        <f t="shared" si="76"/>
        <v>1.2968740484212954E-4</v>
      </c>
      <c r="F130" s="63">
        <v>195807.23706653996</v>
      </c>
      <c r="G130" s="63">
        <v>195807.23706653996</v>
      </c>
      <c r="H130" s="59">
        <v>9</v>
      </c>
      <c r="I130" s="81">
        <v>-1.6000000000000001E-3</v>
      </c>
      <c r="J130" s="81">
        <v>0.18740000000000001</v>
      </c>
      <c r="K130" s="63">
        <f>180825.4471*W137</f>
        <v>264818397.13178751</v>
      </c>
      <c r="L130" s="58">
        <f t="shared" si="65"/>
        <v>1.3550809750794652E-4</v>
      </c>
      <c r="M130" s="63">
        <f>134.8734*W137</f>
        <v>197521.74362915999</v>
      </c>
      <c r="N130" s="63">
        <f>134.8734*W137</f>
        <v>197521.74362915999</v>
      </c>
      <c r="O130" s="59">
        <v>10</v>
      </c>
      <c r="P130" s="81">
        <v>1.8E-3</v>
      </c>
      <c r="Q130" s="81">
        <v>0.1895</v>
      </c>
      <c r="R130" s="87">
        <f t="shared" si="66"/>
        <v>6.7825387837294068E-2</v>
      </c>
      <c r="S130" s="87">
        <f t="shared" si="67"/>
        <v>8.756093943746282E-3</v>
      </c>
      <c r="T130" s="87">
        <f t="shared" si="68"/>
        <v>0.1111111111111111</v>
      </c>
      <c r="U130" s="87">
        <f t="shared" si="69"/>
        <v>3.4000000000000002E-3</v>
      </c>
      <c r="V130" s="88">
        <f t="shared" si="70"/>
        <v>2.0999999999999908E-3</v>
      </c>
    </row>
    <row r="131" spans="1:23">
      <c r="A131" s="172">
        <v>116</v>
      </c>
      <c r="B131" s="173" t="s">
        <v>190</v>
      </c>
      <c r="C131" s="174" t="s">
        <v>42</v>
      </c>
      <c r="D131" s="63">
        <v>14757223475.651876</v>
      </c>
      <c r="E131" s="58">
        <f t="shared" si="76"/>
        <v>7.7171073803905003E-3</v>
      </c>
      <c r="F131" s="63">
        <v>2152.5302040000001</v>
      </c>
      <c r="G131" s="63">
        <v>2152.5302040000001</v>
      </c>
      <c r="H131" s="77">
        <v>112</v>
      </c>
      <c r="I131" s="84">
        <v>2.0299999999999999E-2</v>
      </c>
      <c r="J131" s="84">
        <v>7.2499999999999995E-2</v>
      </c>
      <c r="K131" s="63">
        <f xml:space="preserve"> 10149133.06*W137</f>
        <v>14863378978.624044</v>
      </c>
      <c r="L131" s="58">
        <f t="shared" si="65"/>
        <v>7.6056204166609449E-3</v>
      </c>
      <c r="M131" s="63">
        <f>1.48*W137</f>
        <v>2167.4561519999997</v>
      </c>
      <c r="N131" s="63">
        <f>1.48*W137</f>
        <v>2167.4561519999997</v>
      </c>
      <c r="O131" s="77">
        <v>111</v>
      </c>
      <c r="P131" s="84">
        <v>2.2200000000000001E-2</v>
      </c>
      <c r="Q131" s="84">
        <v>7.3200000000000001E-2</v>
      </c>
      <c r="R131" s="87">
        <f t="shared" si="66"/>
        <v>7.1934604193881887E-3</v>
      </c>
      <c r="S131" s="87">
        <f t="shared" si="67"/>
        <v>6.9341410272724825E-3</v>
      </c>
      <c r="T131" s="87">
        <f t="shared" si="68"/>
        <v>-8.9285714285714281E-3</v>
      </c>
      <c r="U131" s="87">
        <f t="shared" si="69"/>
        <v>1.9000000000000024E-3</v>
      </c>
      <c r="V131" s="88">
        <f t="shared" si="70"/>
        <v>7.0000000000000617E-4</v>
      </c>
    </row>
    <row r="132" spans="1:23">
      <c r="A132" s="172">
        <v>117</v>
      </c>
      <c r="B132" s="173" t="s">
        <v>191</v>
      </c>
      <c r="C132" s="174" t="s">
        <v>104</v>
      </c>
      <c r="D132" s="63">
        <v>36255732346.805397</v>
      </c>
      <c r="E132" s="58">
        <f t="shared" si="76"/>
        <v>1.8959486527843291E-2</v>
      </c>
      <c r="F132" s="63">
        <v>153542.30651099997</v>
      </c>
      <c r="G132" s="63">
        <v>153542.30651099997</v>
      </c>
      <c r="H132" s="59">
        <v>829</v>
      </c>
      <c r="I132" s="84">
        <v>1E-4</v>
      </c>
      <c r="J132" s="81">
        <v>9.6000000000000002E-2</v>
      </c>
      <c r="K132" s="63">
        <f>25044804*W137</f>
        <v>36678050341.509598</v>
      </c>
      <c r="L132" s="58">
        <f t="shared" si="65"/>
        <v>1.8768230892981484E-2</v>
      </c>
      <c r="M132" s="63">
        <f>105.66*W137</f>
        <v>154738.79528399999</v>
      </c>
      <c r="N132" s="63">
        <f>105.66*W137</f>
        <v>154738.79528399999</v>
      </c>
      <c r="O132" s="59">
        <v>830</v>
      </c>
      <c r="P132" s="84">
        <v>8.0000000000000004E-4</v>
      </c>
      <c r="Q132" s="81">
        <v>9.5000000000000001E-2</v>
      </c>
      <c r="R132" s="87">
        <f t="shared" si="66"/>
        <v>1.1648309587695102E-2</v>
      </c>
      <c r="S132" s="87">
        <f t="shared" si="67"/>
        <v>7.7925674049601507E-3</v>
      </c>
      <c r="T132" s="87">
        <f t="shared" si="68"/>
        <v>1.2062726176115801E-3</v>
      </c>
      <c r="U132" s="87">
        <f t="shared" si="69"/>
        <v>6.9999999999999999E-4</v>
      </c>
      <c r="V132" s="88">
        <f t="shared" si="70"/>
        <v>-1.0000000000000009E-3</v>
      </c>
    </row>
    <row r="133" spans="1:23">
      <c r="A133" s="172">
        <v>118</v>
      </c>
      <c r="B133" s="173" t="s">
        <v>192</v>
      </c>
      <c r="C133" s="174" t="s">
        <v>46</v>
      </c>
      <c r="D133" s="63">
        <v>2791183166.6875529</v>
      </c>
      <c r="E133" s="58">
        <f t="shared" si="76"/>
        <v>1.4596146931843326E-3</v>
      </c>
      <c r="F133" s="63">
        <v>221914.228734</v>
      </c>
      <c r="G133" s="63">
        <v>230684.33490300001</v>
      </c>
      <c r="H133" s="59">
        <v>49</v>
      </c>
      <c r="I133" s="81">
        <v>-1.1999999999999999E-3</v>
      </c>
      <c r="J133" s="81">
        <v>0.1154</v>
      </c>
      <c r="K133" s="63">
        <f>1922710.1*W137</f>
        <v>2815803942.4037399</v>
      </c>
      <c r="L133" s="58">
        <f t="shared" si="65"/>
        <v>1.4408524457635013E-3</v>
      </c>
      <c r="M133" s="63">
        <f>152.86*W137</f>
        <v>223863.072564</v>
      </c>
      <c r="N133" s="63">
        <f>158.94*W137</f>
        <v>232767.21675599998</v>
      </c>
      <c r="O133" s="59">
        <v>49</v>
      </c>
      <c r="P133" s="81">
        <v>-1E-4</v>
      </c>
      <c r="Q133" s="81">
        <v>0.1178</v>
      </c>
      <c r="R133" s="87">
        <f t="shared" ref="R133:R134" si="79">((K133-D133)/D133)</f>
        <v>8.8209100749936809E-3</v>
      </c>
      <c r="S133" s="87">
        <f t="shared" ref="S133:S134" si="80">((N133-G133)/G133)</f>
        <v>9.0291430229789832E-3</v>
      </c>
      <c r="T133" s="87">
        <f t="shared" ref="T133:T134" si="81">((O133-H133)/H133)</f>
        <v>0</v>
      </c>
      <c r="U133" s="87">
        <f t="shared" ref="U133:U134" si="82">P133-I133</f>
        <v>1.0999999999999998E-3</v>
      </c>
      <c r="V133" s="88">
        <f t="shared" ref="V133:V134" si="83">Q133-J133</f>
        <v>2.3999999999999994E-3</v>
      </c>
    </row>
    <row r="134" spans="1:23">
      <c r="A134" s="172">
        <v>119</v>
      </c>
      <c r="B134" s="173" t="s">
        <v>193</v>
      </c>
      <c r="C134" s="174" t="s">
        <v>53</v>
      </c>
      <c r="D134" s="57">
        <v>161941774241.15601</v>
      </c>
      <c r="E134" s="58">
        <f t="shared" si="76"/>
        <v>8.4685446639192585E-2</v>
      </c>
      <c r="F134" s="63">
        <v>181244.10101000001</v>
      </c>
      <c r="G134" s="63">
        <v>181244.10101000001</v>
      </c>
      <c r="H134" s="59">
        <v>4110</v>
      </c>
      <c r="I134" s="81">
        <v>1.1000000000000001E-3</v>
      </c>
      <c r="J134" s="81">
        <v>7.8100000000000003E-2</v>
      </c>
      <c r="K134" s="57">
        <f>111338739.38*1465.82</f>
        <v>163202550957.99158</v>
      </c>
      <c r="L134" s="58">
        <f t="shared" si="65"/>
        <v>8.3511068068867642E-2</v>
      </c>
      <c r="M134" s="63">
        <f>124.5593*1465.82</f>
        <v>182581.51312599998</v>
      </c>
      <c r="N134" s="63">
        <f>124.5593*1465.82</f>
        <v>182581.51312599998</v>
      </c>
      <c r="O134" s="59">
        <v>4117</v>
      </c>
      <c r="P134" s="81">
        <v>1.1000000000000001E-3</v>
      </c>
      <c r="Q134" s="81">
        <v>7.7600000000000002E-2</v>
      </c>
      <c r="R134" s="87">
        <f t="shared" si="79"/>
        <v>7.7853705305098268E-3</v>
      </c>
      <c r="S134" s="87">
        <f t="shared" si="80"/>
        <v>7.3790656277755067E-3</v>
      </c>
      <c r="T134" s="87">
        <f t="shared" si="81"/>
        <v>1.7031630170316302E-3</v>
      </c>
      <c r="U134" s="87">
        <f t="shared" si="82"/>
        <v>0</v>
      </c>
      <c r="V134" s="88">
        <f t="shared" si="83"/>
        <v>-5.0000000000000044E-4</v>
      </c>
    </row>
    <row r="135" spans="1:23" ht="6" customHeight="1">
      <c r="A135" s="101"/>
      <c r="B135" s="193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  <c r="R135" s="193"/>
      <c r="S135" s="193"/>
      <c r="T135" s="193"/>
      <c r="U135" s="193"/>
      <c r="V135" s="193"/>
    </row>
    <row r="136" spans="1:23">
      <c r="A136" s="194" t="s">
        <v>194</v>
      </c>
      <c r="B136" s="194"/>
      <c r="C136" s="194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4"/>
      <c r="Q136" s="194"/>
      <c r="R136" s="194"/>
      <c r="S136" s="194"/>
      <c r="T136" s="194"/>
      <c r="U136" s="194"/>
      <c r="V136" s="194"/>
    </row>
    <row r="137" spans="1:23">
      <c r="A137" s="172">
        <v>120</v>
      </c>
      <c r="B137" s="173" t="s">
        <v>195</v>
      </c>
      <c r="C137" s="174" t="s">
        <v>64</v>
      </c>
      <c r="D137" s="57">
        <v>1554016853.7181199</v>
      </c>
      <c r="E137" s="58">
        <f>(D137/$D$156)</f>
        <v>8.1265388105465262E-4</v>
      </c>
      <c r="F137" s="63">
        <v>174791.27021400002</v>
      </c>
      <c r="G137" s="63">
        <v>174791.27021400002</v>
      </c>
      <c r="H137" s="59">
        <v>23</v>
      </c>
      <c r="I137" s="81">
        <v>-1.1999999999999999E-3</v>
      </c>
      <c r="J137" s="81">
        <v>0.16500000000000001</v>
      </c>
      <c r="K137" s="57">
        <f>1069434.07*W137</f>
        <v>1566183414.986418</v>
      </c>
      <c r="L137" s="58">
        <f t="shared" ref="L137:L155" si="84">(K137/$K$156)</f>
        <v>8.0141915067815761E-4</v>
      </c>
      <c r="M137" s="63">
        <f>120.28*W137</f>
        <v>176149.74727200001</v>
      </c>
      <c r="N137" s="63">
        <f>120.28*W137</f>
        <v>176149.74727200001</v>
      </c>
      <c r="O137" s="59">
        <v>23</v>
      </c>
      <c r="P137" s="81">
        <v>5.9999999999999995E-4</v>
      </c>
      <c r="Q137" s="81">
        <v>0.16239999999999999</v>
      </c>
      <c r="R137" s="87">
        <f>((K137-D137)/D137)</f>
        <v>7.8291050957321334E-3</v>
      </c>
      <c r="S137" s="87">
        <f>((N137-G137)/G137)</f>
        <v>7.7719960289594683E-3</v>
      </c>
      <c r="T137" s="87">
        <f>((O137-H137)/H137)</f>
        <v>0</v>
      </c>
      <c r="U137" s="87">
        <f>P137-I137</f>
        <v>1.8E-3</v>
      </c>
      <c r="V137" s="88">
        <f>Q137-J137</f>
        <v>-2.600000000000019E-3</v>
      </c>
      <c r="W137" s="108">
        <v>1464.4974</v>
      </c>
    </row>
    <row r="138" spans="1:23">
      <c r="A138" s="172">
        <v>121</v>
      </c>
      <c r="B138" s="174" t="s">
        <v>196</v>
      </c>
      <c r="C138" s="174" t="s">
        <v>26</v>
      </c>
      <c r="D138" s="63">
        <v>24658357427.557194</v>
      </c>
      <c r="E138" s="58">
        <f t="shared" ref="E138:E155" si="85">(D138/$D$156)</f>
        <v>1.2894782843566223E-2</v>
      </c>
      <c r="F138" s="57">
        <v>193974.96845099999</v>
      </c>
      <c r="G138" s="57">
        <v>193974.96845099999</v>
      </c>
      <c r="H138" s="59">
        <v>650</v>
      </c>
      <c r="I138" s="81">
        <v>5.0000000000000001E-4</v>
      </c>
      <c r="J138" s="81">
        <v>5.67E-2</v>
      </c>
      <c r="K138" s="63">
        <f>17027873.3*W137</f>
        <v>24937276175.379421</v>
      </c>
      <c r="L138" s="58">
        <f t="shared" si="84"/>
        <v>1.2760453534027841E-2</v>
      </c>
      <c r="M138" s="57">
        <f>135.51*W137</f>
        <v>198454.042674</v>
      </c>
      <c r="N138" s="57">
        <f>135.51*W137</f>
        <v>198454.042674</v>
      </c>
      <c r="O138" s="59">
        <v>651</v>
      </c>
      <c r="P138" s="81">
        <v>5.0000000000000001E-4</v>
      </c>
      <c r="Q138" s="81">
        <v>5.7799999999999997E-2</v>
      </c>
      <c r="R138" s="87">
        <f t="shared" ref="R138:R156" si="86">((K138-D138)/D138)</f>
        <v>1.1311327149087353E-2</v>
      </c>
      <c r="S138" s="87">
        <f t="shared" ref="S138:S156" si="87">((N138-G138)/G138)</f>
        <v>2.3090990857057219E-2</v>
      </c>
      <c r="T138" s="87">
        <f t="shared" ref="T138:T156" si="88">((O138-H138)/H138)</f>
        <v>1.5384615384615385E-3</v>
      </c>
      <c r="U138" s="87">
        <f t="shared" ref="U138:U156" si="89">P138-I138</f>
        <v>0</v>
      </c>
      <c r="V138" s="88">
        <f t="shared" ref="V138:V156" si="90">Q138-J138</f>
        <v>1.0999999999999968E-3</v>
      </c>
    </row>
    <row r="139" spans="1:23">
      <c r="A139" s="172">
        <v>122</v>
      </c>
      <c r="B139" s="174" t="s">
        <v>197</v>
      </c>
      <c r="C139" s="174" t="s">
        <v>138</v>
      </c>
      <c r="D139" s="63">
        <v>390689182.46468222</v>
      </c>
      <c r="E139" s="58">
        <f t="shared" si="85"/>
        <v>2.0430607277930021E-4</v>
      </c>
      <c r="F139" s="57">
        <v>145441.22999999998</v>
      </c>
      <c r="G139" s="57">
        <v>145441.22999999998</v>
      </c>
      <c r="H139" s="59">
        <v>13</v>
      </c>
      <c r="I139" s="81">
        <v>1.8E-3</v>
      </c>
      <c r="J139" s="81">
        <v>1.8E-3</v>
      </c>
      <c r="K139" s="63">
        <f>268999.982580048*W137</f>
        <v>393949775.08852553</v>
      </c>
      <c r="L139" s="58">
        <f t="shared" si="84"/>
        <v>2.0158487897411126E-4</v>
      </c>
      <c r="M139" s="57">
        <f>100*W137</f>
        <v>146449.74</v>
      </c>
      <c r="N139" s="57">
        <f>100*W137</f>
        <v>146449.74</v>
      </c>
      <c r="O139" s="59">
        <v>13</v>
      </c>
      <c r="P139" s="81">
        <v>1.5E-3</v>
      </c>
      <c r="Q139" s="81">
        <v>1.5E-3</v>
      </c>
      <c r="R139" s="87">
        <v>0</v>
      </c>
      <c r="S139" s="87">
        <f t="shared" ref="S139" si="91">((N139-G139)/G139)</f>
        <v>6.9341410272727305E-3</v>
      </c>
      <c r="T139" s="87">
        <f t="shared" ref="T139" si="92">((O139-H139)/H139)</f>
        <v>0</v>
      </c>
      <c r="U139" s="87">
        <f t="shared" ref="U139" si="93">P139-I139</f>
        <v>-2.9999999999999992E-4</v>
      </c>
      <c r="V139" s="88">
        <f t="shared" ref="V139" si="94">Q139-J139</f>
        <v>-2.9999999999999992E-4</v>
      </c>
    </row>
    <row r="140" spans="1:23">
      <c r="A140" s="172">
        <v>123</v>
      </c>
      <c r="B140" s="173" t="s">
        <v>198</v>
      </c>
      <c r="C140" s="174" t="s">
        <v>73</v>
      </c>
      <c r="D140" s="57">
        <v>16794751824.950001</v>
      </c>
      <c r="E140" s="58">
        <f t="shared" si="85"/>
        <v>8.7826076140941067E-3</v>
      </c>
      <c r="F140" s="57">
        <v>170463.94</v>
      </c>
      <c r="G140" s="57">
        <v>170463.94</v>
      </c>
      <c r="H140" s="59">
        <v>453</v>
      </c>
      <c r="I140" s="81">
        <v>1.4E-3</v>
      </c>
      <c r="J140" s="81">
        <v>6.7299999999999999E-2</v>
      </c>
      <c r="K140" s="57">
        <v>16870254356.200001</v>
      </c>
      <c r="L140" s="58">
        <f t="shared" ref="L140:L141" si="95">(K140/$K$114)</f>
        <v>7.0782237191582539E-2</v>
      </c>
      <c r="M140" s="57">
        <v>170679.79</v>
      </c>
      <c r="N140" s="57">
        <v>170679.79</v>
      </c>
      <c r="O140" s="59">
        <v>454</v>
      </c>
      <c r="P140" s="81">
        <v>1.2999999999999999E-3</v>
      </c>
      <c r="Q140" s="81">
        <v>6.7299999999999999E-2</v>
      </c>
      <c r="R140" s="87">
        <f t="shared" si="86"/>
        <v>4.4956026761785615E-3</v>
      </c>
      <c r="S140" s="87">
        <f t="shared" si="87"/>
        <v>1.266250211041736E-3</v>
      </c>
      <c r="T140" s="87">
        <f t="shared" si="88"/>
        <v>2.2075055187637969E-3</v>
      </c>
      <c r="U140" s="87">
        <f t="shared" si="89"/>
        <v>-1.0000000000000005E-4</v>
      </c>
      <c r="V140" s="88">
        <f t="shared" si="90"/>
        <v>0</v>
      </c>
    </row>
    <row r="141" spans="1:23">
      <c r="A141" s="172">
        <v>124</v>
      </c>
      <c r="B141" s="173" t="s">
        <v>199</v>
      </c>
      <c r="C141" s="174" t="s">
        <v>75</v>
      </c>
      <c r="D141" s="63">
        <v>221768758.41575402</v>
      </c>
      <c r="E141" s="58">
        <f t="shared" ref="E141" si="96">(D141/$D$114)</f>
        <v>9.2830663078668639E-4</v>
      </c>
      <c r="F141" s="62">
        <v>1492.2270197999999</v>
      </c>
      <c r="G141" s="62">
        <v>1492.2270197999999</v>
      </c>
      <c r="H141" s="59">
        <v>5</v>
      </c>
      <c r="I141" s="81">
        <v>1.2999999999999999E-3</v>
      </c>
      <c r="J141" s="81">
        <v>8.2500000000000004E-2</v>
      </c>
      <c r="K141" s="63">
        <f>152669.7*W137</f>
        <v>223584378.70878002</v>
      </c>
      <c r="L141" s="58">
        <f t="shared" si="95"/>
        <v>9.3808914743963713E-4</v>
      </c>
      <c r="M141" s="62">
        <f>1.0273*W137</f>
        <v>1504.4781790200002</v>
      </c>
      <c r="N141" s="62">
        <f>1.0273*W137</f>
        <v>1504.4781790200002</v>
      </c>
      <c r="O141" s="59">
        <v>5</v>
      </c>
      <c r="P141" s="81">
        <v>1.2999999999999999E-3</v>
      </c>
      <c r="Q141" s="81">
        <v>8.3799999999999999E-2</v>
      </c>
      <c r="R141" s="86">
        <f t="shared" si="86"/>
        <v>8.1869976005467058E-3</v>
      </c>
      <c r="S141" s="86">
        <f t="shared" si="87"/>
        <v>8.2099835061573371E-3</v>
      </c>
      <c r="T141" s="86">
        <f t="shared" si="88"/>
        <v>0</v>
      </c>
      <c r="U141" s="87">
        <f t="shared" si="89"/>
        <v>0</v>
      </c>
      <c r="V141" s="88">
        <f t="shared" si="90"/>
        <v>1.2999999999999956E-3</v>
      </c>
    </row>
    <row r="142" spans="1:23">
      <c r="A142" s="172">
        <v>125</v>
      </c>
      <c r="B142" s="173" t="s">
        <v>200</v>
      </c>
      <c r="C142" s="174" t="s">
        <v>71</v>
      </c>
      <c r="D142" s="57">
        <v>10679409036.063601</v>
      </c>
      <c r="E142" s="58">
        <f t="shared" si="85"/>
        <v>5.5846647864614581E-3</v>
      </c>
      <c r="F142" s="57">
        <v>1942.8108566943499</v>
      </c>
      <c r="G142" s="57">
        <v>1942.8108566943499</v>
      </c>
      <c r="H142" s="59">
        <v>310</v>
      </c>
      <c r="I142" s="81">
        <v>7.1300000000000002E-2</v>
      </c>
      <c r="J142" s="81">
        <v>6.0400000000000002E-2</v>
      </c>
      <c r="K142" s="57">
        <v>10862739182.908199</v>
      </c>
      <c r="L142" s="58">
        <f t="shared" si="84"/>
        <v>5.5584851216676483E-3</v>
      </c>
      <c r="M142" s="57">
        <v>1957.44637787177</v>
      </c>
      <c r="N142" s="57">
        <v>1957.44637787177</v>
      </c>
      <c r="O142" s="59">
        <v>311</v>
      </c>
      <c r="P142" s="81">
        <v>6.3399999999999998E-2</v>
      </c>
      <c r="Q142" s="81">
        <v>6.0600000000000001E-2</v>
      </c>
      <c r="R142" s="87">
        <f t="shared" si="86"/>
        <v>1.7166693983300573E-2</v>
      </c>
      <c r="S142" s="87">
        <f t="shared" si="87"/>
        <v>7.5331683097149653E-3</v>
      </c>
      <c r="T142" s="86">
        <f t="shared" si="88"/>
        <v>3.2258064516129032E-3</v>
      </c>
      <c r="U142" s="87">
        <f t="shared" si="89"/>
        <v>-7.9000000000000042E-3</v>
      </c>
      <c r="V142" s="88">
        <f t="shared" si="90"/>
        <v>1.9999999999999879E-4</v>
      </c>
    </row>
    <row r="143" spans="1:23">
      <c r="A143" s="172">
        <v>126</v>
      </c>
      <c r="B143" s="173" t="s">
        <v>201</v>
      </c>
      <c r="C143" s="174" t="s">
        <v>94</v>
      </c>
      <c r="D143" s="57">
        <v>495798070.44827402</v>
      </c>
      <c r="E143" s="58">
        <f t="shared" si="85"/>
        <v>2.5927146491699595E-4</v>
      </c>
      <c r="F143" s="57">
        <v>1512.588792</v>
      </c>
      <c r="G143" s="57">
        <v>1512.588792</v>
      </c>
      <c r="H143" s="59">
        <v>9</v>
      </c>
      <c r="I143" s="81">
        <v>9.1999999999999998E-3</v>
      </c>
      <c r="J143" s="81">
        <v>3.5900000000000001E-2</v>
      </c>
      <c r="K143" s="57">
        <f>341095.9*W137</f>
        <v>499534058.70066005</v>
      </c>
      <c r="L143" s="58">
        <f t="shared" si="84"/>
        <v>2.5561256569823121E-4</v>
      </c>
      <c r="M143" s="57">
        <f>1.04*W137</f>
        <v>1523.0772959999999</v>
      </c>
      <c r="N143" s="57">
        <f>1.04*W137</f>
        <v>1523.0772959999999</v>
      </c>
      <c r="O143" s="59">
        <v>9</v>
      </c>
      <c r="P143" s="81">
        <v>4.0000000000000002E-4</v>
      </c>
      <c r="Q143" s="81">
        <v>3.6499999999999998E-2</v>
      </c>
      <c r="R143" s="87">
        <f t="shared" si="86"/>
        <v>7.535302122108207E-3</v>
      </c>
      <c r="S143" s="87">
        <f t="shared" si="87"/>
        <v>6.9341410272726126E-3</v>
      </c>
      <c r="T143" s="86">
        <f t="shared" si="88"/>
        <v>0</v>
      </c>
      <c r="U143" s="87">
        <f t="shared" si="89"/>
        <v>-8.8000000000000005E-3</v>
      </c>
      <c r="V143" s="88">
        <f t="shared" si="90"/>
        <v>5.9999999999999637E-4</v>
      </c>
    </row>
    <row r="144" spans="1:23">
      <c r="A144" s="172">
        <v>127</v>
      </c>
      <c r="B144" s="173" t="s">
        <v>202</v>
      </c>
      <c r="C144" s="174" t="s">
        <v>38</v>
      </c>
      <c r="D144" s="57">
        <v>114099923442.71001</v>
      </c>
      <c r="E144" s="58">
        <f t="shared" si="85"/>
        <v>5.9667142857496969E-2</v>
      </c>
      <c r="F144" s="57">
        <v>142173</v>
      </c>
      <c r="G144" s="57">
        <v>142173</v>
      </c>
      <c r="H144" s="59">
        <v>2165</v>
      </c>
      <c r="I144" s="81">
        <v>5.7799999999999997E-2</v>
      </c>
      <c r="J144" s="81">
        <v>5.2600000000000001E-2</v>
      </c>
      <c r="K144" s="57">
        <v>116045015807.39799</v>
      </c>
      <c r="L144" s="58">
        <f t="shared" si="84"/>
        <v>5.9380464075214828E-2</v>
      </c>
      <c r="M144" s="57">
        <f>100*1421.73</f>
        <v>142173</v>
      </c>
      <c r="N144" s="57">
        <f>100*1421.73</f>
        <v>142173</v>
      </c>
      <c r="O144" s="59">
        <v>2173</v>
      </c>
      <c r="P144" s="81">
        <v>5.5E-2</v>
      </c>
      <c r="Q144" s="81">
        <v>5.2699999999999997E-2</v>
      </c>
      <c r="R144" s="87">
        <f t="shared" si="86"/>
        <v>1.7047271426651099E-2</v>
      </c>
      <c r="S144" s="87">
        <f t="shared" si="87"/>
        <v>0</v>
      </c>
      <c r="T144" s="87">
        <f t="shared" si="88"/>
        <v>3.695150115473441E-3</v>
      </c>
      <c r="U144" s="87">
        <f t="shared" si="89"/>
        <v>-2.7999999999999969E-3</v>
      </c>
      <c r="V144" s="88">
        <f t="shared" si="90"/>
        <v>9.9999999999995925E-5</v>
      </c>
    </row>
    <row r="145" spans="1:24" ht="15.5">
      <c r="A145" s="172">
        <v>128</v>
      </c>
      <c r="B145" s="173" t="s">
        <v>203</v>
      </c>
      <c r="C145" s="174" t="s">
        <v>152</v>
      </c>
      <c r="D145" s="57">
        <v>1508947612.6304579</v>
      </c>
      <c r="E145" s="58">
        <f t="shared" si="85"/>
        <v>7.8908547920724271E-4</v>
      </c>
      <c r="F145" s="57">
        <v>1658.0300219999999</v>
      </c>
      <c r="G145" s="57">
        <v>1658.0300219999999</v>
      </c>
      <c r="H145" s="59">
        <v>53</v>
      </c>
      <c r="I145" s="81">
        <v>1.9E-3</v>
      </c>
      <c r="J145" s="81">
        <v>9.1700000000000004E-2</v>
      </c>
      <c r="K145" s="57">
        <f>1038694.85*W137</f>
        <v>1521165907.21839</v>
      </c>
      <c r="L145" s="58">
        <f t="shared" si="84"/>
        <v>7.7838360292820693E-4</v>
      </c>
      <c r="M145" s="57">
        <f>1.14*W137</f>
        <v>1669.5270359999997</v>
      </c>
      <c r="N145" s="57">
        <f>1.14*W137</f>
        <v>1669.5270359999997</v>
      </c>
      <c r="O145" s="59">
        <v>53</v>
      </c>
      <c r="P145" s="81">
        <v>1.9E-3</v>
      </c>
      <c r="Q145" s="81">
        <v>9.1700000000000004E-2</v>
      </c>
      <c r="R145" s="87">
        <f t="shared" si="86"/>
        <v>8.0972291454391113E-3</v>
      </c>
      <c r="S145" s="87">
        <f t="shared" si="87"/>
        <v>6.9341410272725501E-3</v>
      </c>
      <c r="T145" s="87">
        <f t="shared" si="88"/>
        <v>0</v>
      </c>
      <c r="U145" s="87">
        <f t="shared" si="89"/>
        <v>0</v>
      </c>
      <c r="V145" s="88">
        <f t="shared" si="90"/>
        <v>0</v>
      </c>
      <c r="X145" s="109"/>
    </row>
    <row r="146" spans="1:24" ht="15.5">
      <c r="A146" s="172">
        <v>129</v>
      </c>
      <c r="B146" s="173" t="s">
        <v>204</v>
      </c>
      <c r="C146" s="174" t="s">
        <v>44</v>
      </c>
      <c r="D146" s="63">
        <v>7931078067.447051</v>
      </c>
      <c r="E146" s="58">
        <f t="shared" si="85"/>
        <v>4.1474591199172194E-3</v>
      </c>
      <c r="F146" s="57">
        <v>15838.549947</v>
      </c>
      <c r="G146" s="57">
        <v>15838.549947</v>
      </c>
      <c r="H146" s="59">
        <v>179</v>
      </c>
      <c r="I146" s="81">
        <v>6.2899999999999998E-2</v>
      </c>
      <c r="J146" s="81">
        <v>9.0300000000000005E-2</v>
      </c>
      <c r="K146" s="63">
        <f>6134528.09*W137</f>
        <v>8984000438.0319653</v>
      </c>
      <c r="L146" s="58">
        <f t="shared" si="84"/>
        <v>4.5971307905863703E-3</v>
      </c>
      <c r="M146" s="57">
        <f>10.9*W137</f>
        <v>15963.02166</v>
      </c>
      <c r="N146" s="57">
        <f>10.9*W137</f>
        <v>15963.02166</v>
      </c>
      <c r="O146" s="59">
        <v>179</v>
      </c>
      <c r="P146" s="81">
        <v>0.06</v>
      </c>
      <c r="Q146" s="81">
        <v>7.8899999999999998E-2</v>
      </c>
      <c r="R146" s="87">
        <f t="shared" si="86"/>
        <v>0.13275904758857598</v>
      </c>
      <c r="S146" s="87">
        <f t="shared" si="87"/>
        <v>7.8587821117789367E-3</v>
      </c>
      <c r="T146" s="87">
        <f t="shared" si="88"/>
        <v>0</v>
      </c>
      <c r="U146" s="87">
        <f t="shared" si="89"/>
        <v>-2.8999999999999998E-3</v>
      </c>
      <c r="V146" s="88">
        <f t="shared" si="90"/>
        <v>-1.1400000000000007E-2</v>
      </c>
      <c r="X146" s="109"/>
    </row>
    <row r="147" spans="1:24" ht="15.5">
      <c r="A147" s="172">
        <v>130</v>
      </c>
      <c r="B147" s="174" t="s">
        <v>205</v>
      </c>
      <c r="C147" s="181" t="s">
        <v>48</v>
      </c>
      <c r="D147" s="57">
        <v>28830061429.990002</v>
      </c>
      <c r="E147" s="58">
        <f t="shared" si="85"/>
        <v>1.5076323822402468E-2</v>
      </c>
      <c r="F147" s="57">
        <v>1628.9417760000001</v>
      </c>
      <c r="G147" s="57">
        <v>1628.9417760000001</v>
      </c>
      <c r="H147" s="59">
        <v>460</v>
      </c>
      <c r="I147" s="81">
        <v>2.3E-3</v>
      </c>
      <c r="J147" s="81">
        <v>0.1686</v>
      </c>
      <c r="K147" s="57">
        <v>28334928466.299999</v>
      </c>
      <c r="L147" s="58">
        <f t="shared" si="84"/>
        <v>1.4499038930370375E-2</v>
      </c>
      <c r="M147" s="57">
        <f>1.12*W137</f>
        <v>1640.2370880000001</v>
      </c>
      <c r="N147" s="57">
        <f>1.13*W137</f>
        <v>1654.8820619999999</v>
      </c>
      <c r="O147" s="59">
        <v>460</v>
      </c>
      <c r="P147" s="81">
        <v>-3.9999999999999998E-6</v>
      </c>
      <c r="Q147" s="81">
        <v>0.1653</v>
      </c>
      <c r="R147" s="87">
        <f t="shared" si="86"/>
        <v>-1.7174190380841451E-2</v>
      </c>
      <c r="S147" s="87">
        <f t="shared" si="87"/>
        <v>1.5924624429301752E-2</v>
      </c>
      <c r="T147" s="87">
        <f t="shared" si="88"/>
        <v>0</v>
      </c>
      <c r="U147" s="87">
        <f t="shared" si="89"/>
        <v>-2.3040000000000001E-3</v>
      </c>
      <c r="V147" s="88">
        <f t="shared" si="90"/>
        <v>-3.2999999999999974E-3</v>
      </c>
      <c r="X147" s="109"/>
    </row>
    <row r="148" spans="1:24">
      <c r="A148" s="172">
        <v>131</v>
      </c>
      <c r="B148" s="173" t="s">
        <v>206</v>
      </c>
      <c r="C148" s="174" t="s">
        <v>106</v>
      </c>
      <c r="D148" s="63">
        <v>456869231.903</v>
      </c>
      <c r="E148" s="58">
        <f t="shared" si="85"/>
        <v>2.3891411058517143E-4</v>
      </c>
      <c r="F148" s="57">
        <v>1903.7575000000002</v>
      </c>
      <c r="G148" s="57">
        <v>1903.7575000000002</v>
      </c>
      <c r="H148" s="59">
        <v>2</v>
      </c>
      <c r="I148" s="81">
        <v>-6.1320000000000003E-3</v>
      </c>
      <c r="J148" s="81">
        <v>0.17707700000000001</v>
      </c>
      <c r="K148" s="63">
        <f>317362.16*1465.82</f>
        <v>465195801.37119997</v>
      </c>
      <c r="L148" s="58">
        <f t="shared" si="84"/>
        <v>2.3804161151660838E-4</v>
      </c>
      <c r="M148" s="57">
        <f>1.32*1465.82</f>
        <v>1934.8824</v>
      </c>
      <c r="N148" s="57">
        <f>1.32*1465.82</f>
        <v>1934.8824</v>
      </c>
      <c r="O148" s="59">
        <v>2</v>
      </c>
      <c r="P148" s="81">
        <v>1.1841000000000001E-2</v>
      </c>
      <c r="Q148" s="81">
        <v>0.19101599999999999</v>
      </c>
      <c r="R148" s="87">
        <f t="shared" si="86"/>
        <v>1.8225279547754315E-2</v>
      </c>
      <c r="S148" s="87">
        <f t="shared" si="87"/>
        <v>1.6349193634168108E-2</v>
      </c>
      <c r="T148" s="87">
        <f t="shared" si="88"/>
        <v>0</v>
      </c>
      <c r="U148" s="87">
        <f t="shared" ref="U148" si="97">P148-I148</f>
        <v>1.7973000000000003E-2</v>
      </c>
      <c r="V148" s="88">
        <f t="shared" ref="V148" si="98">Q148-J148</f>
        <v>1.3938999999999979E-2</v>
      </c>
    </row>
    <row r="149" spans="1:24">
      <c r="A149" s="172">
        <v>132</v>
      </c>
      <c r="B149" s="173" t="s">
        <v>207</v>
      </c>
      <c r="C149" s="174" t="s">
        <v>111</v>
      </c>
      <c r="D149" s="63">
        <v>918335037.19762194</v>
      </c>
      <c r="E149" s="58">
        <f t="shared" si="85"/>
        <v>4.8023194233804886E-4</v>
      </c>
      <c r="F149" s="57">
        <v>1580.07352272</v>
      </c>
      <c r="G149" s="57">
        <v>1580.07352272</v>
      </c>
      <c r="H149" s="59">
        <v>9</v>
      </c>
      <c r="I149" s="81">
        <v>5.74E-2</v>
      </c>
      <c r="J149" s="81">
        <v>0.1143</v>
      </c>
      <c r="K149" s="63">
        <f>632113.7*W137</f>
        <v>925728870.15437996</v>
      </c>
      <c r="L149" s="58">
        <f t="shared" si="84"/>
        <v>4.7369729354706987E-4</v>
      </c>
      <c r="M149" s="57">
        <f>1.0876*W137</f>
        <v>1592.7873722399997</v>
      </c>
      <c r="N149" s="57">
        <f>1.0876*W137</f>
        <v>1592.7873722399997</v>
      </c>
      <c r="O149" s="59">
        <v>9</v>
      </c>
      <c r="P149" s="81">
        <v>6.2600000000000003E-2</v>
      </c>
      <c r="Q149" s="81">
        <v>0.113</v>
      </c>
      <c r="R149" s="87">
        <f t="shared" ref="R149" si="99">((K149-D149)/D149)</f>
        <v>8.0513458130933753E-3</v>
      </c>
      <c r="S149" s="87">
        <f t="shared" ref="S149" si="100">((N149-G149)/G149)</f>
        <v>8.0463657780389854E-3</v>
      </c>
      <c r="T149" s="87">
        <f t="shared" si="88"/>
        <v>0</v>
      </c>
      <c r="U149" s="87">
        <f t="shared" si="89"/>
        <v>5.2000000000000032E-3</v>
      </c>
      <c r="V149" s="88">
        <f t="shared" si="90"/>
        <v>-1.2999999999999956E-3</v>
      </c>
    </row>
    <row r="150" spans="1:24">
      <c r="A150" s="172">
        <v>133</v>
      </c>
      <c r="B150" s="173" t="s">
        <v>208</v>
      </c>
      <c r="C150" s="174" t="s">
        <v>50</v>
      </c>
      <c r="D150" s="63">
        <v>1009541459798.77</v>
      </c>
      <c r="E150" s="58">
        <f t="shared" si="85"/>
        <v>0.52792721226166461</v>
      </c>
      <c r="F150" s="57">
        <v>2431.5500000000002</v>
      </c>
      <c r="G150" s="57">
        <v>2431.5500000000002</v>
      </c>
      <c r="H150" s="59">
        <v>12758</v>
      </c>
      <c r="I150" s="81">
        <v>8.0000000000000004E-4</v>
      </c>
      <c r="J150" s="81">
        <v>6.0100000000000001E-2</v>
      </c>
      <c r="K150" s="63">
        <v>1024320355439.91</v>
      </c>
      <c r="L150" s="58">
        <f t="shared" si="84"/>
        <v>0.52414675153875268</v>
      </c>
      <c r="M150" s="57">
        <v>2448.8000000000002</v>
      </c>
      <c r="N150" s="57">
        <v>2448.8000000000002</v>
      </c>
      <c r="O150" s="59">
        <v>12795</v>
      </c>
      <c r="P150" s="81">
        <v>8.0000000000000004E-4</v>
      </c>
      <c r="Q150" s="81">
        <v>6.0999999999999999E-2</v>
      </c>
      <c r="R150" s="87">
        <f t="shared" si="86"/>
        <v>1.4639216148771011E-2</v>
      </c>
      <c r="S150" s="87">
        <f t="shared" si="87"/>
        <v>7.0942402993975032E-3</v>
      </c>
      <c r="T150" s="87">
        <f t="shared" si="88"/>
        <v>2.9001410879448191E-3</v>
      </c>
      <c r="U150" s="87">
        <f t="shared" si="89"/>
        <v>0</v>
      </c>
      <c r="V150" s="88">
        <f t="shared" si="90"/>
        <v>8.9999999999999802E-4</v>
      </c>
    </row>
    <row r="151" spans="1:24">
      <c r="A151" s="172">
        <v>134</v>
      </c>
      <c r="B151" s="173" t="s">
        <v>209</v>
      </c>
      <c r="C151" s="173" t="s">
        <v>117</v>
      </c>
      <c r="D151" s="63">
        <v>575984518.29900301</v>
      </c>
      <c r="E151" s="58">
        <f t="shared" si="85"/>
        <v>3.0120397542868785E-4</v>
      </c>
      <c r="F151" s="57">
        <v>163345.04541299999</v>
      </c>
      <c r="G151" s="57">
        <v>163345.04541299999</v>
      </c>
      <c r="H151" s="59">
        <v>30</v>
      </c>
      <c r="I151" s="81">
        <v>0</v>
      </c>
      <c r="J151" s="81">
        <v>7.6499999999999999E-2</v>
      </c>
      <c r="K151" s="63">
        <f>397111.88*W137</f>
        <v>581569315.76911199</v>
      </c>
      <c r="L151" s="58">
        <f t="shared" si="84"/>
        <v>2.9759016897021659E-4</v>
      </c>
      <c r="M151" s="57">
        <f>112.62*W137</f>
        <v>164931.69718799999</v>
      </c>
      <c r="N151" s="57">
        <f>112.62*W137</f>
        <v>164931.69718799999</v>
      </c>
      <c r="O151" s="59">
        <v>30</v>
      </c>
      <c r="P151" s="81">
        <v>0</v>
      </c>
      <c r="Q151" s="81">
        <v>7.6499999999999999E-2</v>
      </c>
      <c r="R151" s="87">
        <f t="shared" ref="R151" si="101">((K151-D151)/D151)</f>
        <v>9.6960895522018638E-3</v>
      </c>
      <c r="S151" s="87">
        <f t="shared" ref="S151" si="102">((N151-G151)/G151)</f>
        <v>9.7134980188002106E-3</v>
      </c>
      <c r="T151" s="87">
        <f t="shared" ref="T151" si="103">((O151-H151)/H151)</f>
        <v>0</v>
      </c>
      <c r="U151" s="87">
        <f t="shared" ref="U151" si="104">P151-I151</f>
        <v>0</v>
      </c>
      <c r="V151" s="88">
        <f t="shared" ref="V151" si="105">Q151-J151</f>
        <v>0</v>
      </c>
    </row>
    <row r="152" spans="1:24" ht="16.5" customHeight="1">
      <c r="A152" s="172">
        <v>135</v>
      </c>
      <c r="B152" s="173" t="s">
        <v>210</v>
      </c>
      <c r="C152" s="174" t="s">
        <v>53</v>
      </c>
      <c r="D152" s="63">
        <v>162093058070.43372</v>
      </c>
      <c r="E152" s="58">
        <f t="shared" si="85"/>
        <v>8.476455864541646E-2</v>
      </c>
      <c r="F152" s="57">
        <v>1813.0673610000001</v>
      </c>
      <c r="G152" s="57">
        <v>1813.0673610000001</v>
      </c>
      <c r="H152" s="59">
        <v>909</v>
      </c>
      <c r="I152" s="81">
        <v>1E-3</v>
      </c>
      <c r="J152" s="81">
        <v>9.0300000000000005E-2</v>
      </c>
      <c r="K152" s="63">
        <f>122709566.53*1465.82</f>
        <v>179870136811.00461</v>
      </c>
      <c r="L152" s="58">
        <f t="shared" si="84"/>
        <v>9.2039904711089915E-2</v>
      </c>
      <c r="M152" s="57">
        <f>1.2461*1465.82</f>
        <v>1826.5583019999999</v>
      </c>
      <c r="N152" s="57">
        <f>1.2461*1465.82</f>
        <v>1826.5583019999999</v>
      </c>
      <c r="O152" s="59">
        <v>917</v>
      </c>
      <c r="P152" s="81">
        <v>1.1000000000000001E-3</v>
      </c>
      <c r="Q152" s="81">
        <v>8.9700000000000002E-2</v>
      </c>
      <c r="R152" s="87">
        <f t="shared" si="86"/>
        <v>0.10967205475786805</v>
      </c>
      <c r="S152" s="87">
        <f t="shared" si="87"/>
        <v>7.4409485770891839E-3</v>
      </c>
      <c r="T152" s="87">
        <f t="shared" si="88"/>
        <v>8.8008800880088004E-3</v>
      </c>
      <c r="U152" s="87">
        <f t="shared" si="89"/>
        <v>1.0000000000000005E-4</v>
      </c>
      <c r="V152" s="88">
        <f t="shared" si="90"/>
        <v>-6.0000000000000331E-4</v>
      </c>
    </row>
    <row r="153" spans="1:24" ht="16.5" customHeight="1">
      <c r="A153" s="172">
        <v>136</v>
      </c>
      <c r="B153" s="173" t="s">
        <v>211</v>
      </c>
      <c r="C153" s="174" t="s">
        <v>113</v>
      </c>
      <c r="D153" s="57">
        <v>1899966588.0147755</v>
      </c>
      <c r="E153" s="58">
        <f t="shared" si="85"/>
        <v>9.9356401311233105E-4</v>
      </c>
      <c r="F153" s="57">
        <v>161599.750653</v>
      </c>
      <c r="G153" s="57">
        <v>161599.750653</v>
      </c>
      <c r="H153" s="59">
        <v>31</v>
      </c>
      <c r="I153" s="81">
        <v>1.1000000000000001E-3</v>
      </c>
      <c r="J153" s="81">
        <v>8.3199999999999996E-2</v>
      </c>
      <c r="K153" s="57">
        <f>1324320.63604681*W137</f>
        <v>1939464128.2568996</v>
      </c>
      <c r="L153" s="58">
        <f t="shared" si="84"/>
        <v>9.9242762984556106E-4</v>
      </c>
      <c r="M153" s="57">
        <f>111.19*W137</f>
        <v>162837.465906</v>
      </c>
      <c r="N153" s="57">
        <f>111.11*W137</f>
        <v>162720.30611400001</v>
      </c>
      <c r="O153" s="59">
        <v>31</v>
      </c>
      <c r="P153" s="81">
        <v>6.9999999999999999E-4</v>
      </c>
      <c r="Q153" s="81">
        <v>8.2400000000000001E-2</v>
      </c>
      <c r="R153" s="87">
        <f t="shared" si="86"/>
        <v>2.0788544646668766E-2</v>
      </c>
      <c r="S153" s="87">
        <f t="shared" si="87"/>
        <v>6.9341410272727323E-3</v>
      </c>
      <c r="T153" s="87">
        <f t="shared" si="88"/>
        <v>0</v>
      </c>
      <c r="U153" s="87">
        <f t="shared" si="89"/>
        <v>-4.0000000000000007E-4</v>
      </c>
      <c r="V153" s="88">
        <f t="shared" si="90"/>
        <v>-7.9999999999999516E-4</v>
      </c>
    </row>
    <row r="154" spans="1:24" ht="16.5" customHeight="1">
      <c r="A154" s="172">
        <v>137</v>
      </c>
      <c r="B154" s="173" t="s">
        <v>212</v>
      </c>
      <c r="C154" s="174" t="s">
        <v>124</v>
      </c>
      <c r="D154" s="57">
        <v>4615997744.6605768</v>
      </c>
      <c r="E154" s="58">
        <f t="shared" si="85"/>
        <v>2.4138788927306996E-3</v>
      </c>
      <c r="F154" s="57">
        <v>1658.0300219999999</v>
      </c>
      <c r="G154" s="57">
        <v>1658.0300219999999</v>
      </c>
      <c r="H154" s="59">
        <v>43</v>
      </c>
      <c r="I154" s="81">
        <v>0.1497</v>
      </c>
      <c r="J154" s="81">
        <v>0.14799999999999999</v>
      </c>
      <c r="K154" s="57">
        <f>3397376.94*W137</f>
        <v>4975449695.4499559</v>
      </c>
      <c r="L154" s="58">
        <f t="shared" si="84"/>
        <v>2.5459474484372446E-3</v>
      </c>
      <c r="M154" s="57">
        <f>1.15*W137</f>
        <v>1684.1720099999998</v>
      </c>
      <c r="N154" s="57">
        <f>1.15*W137</f>
        <v>1684.1720099999998</v>
      </c>
      <c r="O154" s="59">
        <v>45</v>
      </c>
      <c r="P154" s="81">
        <v>0.15110000000000001</v>
      </c>
      <c r="Q154" s="81">
        <v>0.15570000000000001</v>
      </c>
      <c r="R154" s="87">
        <f t="shared" ref="R154" si="106">((K154-D154)/D154)</f>
        <v>7.7870911268352522E-2</v>
      </c>
      <c r="S154" s="87">
        <f t="shared" ref="S154" si="107">((N154-G154)/G154)</f>
        <v>1.5766896650318829E-2</v>
      </c>
      <c r="T154" s="87">
        <f t="shared" si="88"/>
        <v>4.6511627906976744E-2</v>
      </c>
      <c r="U154" s="87">
        <f t="shared" si="89"/>
        <v>1.4000000000000123E-3</v>
      </c>
      <c r="V154" s="88">
        <f t="shared" si="90"/>
        <v>7.7000000000000124E-3</v>
      </c>
    </row>
    <row r="155" spans="1:24">
      <c r="A155" s="172">
        <v>138</v>
      </c>
      <c r="B155" s="173" t="s">
        <v>213</v>
      </c>
      <c r="C155" s="174" t="s">
        <v>126</v>
      </c>
      <c r="D155" s="57">
        <v>1765152301.9997129</v>
      </c>
      <c r="E155" s="58">
        <f t="shared" si="85"/>
        <v>9.2306455070970193E-4</v>
      </c>
      <c r="F155" s="57">
        <v>2152.5302040000001</v>
      </c>
      <c r="G155" s="57">
        <v>2152.5302040000001</v>
      </c>
      <c r="H155" s="59">
        <v>122</v>
      </c>
      <c r="I155" s="81">
        <v>2.1899999999999999E-2</v>
      </c>
      <c r="J155" s="81">
        <v>0.1923</v>
      </c>
      <c r="K155" s="57">
        <f>1216309.35*W137</f>
        <v>1781281880.6706901</v>
      </c>
      <c r="L155" s="58">
        <f t="shared" si="84"/>
        <v>9.1148546094001095E-4</v>
      </c>
      <c r="M155" s="57">
        <f>1.49*W137</f>
        <v>2182.101126</v>
      </c>
      <c r="N155" s="57">
        <f>1.49*W137</f>
        <v>2182.101126</v>
      </c>
      <c r="O155" s="59">
        <v>123</v>
      </c>
      <c r="P155" s="81">
        <v>1.5E-3</v>
      </c>
      <c r="Q155" s="81">
        <v>0.19439999999999999</v>
      </c>
      <c r="R155" s="87">
        <f t="shared" si="86"/>
        <v>9.1377829849040061E-3</v>
      </c>
      <c r="S155" s="87">
        <f t="shared" si="87"/>
        <v>1.3737750088267695E-2</v>
      </c>
      <c r="T155" s="87">
        <f t="shared" si="88"/>
        <v>8.1967213114754103E-3</v>
      </c>
      <c r="U155" s="87">
        <f t="shared" si="89"/>
        <v>-2.0399999999999998E-2</v>
      </c>
      <c r="V155" s="88">
        <f t="shared" si="90"/>
        <v>2.0999999999999908E-3</v>
      </c>
    </row>
    <row r="156" spans="1:24">
      <c r="A156" s="66"/>
      <c r="B156" s="67"/>
      <c r="C156" s="102" t="s">
        <v>56</v>
      </c>
      <c r="D156" s="90">
        <f>SUM(D118:D155)</f>
        <v>1912273958134.9629</v>
      </c>
      <c r="E156" s="70">
        <f>(D156/$D$231)</f>
        <v>0.25420974174860445</v>
      </c>
      <c r="F156" s="71"/>
      <c r="G156" s="76"/>
      <c r="H156" s="73">
        <f>SUM(H118:H155)</f>
        <v>28457</v>
      </c>
      <c r="I156" s="106"/>
      <c r="J156" s="106"/>
      <c r="K156" s="90">
        <f>SUM(K118:K155)</f>
        <v>1954262527494.0337</v>
      </c>
      <c r="L156" s="70">
        <f>(K156/$K$231)</f>
        <v>0.25703208574356634</v>
      </c>
      <c r="M156" s="71"/>
      <c r="N156" s="76"/>
      <c r="O156" s="73">
        <f>SUM(O118:O155)</f>
        <v>28529</v>
      </c>
      <c r="P156" s="106"/>
      <c r="Q156" s="106"/>
      <c r="R156" s="87">
        <f t="shared" si="86"/>
        <v>2.1957402693504321E-2</v>
      </c>
      <c r="S156" s="87" t="e">
        <f t="shared" si="87"/>
        <v>#DIV/0!</v>
      </c>
      <c r="T156" s="87">
        <f t="shared" si="88"/>
        <v>2.5301331833995151E-3</v>
      </c>
      <c r="U156" s="87">
        <f t="shared" si="89"/>
        <v>0</v>
      </c>
      <c r="V156" s="88">
        <f t="shared" si="90"/>
        <v>0</v>
      </c>
    </row>
    <row r="157" spans="1:24" ht="6" customHeight="1">
      <c r="A157" s="66"/>
      <c r="B157" s="193"/>
      <c r="C157" s="193"/>
      <c r="D157" s="193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  <c r="R157" s="193"/>
      <c r="S157" s="193"/>
      <c r="T157" s="193"/>
      <c r="U157" s="193"/>
      <c r="V157" s="193"/>
    </row>
    <row r="158" spans="1:24">
      <c r="A158" s="195" t="s">
        <v>214</v>
      </c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  <c r="R158" s="195"/>
      <c r="S158" s="195"/>
      <c r="T158" s="195"/>
      <c r="U158" s="195"/>
      <c r="V158" s="195"/>
    </row>
    <row r="159" spans="1:24">
      <c r="A159" s="172">
        <v>139</v>
      </c>
      <c r="B159" s="173" t="s">
        <v>215</v>
      </c>
      <c r="C159" s="174" t="s">
        <v>216</v>
      </c>
      <c r="D159" s="103">
        <v>2557851925.1097102</v>
      </c>
      <c r="E159" s="58">
        <f>(D159/$D$165)</f>
        <v>5.3111614346909482E-3</v>
      </c>
      <c r="F159" s="91">
        <v>120.539676018365</v>
      </c>
      <c r="G159" s="91">
        <v>120.539676018365</v>
      </c>
      <c r="H159" s="59">
        <v>8</v>
      </c>
      <c r="I159" s="81">
        <v>3.0000000000000001E-3</v>
      </c>
      <c r="J159" s="81">
        <v>0.14319999999999999</v>
      </c>
      <c r="K159" s="103">
        <v>2557851925.1097102</v>
      </c>
      <c r="L159" s="58">
        <f>(K159/$K$165)</f>
        <v>5.3028682308914211E-3</v>
      </c>
      <c r="M159" s="91">
        <v>120.539676018365</v>
      </c>
      <c r="N159" s="91">
        <v>120.539676018365</v>
      </c>
      <c r="O159" s="59">
        <v>8</v>
      </c>
      <c r="P159" s="81">
        <v>3.0000000000000001E-3</v>
      </c>
      <c r="Q159" s="81">
        <v>0.14319999999999999</v>
      </c>
      <c r="R159" s="87">
        <f t="shared" ref="R159:R165" si="108">((K159-D159)/D159)</f>
        <v>0</v>
      </c>
      <c r="S159" s="87">
        <f t="shared" ref="S159:T165" si="109">((N159-G159)/G159)</f>
        <v>0</v>
      </c>
      <c r="T159" s="87">
        <f t="shared" si="109"/>
        <v>0</v>
      </c>
      <c r="U159" s="87">
        <f t="shared" ref="U159:V165" si="110">P159-I159</f>
        <v>0</v>
      </c>
      <c r="V159" s="88">
        <f t="shared" si="110"/>
        <v>0</v>
      </c>
    </row>
    <row r="160" spans="1:24">
      <c r="A160" s="172">
        <v>140</v>
      </c>
      <c r="B160" s="173" t="s">
        <v>217</v>
      </c>
      <c r="C160" s="174" t="s">
        <v>24</v>
      </c>
      <c r="D160" s="103">
        <v>268507313499.42999</v>
      </c>
      <c r="E160" s="58">
        <v>0</v>
      </c>
      <c r="F160" s="91">
        <v>107.4029</v>
      </c>
      <c r="G160" s="91">
        <v>107.4029</v>
      </c>
      <c r="H160" s="59">
        <v>45</v>
      </c>
      <c r="I160" s="81">
        <v>0.1116</v>
      </c>
      <c r="J160" s="81">
        <v>0.10009999999999999</v>
      </c>
      <c r="K160" s="103">
        <v>269200405555.01999</v>
      </c>
      <c r="L160" s="58">
        <f t="shared" ref="L160:L164" si="111">(K160/$K$165)</f>
        <v>0.55809887364749344</v>
      </c>
      <c r="M160" s="91">
        <v>107.6802</v>
      </c>
      <c r="N160" s="91">
        <v>107.6802</v>
      </c>
      <c r="O160" s="59">
        <v>45</v>
      </c>
      <c r="P160" s="81">
        <v>0.1346</v>
      </c>
      <c r="Q160" s="81">
        <v>0.1012</v>
      </c>
      <c r="R160" s="87">
        <f t="shared" ref="R160" si="112">((K160-D160)/D160)</f>
        <v>2.5812781281708652E-3</v>
      </c>
      <c r="S160" s="87">
        <f t="shared" ref="S160" si="113">((N160-G160)/G160)</f>
        <v>2.5818669700724724E-3</v>
      </c>
      <c r="T160" s="87">
        <f t="shared" ref="T160" si="114">((O160-H160)/H160)</f>
        <v>0</v>
      </c>
      <c r="U160" s="87">
        <f t="shared" ref="U160" si="115">P160-I160</f>
        <v>2.2999999999999993E-2</v>
      </c>
      <c r="V160" s="88">
        <f t="shared" ref="V160" si="116">Q160-J160</f>
        <v>1.1000000000000038E-3</v>
      </c>
    </row>
    <row r="161" spans="1:22">
      <c r="A161" s="172">
        <v>141</v>
      </c>
      <c r="B161" s="173" t="s">
        <v>218</v>
      </c>
      <c r="C161" s="174" t="s">
        <v>48</v>
      </c>
      <c r="D161" s="63">
        <v>163627573866</v>
      </c>
      <c r="E161" s="58">
        <f>(D161/$D$165)</f>
        <v>0.33975870590392704</v>
      </c>
      <c r="F161" s="91">
        <v>103</v>
      </c>
      <c r="G161" s="91">
        <v>103</v>
      </c>
      <c r="H161" s="59">
        <v>851</v>
      </c>
      <c r="I161" s="81">
        <v>9.2999999999999999E-2</v>
      </c>
      <c r="J161" s="81">
        <v>9.2999999999999999E-2</v>
      </c>
      <c r="K161" s="63">
        <v>163627573866</v>
      </c>
      <c r="L161" s="58">
        <f t="shared" si="111"/>
        <v>0.33922818386550424</v>
      </c>
      <c r="M161" s="91">
        <v>103</v>
      </c>
      <c r="N161" s="91">
        <v>103</v>
      </c>
      <c r="O161" s="59">
        <v>851</v>
      </c>
      <c r="P161" s="81">
        <v>9.2999999999999999E-2</v>
      </c>
      <c r="Q161" s="81">
        <v>9.2999999999999999E-2</v>
      </c>
      <c r="R161" s="87">
        <f t="shared" si="108"/>
        <v>0</v>
      </c>
      <c r="S161" s="87">
        <f t="shared" si="109"/>
        <v>0</v>
      </c>
      <c r="T161" s="87">
        <f t="shared" si="109"/>
        <v>0</v>
      </c>
      <c r="U161" s="87">
        <f t="shared" si="110"/>
        <v>0</v>
      </c>
      <c r="V161" s="88">
        <f t="shared" si="110"/>
        <v>0</v>
      </c>
    </row>
    <row r="162" spans="1:22" ht="15.75" customHeight="1">
      <c r="A162" s="172">
        <v>142</v>
      </c>
      <c r="B162" s="173" t="s">
        <v>220</v>
      </c>
      <c r="C162" s="174" t="s">
        <v>162</v>
      </c>
      <c r="D162" s="63">
        <v>2994860883.37707</v>
      </c>
      <c r="E162" s="58">
        <f>(D162/$D$165)</f>
        <v>6.2185732762362767E-3</v>
      </c>
      <c r="F162" s="91">
        <v>418.75</v>
      </c>
      <c r="G162" s="91">
        <v>418.75</v>
      </c>
      <c r="H162" s="59">
        <v>3871</v>
      </c>
      <c r="I162" s="81">
        <v>0.52669999999999995</v>
      </c>
      <c r="J162" s="81">
        <v>0.23169999999999999</v>
      </c>
      <c r="K162" s="63">
        <v>3024749303.31708</v>
      </c>
      <c r="L162" s="58">
        <f t="shared" si="111"/>
        <v>6.2708270285361141E-3</v>
      </c>
      <c r="M162" s="91">
        <v>418.75</v>
      </c>
      <c r="N162" s="91">
        <v>418.75</v>
      </c>
      <c r="O162" s="59">
        <v>3871</v>
      </c>
      <c r="P162" s="81">
        <v>0.6371</v>
      </c>
      <c r="Q162" s="81">
        <v>0.2424</v>
      </c>
      <c r="R162" s="87">
        <f t="shared" si="108"/>
        <v>9.9799026077990113E-3</v>
      </c>
      <c r="S162" s="87">
        <f t="shared" si="109"/>
        <v>0</v>
      </c>
      <c r="T162" s="87">
        <f t="shared" si="109"/>
        <v>0</v>
      </c>
      <c r="U162" s="87">
        <f t="shared" si="110"/>
        <v>0.11040000000000005</v>
      </c>
      <c r="V162" s="88">
        <f t="shared" si="110"/>
        <v>1.0700000000000015E-2</v>
      </c>
    </row>
    <row r="163" spans="1:22">
      <c r="A163" s="172">
        <v>143</v>
      </c>
      <c r="B163" s="173" t="s">
        <v>219</v>
      </c>
      <c r="C163" s="174" t="s">
        <v>162</v>
      </c>
      <c r="D163" s="63">
        <v>10833384675.17</v>
      </c>
      <c r="E163" s="58">
        <f>(D163/$D$165)</f>
        <v>2.2494599600978441E-2</v>
      </c>
      <c r="F163" s="91">
        <v>51.8</v>
      </c>
      <c r="G163" s="91">
        <v>51.8</v>
      </c>
      <c r="H163" s="59">
        <v>5970</v>
      </c>
      <c r="I163" s="81">
        <v>3.3300000000000003E-2</v>
      </c>
      <c r="J163" s="81">
        <v>0.2084</v>
      </c>
      <c r="K163" s="63">
        <v>10849100091.610001</v>
      </c>
      <c r="L163" s="58">
        <f t="shared" si="111"/>
        <v>2.2492055792906102E-2</v>
      </c>
      <c r="M163" s="91">
        <v>62.72</v>
      </c>
      <c r="N163" s="91">
        <v>62.72</v>
      </c>
      <c r="O163" s="59">
        <v>5970</v>
      </c>
      <c r="P163" s="81">
        <v>3.3300000000000003E-2</v>
      </c>
      <c r="Q163" s="81">
        <v>0.20710000000000001</v>
      </c>
      <c r="R163" s="87">
        <f t="shared" si="108"/>
        <v>1.4506469502573926E-3</v>
      </c>
      <c r="S163" s="87">
        <f t="shared" si="109"/>
        <v>0.21081081081081085</v>
      </c>
      <c r="T163" s="87">
        <f t="shared" si="109"/>
        <v>0</v>
      </c>
      <c r="U163" s="87">
        <f t="shared" si="110"/>
        <v>0</v>
      </c>
      <c r="V163" s="88">
        <f t="shared" si="110"/>
        <v>-1.2999999999999956E-3</v>
      </c>
    </row>
    <row r="164" spans="1:22">
      <c r="A164" s="172">
        <v>144</v>
      </c>
      <c r="B164" s="173" t="s">
        <v>327</v>
      </c>
      <c r="C164" s="174" t="s">
        <v>50</v>
      </c>
      <c r="D164" s="63">
        <v>33078370878</v>
      </c>
      <c r="E164" s="58">
        <f>(D164/$D$165)</f>
        <v>6.8684416797153869E-2</v>
      </c>
      <c r="F164" s="91">
        <v>7</v>
      </c>
      <c r="G164" s="91">
        <v>7</v>
      </c>
      <c r="H164" s="59">
        <v>211092</v>
      </c>
      <c r="I164" s="81">
        <v>2.9399999999999999E-2</v>
      </c>
      <c r="J164" s="81">
        <v>0.4</v>
      </c>
      <c r="K164" s="63">
        <v>33092852593.48</v>
      </c>
      <c r="L164" s="58">
        <f t="shared" si="111"/>
        <v>6.8607191434668743E-2</v>
      </c>
      <c r="M164" s="91">
        <v>6.95</v>
      </c>
      <c r="N164" s="91">
        <v>6.95</v>
      </c>
      <c r="O164" s="59">
        <v>211092</v>
      </c>
      <c r="P164" s="81">
        <v>-7.1000000000000004E-3</v>
      </c>
      <c r="Q164" s="81">
        <v>0.39</v>
      </c>
      <c r="R164" s="87">
        <f t="shared" si="108"/>
        <v>4.3780014237736073E-4</v>
      </c>
      <c r="S164" s="87">
        <f t="shared" si="109"/>
        <v>-7.1428571428571175E-3</v>
      </c>
      <c r="T164" s="87">
        <f t="shared" si="109"/>
        <v>0</v>
      </c>
      <c r="U164" s="87">
        <f t="shared" si="110"/>
        <v>-3.6499999999999998E-2</v>
      </c>
      <c r="V164" s="88">
        <f t="shared" si="110"/>
        <v>-1.0000000000000009E-2</v>
      </c>
    </row>
    <row r="165" spans="1:22">
      <c r="A165" s="66"/>
      <c r="B165" s="104"/>
      <c r="C165" s="68" t="s">
        <v>56</v>
      </c>
      <c r="D165" s="69">
        <f>SUM(D159:D164)</f>
        <v>481599355727.08673</v>
      </c>
      <c r="E165" s="70">
        <f>(D165/$D$231)</f>
        <v>6.4021814094608109E-2</v>
      </c>
      <c r="F165" s="71"/>
      <c r="G165" s="105"/>
      <c r="H165" s="73">
        <f>SUM(H159:H164)</f>
        <v>221837</v>
      </c>
      <c r="I165" s="107"/>
      <c r="J165" s="107"/>
      <c r="K165" s="69">
        <f>SUM(K159:K164)</f>
        <v>482352533334.53674</v>
      </c>
      <c r="L165" s="70">
        <f>(K165/$K$231)</f>
        <v>6.3440850941173049E-2</v>
      </c>
      <c r="M165" s="71"/>
      <c r="N165" s="105"/>
      <c r="O165" s="73">
        <f>SUM(O159:O164)</f>
        <v>221837</v>
      </c>
      <c r="P165" s="107"/>
      <c r="Q165" s="107"/>
      <c r="R165" s="87">
        <f t="shared" si="108"/>
        <v>1.5639090843734926E-3</v>
      </c>
      <c r="S165" s="87" t="e">
        <f t="shared" si="109"/>
        <v>#DIV/0!</v>
      </c>
      <c r="T165" s="87">
        <f t="shared" si="109"/>
        <v>0</v>
      </c>
      <c r="U165" s="87">
        <f t="shared" si="110"/>
        <v>0</v>
      </c>
      <c r="V165" s="88">
        <f t="shared" si="110"/>
        <v>0</v>
      </c>
    </row>
    <row r="166" spans="1:22" ht="5.25" customHeight="1">
      <c r="A166" s="66"/>
      <c r="B166" s="193"/>
      <c r="C166" s="193"/>
      <c r="D166" s="193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  <c r="R166" s="193"/>
      <c r="S166" s="193"/>
      <c r="T166" s="193"/>
      <c r="U166" s="193"/>
      <c r="V166" s="193"/>
    </row>
    <row r="167" spans="1:22" ht="15" customHeight="1">
      <c r="A167" s="195" t="s">
        <v>221</v>
      </c>
      <c r="B167" s="195"/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  <c r="R167" s="195"/>
      <c r="S167" s="195"/>
      <c r="T167" s="195"/>
      <c r="U167" s="195"/>
      <c r="V167" s="195"/>
    </row>
    <row r="168" spans="1:22">
      <c r="A168" s="177">
        <v>145</v>
      </c>
      <c r="B168" s="173" t="s">
        <v>222</v>
      </c>
      <c r="C168" s="174" t="s">
        <v>60</v>
      </c>
      <c r="D168" s="57">
        <v>605011540.53999996</v>
      </c>
      <c r="E168" s="58">
        <f t="shared" ref="E168:E196" si="117">(D168/$D$197)</f>
        <v>7.2771433258811517E-3</v>
      </c>
      <c r="F168" s="57">
        <v>7.65</v>
      </c>
      <c r="G168" s="57">
        <v>7.75</v>
      </c>
      <c r="H168" s="61">
        <v>11936</v>
      </c>
      <c r="I168" s="82">
        <v>-1.1199999999999999E-3</v>
      </c>
      <c r="J168" s="82">
        <v>0.33896999999999999</v>
      </c>
      <c r="K168" s="57">
        <v>597474375.71000004</v>
      </c>
      <c r="L168" s="85">
        <f t="shared" ref="L168:L196" si="118">(K168/$K$197)</f>
        <v>7.124838684150963E-3</v>
      </c>
      <c r="M168" s="57">
        <v>7.73</v>
      </c>
      <c r="N168" s="57">
        <v>7.84</v>
      </c>
      <c r="O168" s="61">
        <v>11939</v>
      </c>
      <c r="P168" s="82">
        <v>1.4282E-2</v>
      </c>
      <c r="Q168" s="82">
        <v>0.35325200000000001</v>
      </c>
      <c r="R168" s="87">
        <f>((K168-D168)/D168)</f>
        <v>-1.245788604837631E-2</v>
      </c>
      <c r="S168" s="87">
        <f>((N168-G168)/G168)</f>
        <v>1.1612903225806433E-2</v>
      </c>
      <c r="T168" s="87">
        <f>((O168-H168)/H168)</f>
        <v>2.5134048257372655E-4</v>
      </c>
      <c r="U168" s="87">
        <f>P168-I168</f>
        <v>1.5401999999999999E-2</v>
      </c>
      <c r="V168" s="88">
        <f>Q168-J168</f>
        <v>1.4282000000000017E-2</v>
      </c>
    </row>
    <row r="169" spans="1:22">
      <c r="A169" s="177">
        <v>146</v>
      </c>
      <c r="B169" s="173" t="s">
        <v>223</v>
      </c>
      <c r="C169" s="173" t="s">
        <v>224</v>
      </c>
      <c r="D169" s="57">
        <v>2040883666.3122599</v>
      </c>
      <c r="E169" s="58">
        <f t="shared" si="117"/>
        <v>2.4547966370936026E-2</v>
      </c>
      <c r="F169" s="57">
        <v>2201.12192230762</v>
      </c>
      <c r="G169" s="57">
        <v>2214.36753058867</v>
      </c>
      <c r="H169" s="61">
        <v>173</v>
      </c>
      <c r="I169" s="82">
        <v>1.5100000000000001E-2</v>
      </c>
      <c r="J169" s="82">
        <v>0.45689999999999997</v>
      </c>
      <c r="K169" s="57">
        <v>2077942817.3896899</v>
      </c>
      <c r="L169" s="85">
        <f t="shared" si="118"/>
        <v>2.4779317692408796E-2</v>
      </c>
      <c r="M169" s="57">
        <v>2189.83</v>
      </c>
      <c r="N169" s="57">
        <v>2202.64</v>
      </c>
      <c r="O169" s="61">
        <v>173</v>
      </c>
      <c r="P169" s="82">
        <v>-5.1000000000000004E-3</v>
      </c>
      <c r="Q169" s="82">
        <v>0.45689999999999997</v>
      </c>
      <c r="R169" s="87">
        <f>((K169-D169)/D169)</f>
        <v>1.8158384864921485E-2</v>
      </c>
      <c r="S169" s="87">
        <f>((N169-G169)/G169)</f>
        <v>-5.2961084493288457E-3</v>
      </c>
      <c r="T169" s="87">
        <f>((O169-H169)/H169)</f>
        <v>0</v>
      </c>
      <c r="U169" s="87">
        <f>P169-I169</f>
        <v>-2.0200000000000003E-2</v>
      </c>
      <c r="V169" s="88">
        <f>Q169-J169</f>
        <v>0</v>
      </c>
    </row>
    <row r="170" spans="1:22">
      <c r="A170" s="177">
        <v>147</v>
      </c>
      <c r="B170" s="173" t="s">
        <v>225</v>
      </c>
      <c r="C170" s="174" t="s">
        <v>24</v>
      </c>
      <c r="D170" s="57">
        <v>9814283312.7800007</v>
      </c>
      <c r="E170" s="58">
        <f t="shared" si="117"/>
        <v>0.11804724624617612</v>
      </c>
      <c r="F170" s="57">
        <v>1044.8788999999999</v>
      </c>
      <c r="G170" s="57">
        <v>1076.3827000000001</v>
      </c>
      <c r="H170" s="61">
        <v>22309</v>
      </c>
      <c r="I170" s="82">
        <v>0.442</v>
      </c>
      <c r="J170" s="82">
        <v>0.33179999999999998</v>
      </c>
      <c r="K170" s="57">
        <v>9842433707.0100002</v>
      </c>
      <c r="L170" s="85">
        <f t="shared" si="118"/>
        <v>0.11737030954434371</v>
      </c>
      <c r="M170" s="57">
        <v>1046.5383999999999</v>
      </c>
      <c r="N170" s="57">
        <v>1078.0923</v>
      </c>
      <c r="O170" s="61">
        <v>22328</v>
      </c>
      <c r="P170" s="82">
        <v>8.2799999999999999E-2</v>
      </c>
      <c r="Q170" s="82">
        <v>0.32740000000000002</v>
      </c>
      <c r="R170" s="87">
        <f t="shared" ref="R170:R196" si="119">((K170-D170)/D170)</f>
        <v>2.8683087020060401E-3</v>
      </c>
      <c r="S170" s="87">
        <f t="shared" ref="S170:T196" si="120">((N170-G170)/G170)</f>
        <v>1.5882826805000761E-3</v>
      </c>
      <c r="T170" s="87">
        <f t="shared" si="120"/>
        <v>8.5167421220135367E-4</v>
      </c>
      <c r="U170" s="87">
        <f t="shared" ref="U170:V196" si="121">P170-I170</f>
        <v>-0.35920000000000002</v>
      </c>
      <c r="V170" s="88">
        <f t="shared" si="121"/>
        <v>-4.3999999999999595E-3</v>
      </c>
    </row>
    <row r="171" spans="1:22">
      <c r="A171" s="177">
        <v>148</v>
      </c>
      <c r="B171" s="173" t="s">
        <v>226</v>
      </c>
      <c r="C171" s="174" t="s">
        <v>128</v>
      </c>
      <c r="D171" s="57">
        <v>5759748870.5200005</v>
      </c>
      <c r="E171" s="58">
        <f t="shared" si="117"/>
        <v>6.9278873613626502E-2</v>
      </c>
      <c r="F171" s="57">
        <v>33.528599999999997</v>
      </c>
      <c r="G171" s="57">
        <v>33.923099999999998</v>
      </c>
      <c r="H171" s="59">
        <v>6185</v>
      </c>
      <c r="I171" s="81">
        <v>1.4800000000000001E-2</v>
      </c>
      <c r="J171" s="81">
        <v>0.57640000000000002</v>
      </c>
      <c r="K171" s="57">
        <v>5834643804.25</v>
      </c>
      <c r="L171" s="85">
        <f t="shared" si="118"/>
        <v>6.9577705044441385E-2</v>
      </c>
      <c r="M171" s="57">
        <v>34.162799999999997</v>
      </c>
      <c r="N171" s="57">
        <v>34.569600000000001</v>
      </c>
      <c r="O171" s="59">
        <v>6190</v>
      </c>
      <c r="P171" s="81">
        <v>1.67E-2</v>
      </c>
      <c r="Q171" s="81">
        <v>0.60629999999999995</v>
      </c>
      <c r="R171" s="87">
        <f t="shared" si="119"/>
        <v>1.3003159584497282E-2</v>
      </c>
      <c r="S171" s="87">
        <f t="shared" si="120"/>
        <v>1.9057810164755086E-2</v>
      </c>
      <c r="T171" s="87">
        <f t="shared" si="120"/>
        <v>8.0840743734842356E-4</v>
      </c>
      <c r="U171" s="87">
        <f t="shared" si="121"/>
        <v>1.8999999999999989E-3</v>
      </c>
      <c r="V171" s="88">
        <f t="shared" si="121"/>
        <v>2.9899999999999927E-2</v>
      </c>
    </row>
    <row r="172" spans="1:22">
      <c r="A172" s="177">
        <v>149</v>
      </c>
      <c r="B172" s="173" t="s">
        <v>227</v>
      </c>
      <c r="C172" s="174" t="s">
        <v>136</v>
      </c>
      <c r="D172" s="63">
        <v>2491541847.3800001</v>
      </c>
      <c r="E172" s="58">
        <f t="shared" si="117"/>
        <v>2.996853102939484E-2</v>
      </c>
      <c r="F172" s="57">
        <v>5.9436999999999998</v>
      </c>
      <c r="G172" s="57">
        <v>6.0777999999999999</v>
      </c>
      <c r="H172" s="59">
        <v>2737</v>
      </c>
      <c r="I172" s="81">
        <v>0.71579999999999999</v>
      </c>
      <c r="J172" s="81">
        <v>0.37609999999999999</v>
      </c>
      <c r="K172" s="63">
        <v>2496417734.0999999</v>
      </c>
      <c r="L172" s="85">
        <f t="shared" si="118"/>
        <v>2.9769600784267533E-2</v>
      </c>
      <c r="M172" s="57">
        <v>5.9558</v>
      </c>
      <c r="N172" s="57">
        <v>6.09</v>
      </c>
      <c r="O172" s="59">
        <v>2736</v>
      </c>
      <c r="P172" s="81">
        <v>0.1047</v>
      </c>
      <c r="Q172" s="81">
        <v>0.37130000000000002</v>
      </c>
      <c r="R172" s="87">
        <f t="shared" si="119"/>
        <v>1.9569756474799192E-3</v>
      </c>
      <c r="S172" s="87">
        <f t="shared" si="120"/>
        <v>2.0073052749350075E-3</v>
      </c>
      <c r="T172" s="87">
        <f t="shared" si="120"/>
        <v>-3.6536353671903543E-4</v>
      </c>
      <c r="U172" s="87">
        <f t="shared" si="121"/>
        <v>-0.61109999999999998</v>
      </c>
      <c r="V172" s="88">
        <f t="shared" si="121"/>
        <v>-4.799999999999971E-3</v>
      </c>
    </row>
    <row r="173" spans="1:22">
      <c r="A173" s="177">
        <v>150</v>
      </c>
      <c r="B173" s="173" t="s">
        <v>228</v>
      </c>
      <c r="C173" s="174" t="s">
        <v>28</v>
      </c>
      <c r="D173" s="63">
        <v>1075769320.04</v>
      </c>
      <c r="E173" s="58">
        <f t="shared" si="117"/>
        <v>1.2939468097632448E-2</v>
      </c>
      <c r="F173" s="57">
        <v>1.1893</v>
      </c>
      <c r="G173" s="57">
        <v>1.1981999999999999</v>
      </c>
      <c r="H173" s="59">
        <v>214</v>
      </c>
      <c r="I173" s="81">
        <v>1.95E-2</v>
      </c>
      <c r="J173" s="81">
        <v>0.1938</v>
      </c>
      <c r="K173" s="63">
        <v>1078746525.72</v>
      </c>
      <c r="L173" s="85">
        <f t="shared" si="118"/>
        <v>1.2863974237740132E-2</v>
      </c>
      <c r="M173" s="57">
        <v>1.1899</v>
      </c>
      <c r="N173" s="57">
        <v>1.1988000000000001</v>
      </c>
      <c r="O173" s="59">
        <v>219</v>
      </c>
      <c r="P173" s="81">
        <v>5.0000000000000001E-4</v>
      </c>
      <c r="Q173" s="81">
        <v>0.1943</v>
      </c>
      <c r="R173" s="87">
        <f t="shared" ref="R173" si="122">((K173-D173)/D173)</f>
        <v>2.7675130946189898E-3</v>
      </c>
      <c r="S173" s="87">
        <f t="shared" ref="S173" si="123">((N173-G173)/G173)</f>
        <v>5.0075112669016521E-4</v>
      </c>
      <c r="T173" s="87">
        <f t="shared" ref="T173" si="124">((O173-H173)/H173)</f>
        <v>2.336448598130841E-2</v>
      </c>
      <c r="U173" s="87">
        <f t="shared" ref="U173" si="125">P173-I173</f>
        <v>-1.9E-2</v>
      </c>
      <c r="V173" s="88">
        <f t="shared" ref="V173" si="126">Q173-J173</f>
        <v>5.0000000000000044E-4</v>
      </c>
    </row>
    <row r="174" spans="1:22">
      <c r="A174" s="177">
        <v>151</v>
      </c>
      <c r="B174" s="173" t="s">
        <v>229</v>
      </c>
      <c r="C174" s="174" t="s">
        <v>71</v>
      </c>
      <c r="D174" s="57">
        <v>6273040114.3803997</v>
      </c>
      <c r="E174" s="58">
        <f t="shared" si="117"/>
        <v>7.5452795430321143E-2</v>
      </c>
      <c r="F174" s="57">
        <v>11109.4089460623</v>
      </c>
      <c r="G174" s="57">
        <v>11192.6917227782</v>
      </c>
      <c r="H174" s="59">
        <v>1344</v>
      </c>
      <c r="I174" s="81">
        <v>-3.8199999999999998E-2</v>
      </c>
      <c r="J174" s="81">
        <v>0.4788</v>
      </c>
      <c r="K174" s="57">
        <v>6252862334.8428497</v>
      </c>
      <c r="L174" s="85">
        <f t="shared" si="118"/>
        <v>7.4564930750407071E-2</v>
      </c>
      <c r="M174" s="57">
        <v>11089.139516490901</v>
      </c>
      <c r="N174" s="57">
        <v>11172.0155196748</v>
      </c>
      <c r="O174" s="59">
        <v>1350</v>
      </c>
      <c r="P174" s="81">
        <v>-9.5100000000000004E-2</v>
      </c>
      <c r="Q174" s="81">
        <v>0.46650000000000003</v>
      </c>
      <c r="R174" s="87">
        <f t="shared" si="119"/>
        <v>-3.2165870406749299E-3</v>
      </c>
      <c r="S174" s="87">
        <f t="shared" si="120"/>
        <v>-1.8472949684946185E-3</v>
      </c>
      <c r="T174" s="87">
        <f t="shared" si="120"/>
        <v>4.464285714285714E-3</v>
      </c>
      <c r="U174" s="87">
        <f t="shared" si="121"/>
        <v>-5.6900000000000006E-2</v>
      </c>
      <c r="V174" s="88">
        <f t="shared" si="121"/>
        <v>-1.2299999999999978E-2</v>
      </c>
    </row>
    <row r="175" spans="1:22">
      <c r="A175" s="177">
        <v>152</v>
      </c>
      <c r="B175" s="173" t="s">
        <v>230</v>
      </c>
      <c r="C175" s="174" t="s">
        <v>73</v>
      </c>
      <c r="D175" s="57">
        <v>1276577109.95</v>
      </c>
      <c r="E175" s="58">
        <f t="shared" si="117"/>
        <v>1.5354805608094182E-2</v>
      </c>
      <c r="F175" s="57">
        <v>230.6</v>
      </c>
      <c r="G175" s="57">
        <v>232.32</v>
      </c>
      <c r="H175" s="59">
        <v>508</v>
      </c>
      <c r="I175" s="81">
        <v>1.2800000000000001E-2</v>
      </c>
      <c r="J175" s="81">
        <v>0.25119999999999998</v>
      </c>
      <c r="K175" s="57">
        <v>1276623031.1500001</v>
      </c>
      <c r="L175" s="85">
        <f t="shared" si="118"/>
        <v>1.522363724236173E-2</v>
      </c>
      <c r="M175" s="57">
        <v>230.33</v>
      </c>
      <c r="N175" s="57">
        <v>232.04</v>
      </c>
      <c r="O175" s="59">
        <v>508</v>
      </c>
      <c r="P175" s="81">
        <v>-1.1999999999999999E-3</v>
      </c>
      <c r="Q175" s="81">
        <v>0.24979999999999999</v>
      </c>
      <c r="R175" s="87">
        <f t="shared" si="119"/>
        <v>3.5972131759315569E-5</v>
      </c>
      <c r="S175" s="87">
        <f t="shared" si="120"/>
        <v>-1.2052341597796193E-3</v>
      </c>
      <c r="T175" s="87">
        <f t="shared" si="120"/>
        <v>0</v>
      </c>
      <c r="U175" s="87">
        <f t="shared" si="121"/>
        <v>-1.4E-2</v>
      </c>
      <c r="V175" s="88">
        <f t="shared" si="121"/>
        <v>-1.3999999999999846E-3</v>
      </c>
    </row>
    <row r="176" spans="1:22">
      <c r="A176" s="177">
        <v>153</v>
      </c>
      <c r="B176" s="173" t="s">
        <v>231</v>
      </c>
      <c r="C176" s="174" t="s">
        <v>232</v>
      </c>
      <c r="D176" s="57">
        <v>1165552330</v>
      </c>
      <c r="E176" s="58">
        <f t="shared" si="117"/>
        <v>1.401938771557028E-2</v>
      </c>
      <c r="F176" s="57">
        <v>2.0905</v>
      </c>
      <c r="G176" s="57">
        <v>2.1261000000000001</v>
      </c>
      <c r="H176" s="59">
        <v>3596</v>
      </c>
      <c r="I176" s="81">
        <v>-5.3E-3</v>
      </c>
      <c r="J176" s="81">
        <v>0.42799999999999999</v>
      </c>
      <c r="K176" s="57">
        <v>1193351568.4100001</v>
      </c>
      <c r="L176" s="85">
        <f t="shared" si="118"/>
        <v>1.4230631076514445E-2</v>
      </c>
      <c r="M176" s="57">
        <v>2.1109</v>
      </c>
      <c r="N176" s="57">
        <v>2.1475</v>
      </c>
      <c r="O176" s="59">
        <v>3676</v>
      </c>
      <c r="P176" s="81">
        <v>9.7999999999999997E-3</v>
      </c>
      <c r="Q176" s="81">
        <v>0.442</v>
      </c>
      <c r="R176" s="87">
        <f t="shared" si="119"/>
        <v>2.3850699530582282E-2</v>
      </c>
      <c r="S176" s="87">
        <f t="shared" si="120"/>
        <v>1.0065377922016774E-2</v>
      </c>
      <c r="T176" s="87">
        <f t="shared" si="120"/>
        <v>2.224694104560623E-2</v>
      </c>
      <c r="U176" s="87">
        <f t="shared" si="121"/>
        <v>1.5099999999999999E-2</v>
      </c>
      <c r="V176" s="88">
        <f t="shared" si="121"/>
        <v>1.4000000000000012E-2</v>
      </c>
    </row>
    <row r="177" spans="1:22">
      <c r="A177" s="177">
        <v>154</v>
      </c>
      <c r="B177" s="173" t="s">
        <v>233</v>
      </c>
      <c r="C177" s="174" t="s">
        <v>30</v>
      </c>
      <c r="D177" s="75">
        <v>187405928.25</v>
      </c>
      <c r="E177" s="58">
        <f t="shared" si="117"/>
        <v>2.2541384892886748E-3</v>
      </c>
      <c r="F177" s="57">
        <v>204.8837</v>
      </c>
      <c r="G177" s="57">
        <v>206.2105</v>
      </c>
      <c r="H177" s="59">
        <v>159</v>
      </c>
      <c r="I177" s="81">
        <v>3.2600000000000001E-4</v>
      </c>
      <c r="J177" s="81">
        <v>0.28179999999999999</v>
      </c>
      <c r="K177" s="75">
        <v>200698966.52000001</v>
      </c>
      <c r="L177" s="85">
        <f t="shared" si="118"/>
        <v>2.3933206488254118E-3</v>
      </c>
      <c r="M177" s="57">
        <v>207.79239999999999</v>
      </c>
      <c r="N177" s="57">
        <v>209.07230000000001</v>
      </c>
      <c r="O177" s="59">
        <v>163</v>
      </c>
      <c r="P177" s="81">
        <v>2.6389999999999999E-3</v>
      </c>
      <c r="Q177" s="81">
        <v>0.3</v>
      </c>
      <c r="R177" s="87">
        <f t="shared" si="119"/>
        <v>7.0931791721482063E-2</v>
      </c>
      <c r="S177" s="87">
        <f t="shared" si="120"/>
        <v>1.3878051796586579E-2</v>
      </c>
      <c r="T177" s="87">
        <f t="shared" si="120"/>
        <v>2.5157232704402517E-2</v>
      </c>
      <c r="U177" s="87">
        <f t="shared" si="121"/>
        <v>2.313E-3</v>
      </c>
      <c r="V177" s="88">
        <f t="shared" si="121"/>
        <v>1.8199999999999994E-2</v>
      </c>
    </row>
    <row r="178" spans="1:22">
      <c r="A178" s="177">
        <v>155</v>
      </c>
      <c r="B178" s="173" t="s">
        <v>234</v>
      </c>
      <c r="C178" s="174" t="s">
        <v>79</v>
      </c>
      <c r="D178" s="75">
        <v>377779782.91000003</v>
      </c>
      <c r="E178" s="58">
        <f t="shared" si="117"/>
        <v>4.5439755139258841E-3</v>
      </c>
      <c r="F178" s="57">
        <v>166.56</v>
      </c>
      <c r="G178" s="57">
        <v>167.67</v>
      </c>
      <c r="H178" s="59">
        <v>53</v>
      </c>
      <c r="I178" s="81">
        <v>1.18E-2</v>
      </c>
      <c r="J178" s="81">
        <v>0.45240000000000002</v>
      </c>
      <c r="K178" s="75">
        <v>441993767.77999997</v>
      </c>
      <c r="L178" s="85">
        <f t="shared" si="118"/>
        <v>5.2707436885311666E-3</v>
      </c>
      <c r="M178" s="57">
        <v>171.56</v>
      </c>
      <c r="N178" s="57">
        <v>172.62</v>
      </c>
      <c r="O178" s="59">
        <v>53</v>
      </c>
      <c r="P178" s="81">
        <v>4.1799999999999997E-2</v>
      </c>
      <c r="Q178" s="81">
        <v>0.49419999999999997</v>
      </c>
      <c r="R178" s="87">
        <f t="shared" si="119"/>
        <v>0.1699772930551392</v>
      </c>
      <c r="S178" s="87">
        <f t="shared" si="120"/>
        <v>2.9522275899087597E-2</v>
      </c>
      <c r="T178" s="87">
        <f t="shared" si="120"/>
        <v>0</v>
      </c>
      <c r="U178" s="87">
        <f t="shared" si="121"/>
        <v>0.03</v>
      </c>
      <c r="V178" s="88">
        <f t="shared" si="121"/>
        <v>4.1799999999999948E-2</v>
      </c>
    </row>
    <row r="179" spans="1:22" ht="15.75" customHeight="1">
      <c r="A179" s="177">
        <v>156</v>
      </c>
      <c r="B179" s="173" t="s">
        <v>235</v>
      </c>
      <c r="C179" s="174" t="s">
        <v>82</v>
      </c>
      <c r="D179" s="63">
        <v>536343446.44999999</v>
      </c>
      <c r="E179" s="58">
        <f t="shared" si="117"/>
        <v>6.4511961676467638E-3</v>
      </c>
      <c r="F179" s="57">
        <v>1.79</v>
      </c>
      <c r="G179" s="57">
        <v>1.81</v>
      </c>
      <c r="H179" s="59">
        <v>119</v>
      </c>
      <c r="I179" s="81">
        <v>0.43509999999999999</v>
      </c>
      <c r="J179" s="81">
        <v>0.46360000000000001</v>
      </c>
      <c r="K179" s="63">
        <v>541955878.58000004</v>
      </c>
      <c r="L179" s="85">
        <f t="shared" si="118"/>
        <v>6.4627846243970367E-3</v>
      </c>
      <c r="M179" s="57">
        <v>1.81002</v>
      </c>
      <c r="N179" s="57">
        <v>1.8297300000000001</v>
      </c>
      <c r="O179" s="59">
        <v>126</v>
      </c>
      <c r="P179" s="81">
        <v>0.43509999999999999</v>
      </c>
      <c r="Q179" s="81">
        <v>0.48959999999999998</v>
      </c>
      <c r="R179" s="87">
        <f t="shared" si="119"/>
        <v>1.0464250411090401E-2</v>
      </c>
      <c r="S179" s="87">
        <f t="shared" si="120"/>
        <v>1.0900552486187858E-2</v>
      </c>
      <c r="T179" s="87">
        <f t="shared" si="120"/>
        <v>5.8823529411764705E-2</v>
      </c>
      <c r="U179" s="87">
        <f t="shared" si="121"/>
        <v>0</v>
      </c>
      <c r="V179" s="88">
        <f t="shared" si="121"/>
        <v>2.5999999999999968E-2</v>
      </c>
    </row>
    <row r="180" spans="1:22">
      <c r="A180" s="177">
        <v>157</v>
      </c>
      <c r="B180" s="173" t="s">
        <v>236</v>
      </c>
      <c r="C180" s="174" t="s">
        <v>32</v>
      </c>
      <c r="D180" s="57">
        <v>13985617292.440001</v>
      </c>
      <c r="E180" s="58">
        <f t="shared" si="117"/>
        <v>0.1682204961696577</v>
      </c>
      <c r="F180" s="57">
        <v>424.27</v>
      </c>
      <c r="G180" s="57">
        <v>420.32</v>
      </c>
      <c r="H180" s="59">
        <v>5550</v>
      </c>
      <c r="I180" s="81">
        <v>-1.1999999999999999E-3</v>
      </c>
      <c r="J180" s="81">
        <v>0.42770000000000002</v>
      </c>
      <c r="K180" s="57">
        <v>14081241211.639999</v>
      </c>
      <c r="L180" s="85">
        <f t="shared" si="118"/>
        <v>0.16791778222510684</v>
      </c>
      <c r="M180" s="57">
        <v>422.73</v>
      </c>
      <c r="N180" s="57">
        <v>426.71</v>
      </c>
      <c r="O180" s="59">
        <v>5549</v>
      </c>
      <c r="P180" s="81">
        <v>5.7000000000000002E-3</v>
      </c>
      <c r="Q180" s="81">
        <v>0.43509999999999999</v>
      </c>
      <c r="R180" s="87">
        <f t="shared" si="119"/>
        <v>6.8373041532953198E-3</v>
      </c>
      <c r="S180" s="87">
        <f t="shared" si="120"/>
        <v>1.5202702702702671E-2</v>
      </c>
      <c r="T180" s="87">
        <f t="shared" si="120"/>
        <v>-1.8018018018018018E-4</v>
      </c>
      <c r="U180" s="87">
        <f t="shared" si="121"/>
        <v>6.8999999999999999E-3</v>
      </c>
      <c r="V180" s="88">
        <f t="shared" si="121"/>
        <v>7.3999999999999622E-3</v>
      </c>
    </row>
    <row r="181" spans="1:22">
      <c r="A181" s="177">
        <v>158</v>
      </c>
      <c r="B181" s="173" t="s">
        <v>237</v>
      </c>
      <c r="C181" s="174" t="s">
        <v>92</v>
      </c>
      <c r="D181" s="57">
        <v>4373993515.7299995</v>
      </c>
      <c r="E181" s="58">
        <f t="shared" si="117"/>
        <v>5.2610860434219385E-2</v>
      </c>
      <c r="F181" s="57">
        <v>3.0225</v>
      </c>
      <c r="G181" s="57">
        <v>3.0811000000000002</v>
      </c>
      <c r="H181" s="59">
        <v>10207</v>
      </c>
      <c r="I181" s="81">
        <v>6.3E-3</v>
      </c>
      <c r="J181" s="81">
        <v>0.3049</v>
      </c>
      <c r="K181" s="57">
        <v>4400642941.1000004</v>
      </c>
      <c r="L181" s="85">
        <f t="shared" si="118"/>
        <v>5.2477348546749361E-2</v>
      </c>
      <c r="M181" s="57">
        <v>3.0373999999999999</v>
      </c>
      <c r="N181" s="57">
        <v>3.0964</v>
      </c>
      <c r="O181" s="59">
        <v>10207</v>
      </c>
      <c r="P181" s="81">
        <v>5.0000000000000001E-3</v>
      </c>
      <c r="Q181" s="81">
        <v>0.31140000000000001</v>
      </c>
      <c r="R181" s="87">
        <f t="shared" si="119"/>
        <v>6.092698874418238E-3</v>
      </c>
      <c r="S181" s="87">
        <f t="shared" si="120"/>
        <v>4.9657589821816457E-3</v>
      </c>
      <c r="T181" s="87">
        <f t="shared" si="120"/>
        <v>0</v>
      </c>
      <c r="U181" s="87">
        <f t="shared" si="121"/>
        <v>-1.2999999999999999E-3</v>
      </c>
      <c r="V181" s="88">
        <f t="shared" si="121"/>
        <v>6.5000000000000058E-3</v>
      </c>
    </row>
    <row r="182" spans="1:22">
      <c r="A182" s="177">
        <v>159</v>
      </c>
      <c r="B182" s="173" t="s">
        <v>238</v>
      </c>
      <c r="C182" s="174" t="s">
        <v>94</v>
      </c>
      <c r="D182" s="57">
        <v>291182777.56</v>
      </c>
      <c r="E182" s="58">
        <f t="shared" si="117"/>
        <v>3.5023774991812654E-3</v>
      </c>
      <c r="F182" s="57">
        <v>333.2</v>
      </c>
      <c r="G182" s="57">
        <v>335.36</v>
      </c>
      <c r="H182" s="59">
        <v>32</v>
      </c>
      <c r="I182" s="81">
        <v>3.8E-3</v>
      </c>
      <c r="J182" s="81">
        <v>0.15909999999999999</v>
      </c>
      <c r="K182" s="57">
        <v>305616172.81999999</v>
      </c>
      <c r="L182" s="85">
        <f t="shared" si="118"/>
        <v>3.6444507398707133E-3</v>
      </c>
      <c r="M182" s="57">
        <v>348.38</v>
      </c>
      <c r="N182" s="57">
        <v>350.78</v>
      </c>
      <c r="O182" s="59">
        <v>32</v>
      </c>
      <c r="P182" s="81">
        <v>4.5199999999999997E-2</v>
      </c>
      <c r="Q182" s="81">
        <v>0.20549999999999999</v>
      </c>
      <c r="R182" s="87">
        <f t="shared" si="119"/>
        <v>4.9568162584842097E-2</v>
      </c>
      <c r="S182" s="87">
        <f t="shared" si="120"/>
        <v>4.5980438931297586E-2</v>
      </c>
      <c r="T182" s="87">
        <f t="shared" si="120"/>
        <v>0</v>
      </c>
      <c r="U182" s="87">
        <f t="shared" si="121"/>
        <v>4.1399999999999999E-2</v>
      </c>
      <c r="V182" s="88">
        <f t="shared" si="121"/>
        <v>4.6399999999999997E-2</v>
      </c>
    </row>
    <row r="183" spans="1:22">
      <c r="A183" s="177">
        <v>160</v>
      </c>
      <c r="B183" s="173" t="s">
        <v>239</v>
      </c>
      <c r="C183" s="173" t="s">
        <v>96</v>
      </c>
      <c r="D183" s="78">
        <v>72087139.989999995</v>
      </c>
      <c r="E183" s="58">
        <f t="shared" si="117"/>
        <v>8.6707180691441026E-4</v>
      </c>
      <c r="F183" s="57">
        <v>1.4259999999999999</v>
      </c>
      <c r="G183" s="57">
        <v>1.4259999999999999</v>
      </c>
      <c r="H183" s="59">
        <v>23</v>
      </c>
      <c r="I183" s="81">
        <v>1.8700000000000001E-2</v>
      </c>
      <c r="J183" s="81">
        <v>0.17979999999999999</v>
      </c>
      <c r="K183" s="78">
        <v>72248685.439999998</v>
      </c>
      <c r="L183" s="85">
        <f t="shared" si="118"/>
        <v>8.6156034439177176E-4</v>
      </c>
      <c r="M183" s="57">
        <v>1.43</v>
      </c>
      <c r="N183" s="57">
        <v>1.43</v>
      </c>
      <c r="O183" s="59">
        <v>23</v>
      </c>
      <c r="P183" s="81">
        <v>2.2000000000000001E-3</v>
      </c>
      <c r="Q183" s="81">
        <v>0.1825</v>
      </c>
      <c r="R183" s="87">
        <f t="shared" si="119"/>
        <v>2.2409746041029337E-3</v>
      </c>
      <c r="S183" s="87">
        <f t="shared" si="120"/>
        <v>2.8050490883590488E-3</v>
      </c>
      <c r="T183" s="87">
        <f t="shared" si="120"/>
        <v>0</v>
      </c>
      <c r="U183" s="87">
        <f t="shared" si="121"/>
        <v>-1.6500000000000001E-2</v>
      </c>
      <c r="V183" s="88">
        <f t="shared" si="121"/>
        <v>2.7000000000000079E-3</v>
      </c>
    </row>
    <row r="184" spans="1:22" ht="13.5" customHeight="1">
      <c r="A184" s="177">
        <v>161</v>
      </c>
      <c r="B184" s="173" t="s">
        <v>240</v>
      </c>
      <c r="C184" s="174" t="s">
        <v>38</v>
      </c>
      <c r="D184" s="63">
        <v>5443163778.3599997</v>
      </c>
      <c r="E184" s="58">
        <f t="shared" si="117"/>
        <v>6.5470954365624487E-2</v>
      </c>
      <c r="F184" s="57">
        <v>6.1053459999999999</v>
      </c>
      <c r="G184" s="57">
        <v>6.2479060000000004</v>
      </c>
      <c r="H184" s="59">
        <v>3817</v>
      </c>
      <c r="I184" s="81">
        <v>1.0800000000000001E-2</v>
      </c>
      <c r="J184" s="81">
        <v>0.44019999999999998</v>
      </c>
      <c r="K184" s="63">
        <v>5579070809.0600004</v>
      </c>
      <c r="L184" s="85">
        <f t="shared" si="118"/>
        <v>6.6530015575599857E-2</v>
      </c>
      <c r="M184" s="57">
        <v>6.1699729999999997</v>
      </c>
      <c r="N184" s="57">
        <v>6.3135760000000003</v>
      </c>
      <c r="O184" s="59">
        <v>3923</v>
      </c>
      <c r="P184" s="81">
        <v>1.06E-2</v>
      </c>
      <c r="Q184" s="81">
        <v>0.45540000000000003</v>
      </c>
      <c r="R184" s="87">
        <f t="shared" si="119"/>
        <v>2.4968389016754688E-2</v>
      </c>
      <c r="S184" s="87">
        <f t="shared" si="120"/>
        <v>1.0510721512135408E-2</v>
      </c>
      <c r="T184" s="87">
        <f t="shared" si="120"/>
        <v>2.7770500392978778E-2</v>
      </c>
      <c r="U184" s="87">
        <f t="shared" si="121"/>
        <v>-2.0000000000000052E-4</v>
      </c>
      <c r="V184" s="88">
        <f t="shared" si="121"/>
        <v>1.5200000000000047E-2</v>
      </c>
    </row>
    <row r="185" spans="1:22" ht="13.5" customHeight="1">
      <c r="A185" s="177">
        <v>162</v>
      </c>
      <c r="B185" s="173" t="s">
        <v>241</v>
      </c>
      <c r="C185" s="174" t="s">
        <v>242</v>
      </c>
      <c r="D185" s="63">
        <v>99954691.489999995</v>
      </c>
      <c r="E185" s="58">
        <f t="shared" si="117"/>
        <v>1.2022656880523958E-3</v>
      </c>
      <c r="F185" s="57">
        <v>2.7823000000000002</v>
      </c>
      <c r="G185" s="57">
        <v>2.7968000000000002</v>
      </c>
      <c r="H185" s="59">
        <v>111</v>
      </c>
      <c r="I185" s="81">
        <v>3.0000000000000001E-3</v>
      </c>
      <c r="J185" s="81">
        <v>0.32300000000000001</v>
      </c>
      <c r="K185" s="63">
        <v>100347180.88</v>
      </c>
      <c r="L185" s="85">
        <f t="shared" si="118"/>
        <v>1.1966328686978558E-3</v>
      </c>
      <c r="M185" s="57">
        <v>2.79</v>
      </c>
      <c r="N185" s="57">
        <v>2.8</v>
      </c>
      <c r="O185" s="59">
        <v>111</v>
      </c>
      <c r="P185" s="81">
        <v>3.0000000000000001E-3</v>
      </c>
      <c r="Q185" s="81">
        <v>0.32700000000000001</v>
      </c>
      <c r="R185" s="87">
        <f t="shared" si="119"/>
        <v>3.9266730170365973E-3</v>
      </c>
      <c r="S185" s="87">
        <f t="shared" si="120"/>
        <v>1.1441647597252745E-3</v>
      </c>
      <c r="T185" s="87">
        <f t="shared" si="120"/>
        <v>0</v>
      </c>
      <c r="U185" s="87">
        <f>P185-I185</f>
        <v>0</v>
      </c>
      <c r="V185" s="88">
        <f>Q185-J185</f>
        <v>4.0000000000000036E-3</v>
      </c>
    </row>
    <row r="186" spans="1:22">
      <c r="A186" s="177">
        <v>163</v>
      </c>
      <c r="B186" s="173" t="s">
        <v>243</v>
      </c>
      <c r="C186" s="174" t="s">
        <v>152</v>
      </c>
      <c r="D186" s="63">
        <v>929943254.59000003</v>
      </c>
      <c r="E186" s="58">
        <f t="shared" si="117"/>
        <v>1.1185456632029977E-2</v>
      </c>
      <c r="F186" s="57">
        <v>348.78</v>
      </c>
      <c r="G186" s="57">
        <v>353.04</v>
      </c>
      <c r="H186" s="59">
        <v>158</v>
      </c>
      <c r="I186" s="81">
        <v>1.37E-2</v>
      </c>
      <c r="J186" s="81">
        <v>0.44629999999999997</v>
      </c>
      <c r="K186" s="63">
        <v>959432147.90999997</v>
      </c>
      <c r="L186" s="85">
        <f t="shared" si="118"/>
        <v>1.1441158918529339E-2</v>
      </c>
      <c r="M186" s="57">
        <v>359.89</v>
      </c>
      <c r="N186" s="57">
        <v>364.19</v>
      </c>
      <c r="O186" s="59">
        <v>158</v>
      </c>
      <c r="P186" s="81">
        <v>1.37E-2</v>
      </c>
      <c r="Q186" s="81">
        <v>0.44629999999999997</v>
      </c>
      <c r="R186" s="87">
        <f t="shared" si="119"/>
        <v>3.1710422302058852E-2</v>
      </c>
      <c r="S186" s="87">
        <f t="shared" si="120"/>
        <v>3.1582823476093293E-2</v>
      </c>
      <c r="T186" s="87">
        <f t="shared" si="120"/>
        <v>0</v>
      </c>
      <c r="U186" s="87">
        <f t="shared" si="121"/>
        <v>0</v>
      </c>
      <c r="V186" s="88">
        <f t="shared" si="121"/>
        <v>0</v>
      </c>
    </row>
    <row r="187" spans="1:22">
      <c r="A187" s="177">
        <v>164</v>
      </c>
      <c r="B187" s="173" t="s">
        <v>244</v>
      </c>
      <c r="C187" s="174" t="s">
        <v>34</v>
      </c>
      <c r="D187" s="63">
        <v>2143762415.6199999</v>
      </c>
      <c r="E187" s="58">
        <f t="shared" si="117"/>
        <v>2.5785402938231262E-2</v>
      </c>
      <c r="F187" s="57">
        <v>552.22</v>
      </c>
      <c r="G187" s="57">
        <v>552.22</v>
      </c>
      <c r="H187" s="59">
        <v>823</v>
      </c>
      <c r="I187" s="81">
        <v>6.0299999999999998E-3</v>
      </c>
      <c r="J187" s="81">
        <v>-1.4999999999999999E-2</v>
      </c>
      <c r="K187" s="63">
        <v>2147604019.8400002</v>
      </c>
      <c r="L187" s="85">
        <f t="shared" si="118"/>
        <v>2.5610022489434846E-2</v>
      </c>
      <c r="M187" s="57">
        <v>552.22</v>
      </c>
      <c r="N187" s="57">
        <v>552.22</v>
      </c>
      <c r="O187" s="59">
        <v>823</v>
      </c>
      <c r="P187" s="81">
        <v>6.0299999999999998E-3</v>
      </c>
      <c r="Q187" s="81">
        <v>-1.4999999999999999E-2</v>
      </c>
      <c r="R187" s="87">
        <f t="shared" si="119"/>
        <v>1.7919915901171504E-3</v>
      </c>
      <c r="S187" s="87">
        <f t="shared" si="120"/>
        <v>0</v>
      </c>
      <c r="T187" s="87">
        <f t="shared" si="120"/>
        <v>0</v>
      </c>
      <c r="U187" s="87">
        <f t="shared" si="121"/>
        <v>0</v>
      </c>
      <c r="V187" s="88">
        <f t="shared" si="121"/>
        <v>0</v>
      </c>
    </row>
    <row r="188" spans="1:22">
      <c r="A188" s="177">
        <v>165</v>
      </c>
      <c r="B188" s="173" t="s">
        <v>245</v>
      </c>
      <c r="C188" s="174" t="s">
        <v>106</v>
      </c>
      <c r="D188" s="57">
        <v>47385193.75</v>
      </c>
      <c r="E188" s="58">
        <f t="shared" si="117"/>
        <v>5.6995416341252354E-4</v>
      </c>
      <c r="F188" s="57">
        <v>2.63</v>
      </c>
      <c r="G188" s="57">
        <v>2.63</v>
      </c>
      <c r="H188" s="59">
        <v>8</v>
      </c>
      <c r="I188" s="81">
        <v>2.7636000000000001E-2</v>
      </c>
      <c r="J188" s="81">
        <v>0.40568799999999999</v>
      </c>
      <c r="K188" s="57">
        <v>47066641.969999999</v>
      </c>
      <c r="L188" s="85">
        <f t="shared" si="118"/>
        <v>5.612662987302848E-4</v>
      </c>
      <c r="M188" s="57">
        <v>2.62</v>
      </c>
      <c r="N188" s="57">
        <v>2.62</v>
      </c>
      <c r="O188" s="59">
        <v>8</v>
      </c>
      <c r="P188" s="81">
        <v>-6.7229999999999998E-3</v>
      </c>
      <c r="Q188" s="81">
        <v>0.39623799999999998</v>
      </c>
      <c r="R188" s="87">
        <f t="shared" si="119"/>
        <v>-6.7226016143492329E-3</v>
      </c>
      <c r="S188" s="87">
        <f t="shared" si="120"/>
        <v>-3.8022813688212121E-3</v>
      </c>
      <c r="T188" s="87">
        <f t="shared" si="120"/>
        <v>0</v>
      </c>
      <c r="U188" s="87">
        <f t="shared" si="121"/>
        <v>-3.4359000000000001E-2</v>
      </c>
      <c r="V188" s="88">
        <f t="shared" si="121"/>
        <v>-9.4500000000000139E-3</v>
      </c>
    </row>
    <row r="189" spans="1:22">
      <c r="A189" s="177">
        <v>166</v>
      </c>
      <c r="B189" s="173" t="s">
        <v>246</v>
      </c>
      <c r="C189" s="174" t="s">
        <v>46</v>
      </c>
      <c r="D189" s="57">
        <v>418929947.30000001</v>
      </c>
      <c r="E189" s="58">
        <f t="shared" si="117"/>
        <v>5.0389340793151041E-3</v>
      </c>
      <c r="F189" s="57">
        <v>3.51</v>
      </c>
      <c r="G189" s="57">
        <v>3.58</v>
      </c>
      <c r="H189" s="59">
        <v>138</v>
      </c>
      <c r="I189" s="81">
        <v>1.2999999999999999E-3</v>
      </c>
      <c r="J189" s="81">
        <v>0.34310000000000002</v>
      </c>
      <c r="K189" s="57">
        <v>417864326.83999997</v>
      </c>
      <c r="L189" s="85">
        <f t="shared" si="118"/>
        <v>4.9830018518508042E-3</v>
      </c>
      <c r="M189" s="57">
        <v>3.51</v>
      </c>
      <c r="N189" s="57">
        <v>3.58</v>
      </c>
      <c r="O189" s="59">
        <v>139</v>
      </c>
      <c r="P189" s="81">
        <v>2.2000000000000001E-3</v>
      </c>
      <c r="Q189" s="81">
        <v>0.3402</v>
      </c>
      <c r="R189" s="87">
        <f t="shared" si="119"/>
        <v>-2.5436721983423554E-3</v>
      </c>
      <c r="S189" s="87">
        <f t="shared" si="120"/>
        <v>0</v>
      </c>
      <c r="T189" s="87">
        <f t="shared" si="120"/>
        <v>7.246376811594203E-3</v>
      </c>
      <c r="U189" s="87">
        <f t="shared" si="121"/>
        <v>9.0000000000000019E-4</v>
      </c>
      <c r="V189" s="88">
        <f t="shared" si="121"/>
        <v>-2.9000000000000137E-3</v>
      </c>
    </row>
    <row r="190" spans="1:22">
      <c r="A190" s="177">
        <v>167</v>
      </c>
      <c r="B190" s="173" t="s">
        <v>328</v>
      </c>
      <c r="C190" s="174" t="s">
        <v>329</v>
      </c>
      <c r="D190" s="57">
        <v>203951999.28999999</v>
      </c>
      <c r="E190" s="58">
        <f t="shared" si="117"/>
        <v>2.4531563961716109E-3</v>
      </c>
      <c r="F190" s="57">
        <v>108.31</v>
      </c>
      <c r="G190" s="57">
        <v>108.79</v>
      </c>
      <c r="H190" s="59">
        <v>99</v>
      </c>
      <c r="I190" s="81">
        <v>-8.0000000000000002E-3</v>
      </c>
      <c r="J190" s="81">
        <v>8.3099999999999993E-2</v>
      </c>
      <c r="K190" s="57">
        <v>201649397.28440401</v>
      </c>
      <c r="L190" s="58">
        <f t="shared" si="118"/>
        <v>2.4046544668971672E-3</v>
      </c>
      <c r="M190" s="57">
        <v>112.27</v>
      </c>
      <c r="N190" s="57">
        <v>112.84</v>
      </c>
      <c r="O190" s="59">
        <v>99</v>
      </c>
      <c r="P190" s="81">
        <v>3.6900000000000002E-2</v>
      </c>
      <c r="Q190" s="81">
        <v>0.1227</v>
      </c>
      <c r="R190" s="87">
        <f t="shared" ref="R190" si="127">((K190-D190)/D190)</f>
        <v>-1.1289921224659853E-2</v>
      </c>
      <c r="S190" s="87">
        <f t="shared" ref="S190" si="128">((N190-G190)/G190)</f>
        <v>3.7227686368232343E-2</v>
      </c>
      <c r="T190" s="87">
        <f t="shared" ref="T190" si="129">((O190-H190)/H190)</f>
        <v>0</v>
      </c>
      <c r="U190" s="87">
        <f t="shared" ref="U190" si="130">P190-I190</f>
        <v>4.4900000000000002E-2</v>
      </c>
      <c r="V190" s="88">
        <f t="shared" ref="V190" si="131">Q190-J190</f>
        <v>3.960000000000001E-2</v>
      </c>
    </row>
    <row r="191" spans="1:22">
      <c r="A191" s="177">
        <v>168</v>
      </c>
      <c r="B191" s="173" t="s">
        <v>247</v>
      </c>
      <c r="C191" s="174" t="s">
        <v>50</v>
      </c>
      <c r="D191" s="63">
        <v>4689462494.8299999</v>
      </c>
      <c r="E191" s="58">
        <f t="shared" si="117"/>
        <v>5.6405354955317413E-2</v>
      </c>
      <c r="F191" s="57">
        <v>9662.2199999999993</v>
      </c>
      <c r="G191" s="57">
        <v>9753.7000000000007</v>
      </c>
      <c r="H191" s="59">
        <v>3559</v>
      </c>
      <c r="I191" s="81">
        <v>1.55E-2</v>
      </c>
      <c r="J191" s="81">
        <v>0.51529999999999998</v>
      </c>
      <c r="K191" s="63">
        <v>4772178433.3999996</v>
      </c>
      <c r="L191" s="58">
        <f t="shared" si="118"/>
        <v>5.6907882400068888E-2</v>
      </c>
      <c r="M191" s="57">
        <v>9674.01</v>
      </c>
      <c r="N191" s="57">
        <v>9764.02</v>
      </c>
      <c r="O191" s="59">
        <v>3644</v>
      </c>
      <c r="P191" s="81">
        <v>1.1000000000000001E-3</v>
      </c>
      <c r="Q191" s="81">
        <v>0.51690000000000003</v>
      </c>
      <c r="R191" s="87">
        <f t="shared" si="119"/>
        <v>1.7638682186112305E-2</v>
      </c>
      <c r="S191" s="87">
        <f t="shared" si="120"/>
        <v>1.0580600182494549E-3</v>
      </c>
      <c r="T191" s="87">
        <f t="shared" si="120"/>
        <v>2.3883113234054509E-2</v>
      </c>
      <c r="U191" s="87">
        <f t="shared" si="121"/>
        <v>-1.44E-2</v>
      </c>
      <c r="V191" s="88">
        <f t="shared" si="121"/>
        <v>1.6000000000000458E-3</v>
      </c>
    </row>
    <row r="192" spans="1:22">
      <c r="A192" s="177">
        <v>169</v>
      </c>
      <c r="B192" s="173" t="s">
        <v>248</v>
      </c>
      <c r="C192" s="173" t="s">
        <v>117</v>
      </c>
      <c r="D192" s="63">
        <v>156989398.22</v>
      </c>
      <c r="E192" s="58">
        <f t="shared" si="117"/>
        <v>1.888285222577899E-3</v>
      </c>
      <c r="F192" s="57">
        <v>1412.94</v>
      </c>
      <c r="G192" s="57">
        <v>1433.35</v>
      </c>
      <c r="H192" s="59">
        <v>48</v>
      </c>
      <c r="I192" s="81">
        <v>4.7999999999999996E-3</v>
      </c>
      <c r="J192" s="81">
        <v>0.26719999999999999</v>
      </c>
      <c r="K192" s="63">
        <v>159940243.08000001</v>
      </c>
      <c r="L192" s="58">
        <f t="shared" si="118"/>
        <v>1.9072758219877239E-3</v>
      </c>
      <c r="M192" s="57">
        <v>1427.79</v>
      </c>
      <c r="N192" s="57">
        <v>1448.45</v>
      </c>
      <c r="O192" s="59">
        <v>51</v>
      </c>
      <c r="P192" s="81">
        <v>4.7999999999999996E-3</v>
      </c>
      <c r="Q192" s="81">
        <v>0.28139999999999998</v>
      </c>
      <c r="R192" s="87">
        <f t="shared" si="119"/>
        <v>1.8796459464509783E-2</v>
      </c>
      <c r="S192" s="87">
        <f t="shared" si="120"/>
        <v>1.0534761223706796E-2</v>
      </c>
      <c r="T192" s="87">
        <f t="shared" si="120"/>
        <v>6.25E-2</v>
      </c>
      <c r="U192" s="87">
        <f t="shared" si="121"/>
        <v>0</v>
      </c>
      <c r="V192" s="88">
        <f t="shared" si="121"/>
        <v>1.419999999999999E-2</v>
      </c>
    </row>
    <row r="193" spans="1:22">
      <c r="A193" s="177">
        <v>170</v>
      </c>
      <c r="B193" s="173" t="s">
        <v>249</v>
      </c>
      <c r="C193" s="173" t="s">
        <v>96</v>
      </c>
      <c r="D193" s="63">
        <v>795788760.49000001</v>
      </c>
      <c r="E193" s="58">
        <f t="shared" si="117"/>
        <v>9.5718320712399121E-3</v>
      </c>
      <c r="F193" s="57">
        <v>1.5172000000000001</v>
      </c>
      <c r="G193" s="57">
        <v>1.5172000000000001</v>
      </c>
      <c r="H193" s="59">
        <v>46</v>
      </c>
      <c r="I193" s="81">
        <v>2.1499999999999998E-2</v>
      </c>
      <c r="J193" s="81">
        <v>0.1288</v>
      </c>
      <c r="K193" s="63">
        <v>798651479.64999998</v>
      </c>
      <c r="L193" s="58">
        <f t="shared" si="118"/>
        <v>9.5238610871014907E-3</v>
      </c>
      <c r="M193" s="57">
        <v>1.5209999999999999</v>
      </c>
      <c r="N193" s="57">
        <v>1.5209999999999999</v>
      </c>
      <c r="O193" s="59">
        <v>46</v>
      </c>
      <c r="P193" s="81">
        <v>3.5999999999999999E-3</v>
      </c>
      <c r="Q193" s="81">
        <v>0.13289999999999999</v>
      </c>
      <c r="R193" s="87">
        <f t="shared" si="119"/>
        <v>3.5973355017445488E-3</v>
      </c>
      <c r="S193" s="87">
        <f t="shared" si="120"/>
        <v>2.5046137621933845E-3</v>
      </c>
      <c r="T193" s="87">
        <f t="shared" si="120"/>
        <v>0</v>
      </c>
      <c r="U193" s="87">
        <f t="shared" si="121"/>
        <v>-1.7899999999999999E-2</v>
      </c>
      <c r="V193" s="88">
        <f t="shared" si="121"/>
        <v>4.0999999999999925E-3</v>
      </c>
    </row>
    <row r="194" spans="1:22">
      <c r="A194" s="177">
        <v>171</v>
      </c>
      <c r="B194" s="173" t="s">
        <v>250</v>
      </c>
      <c r="C194" s="174" t="s">
        <v>53</v>
      </c>
      <c r="D194" s="57">
        <v>3621071556.27</v>
      </c>
      <c r="E194" s="58">
        <f t="shared" si="117"/>
        <v>4.3554634816930608E-2</v>
      </c>
      <c r="F194" s="57">
        <v>2.2168999999999999</v>
      </c>
      <c r="G194" s="57">
        <v>2.2334000000000001</v>
      </c>
      <c r="H194" s="59">
        <v>2905</v>
      </c>
      <c r="I194" s="81">
        <v>5.8999999999999999E-3</v>
      </c>
      <c r="J194" s="81">
        <v>0.32169999999999999</v>
      </c>
      <c r="K194" s="57">
        <v>3636673325.6399999</v>
      </c>
      <c r="L194" s="85">
        <f t="shared" si="118"/>
        <v>4.3367066179782497E-2</v>
      </c>
      <c r="M194" s="57">
        <v>2.2075999999999998</v>
      </c>
      <c r="N194" s="57">
        <v>2.2238000000000002</v>
      </c>
      <c r="O194" s="59">
        <v>2916</v>
      </c>
      <c r="P194" s="81">
        <v>-4.1999999999999997E-3</v>
      </c>
      <c r="Q194" s="81">
        <v>0.317</v>
      </c>
      <c r="R194" s="87">
        <f t="shared" si="119"/>
        <v>4.3086056509943661E-3</v>
      </c>
      <c r="S194" s="87">
        <f t="shared" si="120"/>
        <v>-4.2983791528610326E-3</v>
      </c>
      <c r="T194" s="87">
        <f t="shared" si="120"/>
        <v>3.7865748709122204E-3</v>
      </c>
      <c r="U194" s="87">
        <f t="shared" si="121"/>
        <v>-1.01E-2</v>
      </c>
      <c r="V194" s="88">
        <f t="shared" si="121"/>
        <v>-4.699999999999982E-3</v>
      </c>
    </row>
    <row r="195" spans="1:22">
      <c r="A195" s="177">
        <v>172</v>
      </c>
      <c r="B195" s="173" t="s">
        <v>251</v>
      </c>
      <c r="C195" s="174" t="s">
        <v>53</v>
      </c>
      <c r="D195" s="57">
        <v>2433171564.8299999</v>
      </c>
      <c r="E195" s="58">
        <f t="shared" si="117"/>
        <v>2.9266447046485348E-2</v>
      </c>
      <c r="F195" s="57">
        <v>1.7729999999999999</v>
      </c>
      <c r="G195" s="57">
        <v>1.7850999999999999</v>
      </c>
      <c r="H195" s="59">
        <v>1442</v>
      </c>
      <c r="I195" s="81">
        <v>6.4000000000000003E-3</v>
      </c>
      <c r="J195" s="81">
        <v>0.36670000000000003</v>
      </c>
      <c r="K195" s="57">
        <v>2443096319.2199998</v>
      </c>
      <c r="L195" s="85">
        <f t="shared" si="118"/>
        <v>2.9133746771316384E-2</v>
      </c>
      <c r="M195" s="57">
        <v>1.7794000000000001</v>
      </c>
      <c r="N195" s="57">
        <v>1.7916000000000001</v>
      </c>
      <c r="O195" s="59">
        <v>1459</v>
      </c>
      <c r="P195" s="81">
        <v>3.5999999999999999E-3</v>
      </c>
      <c r="Q195" s="81">
        <v>0.37090000000000001</v>
      </c>
      <c r="R195" s="87">
        <f t="shared" si="119"/>
        <v>4.0789373562703487E-3</v>
      </c>
      <c r="S195" s="87">
        <f t="shared" si="120"/>
        <v>3.6412525908913634E-3</v>
      </c>
      <c r="T195" s="87">
        <f t="shared" si="120"/>
        <v>1.1789181692094313E-2</v>
      </c>
      <c r="U195" s="87">
        <f t="shared" si="121"/>
        <v>-2.8000000000000004E-3</v>
      </c>
      <c r="V195" s="88">
        <f t="shared" si="121"/>
        <v>4.1999999999999815E-3</v>
      </c>
    </row>
    <row r="196" spans="1:22">
      <c r="A196" s="177">
        <v>173</v>
      </c>
      <c r="B196" s="173" t="s">
        <v>252</v>
      </c>
      <c r="C196" s="174" t="s">
        <v>122</v>
      </c>
      <c r="D196" s="63">
        <v>11828211405.719999</v>
      </c>
      <c r="E196" s="58">
        <f t="shared" si="117"/>
        <v>0.14227098810614469</v>
      </c>
      <c r="F196" s="57">
        <v>681.04</v>
      </c>
      <c r="G196" s="57">
        <v>687.74</v>
      </c>
      <c r="H196" s="59">
        <v>39</v>
      </c>
      <c r="I196" s="81">
        <v>-8.2000000000000007E-3</v>
      </c>
      <c r="J196" s="81">
        <v>0.31490000000000001</v>
      </c>
      <c r="K196" s="63">
        <v>11899483496.85</v>
      </c>
      <c r="L196" s="85">
        <f t="shared" si="118"/>
        <v>0.14190047939549461</v>
      </c>
      <c r="M196" s="57">
        <v>685.17</v>
      </c>
      <c r="N196" s="57">
        <v>691.86</v>
      </c>
      <c r="O196" s="59">
        <v>39</v>
      </c>
      <c r="P196" s="81">
        <v>6.0000000000000001E-3</v>
      </c>
      <c r="Q196" s="81">
        <v>0.32279999999999998</v>
      </c>
      <c r="R196" s="87">
        <f t="shared" si="119"/>
        <v>6.0256017317660239E-3</v>
      </c>
      <c r="S196" s="87">
        <f t="shared" si="120"/>
        <v>5.9906359961613464E-3</v>
      </c>
      <c r="T196" s="87">
        <f t="shared" si="120"/>
        <v>0</v>
      </c>
      <c r="U196" s="87">
        <f t="shared" si="121"/>
        <v>1.4200000000000001E-2</v>
      </c>
      <c r="V196" s="88">
        <f t="shared" si="121"/>
        <v>7.8999999999999626E-3</v>
      </c>
    </row>
    <row r="197" spans="1:22">
      <c r="A197" s="66"/>
      <c r="B197" s="67"/>
      <c r="C197" s="68" t="s">
        <v>56</v>
      </c>
      <c r="D197" s="110">
        <f>SUM(D168:D196)</f>
        <v>83138604455.992661</v>
      </c>
      <c r="E197" s="70">
        <f>(D197/$D$231)</f>
        <v>1.1052100081261288E-2</v>
      </c>
      <c r="F197" s="71"/>
      <c r="G197" s="111"/>
      <c r="H197" s="73">
        <f>SUM(H168:H196)</f>
        <v>78338</v>
      </c>
      <c r="I197" s="129"/>
      <c r="J197" s="129"/>
      <c r="K197" s="110">
        <f>SUM(K168:K196)</f>
        <v>83857951344.08696</v>
      </c>
      <c r="L197" s="70">
        <f>(K197/$K$231)</f>
        <v>1.1029318649317948E-2</v>
      </c>
      <c r="M197" s="71"/>
      <c r="N197" s="111"/>
      <c r="O197" s="73">
        <f>SUM(O168:O196)</f>
        <v>78688</v>
      </c>
      <c r="P197" s="129"/>
      <c r="Q197" s="129"/>
      <c r="R197" s="87">
        <f t="shared" ref="R197" si="132">((K197-D197)/D197)</f>
        <v>8.652381078576651E-3</v>
      </c>
      <c r="S197" s="87" t="e">
        <f t="shared" ref="S197" si="133">((N197-G197)/G197)</f>
        <v>#DIV/0!</v>
      </c>
      <c r="T197" s="87">
        <f t="shared" ref="T197" si="134">((O197-H197)/H197)</f>
        <v>4.4678189384462202E-3</v>
      </c>
      <c r="U197" s="87">
        <f t="shared" ref="U197" si="135">P197-I197</f>
        <v>0</v>
      </c>
      <c r="V197" s="88">
        <f t="shared" ref="V197" si="136">Q197-J197</f>
        <v>0</v>
      </c>
    </row>
    <row r="198" spans="1:22" ht="5.25" customHeight="1">
      <c r="A198" s="66"/>
      <c r="B198" s="193"/>
      <c r="C198" s="193"/>
      <c r="D198" s="193"/>
      <c r="E198" s="193"/>
      <c r="F198" s="193"/>
      <c r="G198" s="193"/>
      <c r="H198" s="193"/>
      <c r="I198" s="193"/>
      <c r="J198" s="193"/>
      <c r="K198" s="193"/>
      <c r="L198" s="193"/>
      <c r="M198" s="193"/>
      <c r="N198" s="193"/>
      <c r="O198" s="193"/>
      <c r="P198" s="193"/>
      <c r="Q198" s="193"/>
      <c r="R198" s="193"/>
      <c r="S198" s="193"/>
      <c r="T198" s="193"/>
      <c r="U198" s="193"/>
      <c r="V198" s="193"/>
    </row>
    <row r="199" spans="1:22" ht="15" customHeight="1">
      <c r="A199" s="195" t="s">
        <v>253</v>
      </c>
      <c r="B199" s="195"/>
      <c r="C199" s="195"/>
      <c r="D199" s="195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  <c r="P199" s="195"/>
      <c r="Q199" s="195"/>
      <c r="R199" s="195"/>
      <c r="S199" s="195"/>
      <c r="T199" s="195"/>
      <c r="U199" s="195"/>
      <c r="V199" s="195"/>
    </row>
    <row r="200" spans="1:22">
      <c r="A200" s="172">
        <v>174</v>
      </c>
      <c r="B200" s="173" t="s">
        <v>254</v>
      </c>
      <c r="C200" s="174" t="s">
        <v>255</v>
      </c>
      <c r="D200" s="112">
        <v>1431678153.51</v>
      </c>
      <c r="E200" s="58">
        <f>(D200/$D$202)</f>
        <v>0.17154621510927701</v>
      </c>
      <c r="F200" s="113">
        <v>39.871600000000001</v>
      </c>
      <c r="G200" s="113">
        <v>40.241700000000002</v>
      </c>
      <c r="H200" s="59">
        <v>1501</v>
      </c>
      <c r="I200" s="81">
        <v>1.46E-2</v>
      </c>
      <c r="J200" s="81">
        <v>4.7399999999999998E-2</v>
      </c>
      <c r="K200" s="112">
        <v>1433468846.46</v>
      </c>
      <c r="L200" s="85">
        <f>(K200/$K$202)</f>
        <v>0.1722335262411952</v>
      </c>
      <c r="M200" s="113">
        <v>40.070500000000003</v>
      </c>
      <c r="N200" s="113">
        <v>40.4437</v>
      </c>
      <c r="O200" s="59">
        <v>1502</v>
      </c>
      <c r="P200" s="81">
        <v>4.4999999999999997E-3</v>
      </c>
      <c r="Q200" s="81">
        <v>0.50490000000000002</v>
      </c>
      <c r="R200" s="87">
        <f>((K200-D200)/D200)</f>
        <v>1.2507650169906292E-3</v>
      </c>
      <c r="S200" s="87">
        <f t="shared" ref="S200:T202" si="137">((N200-G200)/G200)</f>
        <v>5.019668652169222E-3</v>
      </c>
      <c r="T200" s="87">
        <f t="shared" si="137"/>
        <v>6.6622251832111927E-4</v>
      </c>
      <c r="U200" s="87">
        <f t="shared" ref="U200:V202" si="138">P200-I200</f>
        <v>-1.0100000000000001E-2</v>
      </c>
      <c r="V200" s="88">
        <f t="shared" si="138"/>
        <v>0.45750000000000002</v>
      </c>
    </row>
    <row r="201" spans="1:22">
      <c r="A201" s="172">
        <v>175</v>
      </c>
      <c r="B201" s="173" t="s">
        <v>256</v>
      </c>
      <c r="C201" s="174" t="s">
        <v>50</v>
      </c>
      <c r="D201" s="75">
        <v>6914050445.6199999</v>
      </c>
      <c r="E201" s="58">
        <f>(D201/$D$202)</f>
        <v>0.82845378489072297</v>
      </c>
      <c r="F201" s="113">
        <v>4.47</v>
      </c>
      <c r="G201" s="113">
        <v>4.53</v>
      </c>
      <c r="H201" s="59">
        <v>11653</v>
      </c>
      <c r="I201" s="81">
        <v>6.7000000000000002E-3</v>
      </c>
      <c r="J201" s="81">
        <v>0.56210000000000004</v>
      </c>
      <c r="K201" s="75">
        <v>6889352370.4300003</v>
      </c>
      <c r="L201" s="85">
        <f>(K201/$K$202)</f>
        <v>0.82776647375880485</v>
      </c>
      <c r="M201" s="113">
        <v>4.46</v>
      </c>
      <c r="N201" s="113">
        <v>4.5199999999999996</v>
      </c>
      <c r="O201" s="59">
        <v>11711</v>
      </c>
      <c r="P201" s="81">
        <v>-2.2000000000000001E-3</v>
      </c>
      <c r="Q201" s="81">
        <v>0.55859999999999999</v>
      </c>
      <c r="R201" s="87">
        <f>((K201-D201)/D201)</f>
        <v>-3.5721572158394694E-3</v>
      </c>
      <c r="S201" s="87">
        <f t="shared" si="137"/>
        <v>-2.2075055187639457E-3</v>
      </c>
      <c r="T201" s="87">
        <f t="shared" si="137"/>
        <v>4.9772590749163305E-3</v>
      </c>
      <c r="U201" s="87">
        <f t="shared" si="138"/>
        <v>-8.8999999999999999E-3</v>
      </c>
      <c r="V201" s="88">
        <f t="shared" si="138"/>
        <v>-3.5000000000000586E-3</v>
      </c>
    </row>
    <row r="202" spans="1:22">
      <c r="A202" s="66"/>
      <c r="B202" s="67"/>
      <c r="C202" s="102" t="s">
        <v>56</v>
      </c>
      <c r="D202" s="110">
        <f>SUM(D200:D201)</f>
        <v>8345728599.1300001</v>
      </c>
      <c r="E202" s="70">
        <f>(D202/$D$231)</f>
        <v>1.109446427831888E-3</v>
      </c>
      <c r="F202" s="71"/>
      <c r="G202" s="111"/>
      <c r="H202" s="73">
        <f>SUM(H200:H201)</f>
        <v>13154</v>
      </c>
      <c r="I202" s="129"/>
      <c r="J202" s="129"/>
      <c r="K202" s="110">
        <f>SUM(K200:K201)</f>
        <v>8322821216.8900003</v>
      </c>
      <c r="L202" s="70">
        <f>(K202/$K$231)</f>
        <v>1.0946492943254651E-3</v>
      </c>
      <c r="M202" s="71"/>
      <c r="N202" s="111"/>
      <c r="O202" s="73">
        <f>SUM(O200:O201)</f>
        <v>13213</v>
      </c>
      <c r="P202" s="129"/>
      <c r="Q202" s="129"/>
      <c r="R202" s="87">
        <f>((K202-D202)/D202)</f>
        <v>-2.7448031610311113E-3</v>
      </c>
      <c r="S202" s="87" t="e">
        <f t="shared" si="137"/>
        <v>#DIV/0!</v>
      </c>
      <c r="T202" s="87">
        <f t="shared" si="137"/>
        <v>4.4853276569864677E-3</v>
      </c>
      <c r="U202" s="87">
        <f t="shared" si="138"/>
        <v>0</v>
      </c>
      <c r="V202" s="88">
        <f t="shared" si="138"/>
        <v>0</v>
      </c>
    </row>
    <row r="203" spans="1:22" ht="6" customHeight="1">
      <c r="A203" s="66"/>
      <c r="B203" s="193"/>
      <c r="C203" s="193"/>
      <c r="D203" s="193"/>
      <c r="E203" s="193"/>
      <c r="F203" s="193"/>
      <c r="G203" s="193"/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  <c r="R203" s="193"/>
      <c r="S203" s="193"/>
      <c r="T203" s="193"/>
      <c r="U203" s="193"/>
      <c r="V203" s="193"/>
    </row>
    <row r="204" spans="1:22" ht="15" customHeight="1">
      <c r="A204" s="196" t="s">
        <v>257</v>
      </c>
      <c r="B204" s="196"/>
      <c r="C204" s="196"/>
      <c r="D204" s="196"/>
      <c r="E204" s="196"/>
      <c r="F204" s="196"/>
      <c r="G204" s="196"/>
      <c r="H204" s="196"/>
      <c r="I204" s="196"/>
      <c r="J204" s="196"/>
      <c r="K204" s="196"/>
      <c r="L204" s="196"/>
      <c r="M204" s="196"/>
      <c r="N204" s="196"/>
      <c r="O204" s="196"/>
      <c r="P204" s="196"/>
      <c r="Q204" s="196"/>
      <c r="R204" s="196"/>
      <c r="S204" s="196"/>
      <c r="T204" s="196"/>
      <c r="U204" s="196"/>
      <c r="V204" s="196"/>
    </row>
    <row r="205" spans="1:22">
      <c r="A205" s="197" t="s">
        <v>258</v>
      </c>
      <c r="B205" s="197"/>
      <c r="C205" s="197"/>
      <c r="D205" s="197"/>
      <c r="E205" s="197"/>
      <c r="F205" s="197"/>
      <c r="G205" s="197"/>
      <c r="H205" s="197"/>
      <c r="I205" s="197"/>
      <c r="J205" s="197"/>
      <c r="K205" s="197"/>
      <c r="L205" s="197"/>
      <c r="M205" s="197"/>
      <c r="N205" s="197"/>
      <c r="O205" s="197"/>
      <c r="P205" s="197"/>
      <c r="Q205" s="197"/>
      <c r="R205" s="197"/>
      <c r="S205" s="197"/>
      <c r="T205" s="197"/>
      <c r="U205" s="197"/>
      <c r="V205" s="197"/>
    </row>
    <row r="206" spans="1:22">
      <c r="A206" s="172">
        <v>176</v>
      </c>
      <c r="B206" s="173" t="s">
        <v>259</v>
      </c>
      <c r="C206" s="174" t="s">
        <v>260</v>
      </c>
      <c r="D206" s="79">
        <v>8288691672.2399998</v>
      </c>
      <c r="E206" s="58">
        <f>(D206/$D$230)</f>
        <v>0.10725962946527536</v>
      </c>
      <c r="F206" s="114">
        <v>2.91</v>
      </c>
      <c r="G206" s="114">
        <v>2.96</v>
      </c>
      <c r="H206" s="77">
        <v>15402</v>
      </c>
      <c r="I206" s="84">
        <v>-2.7000000000000001E-3</v>
      </c>
      <c r="J206" s="84">
        <v>0.34789999999999999</v>
      </c>
      <c r="K206" s="79">
        <v>8458739575.29</v>
      </c>
      <c r="L206" s="58">
        <f>(K206/$K$230)</f>
        <v>0.10808061885606032</v>
      </c>
      <c r="M206" s="114">
        <v>2.95</v>
      </c>
      <c r="N206" s="114">
        <v>3</v>
      </c>
      <c r="O206" s="77">
        <v>15424</v>
      </c>
      <c r="P206" s="84">
        <v>1.2999999999999999E-2</v>
      </c>
      <c r="Q206" s="84">
        <v>0.36449999999999999</v>
      </c>
      <c r="R206" s="86">
        <f>((K206-D206)/D206)</f>
        <v>2.051565069304178E-2</v>
      </c>
      <c r="S206" s="86">
        <f>((N206-G206)/G206)</f>
        <v>1.3513513513513526E-2</v>
      </c>
      <c r="T206" s="86">
        <f>((O206-H206)/H206)</f>
        <v>1.4283859239059863E-3</v>
      </c>
      <c r="U206" s="86">
        <f>P206-I206</f>
        <v>1.5699999999999999E-2</v>
      </c>
      <c r="V206" s="133">
        <f>Q206-J206</f>
        <v>1.6600000000000004E-2</v>
      </c>
    </row>
    <row r="207" spans="1:22">
      <c r="A207" s="172">
        <v>177</v>
      </c>
      <c r="B207" s="173" t="s">
        <v>261</v>
      </c>
      <c r="C207" s="174" t="s">
        <v>50</v>
      </c>
      <c r="D207" s="79">
        <v>4161821969.8099999</v>
      </c>
      <c r="E207" s="58">
        <f>(D207/$D$230)</f>
        <v>5.3855964250341774E-2</v>
      </c>
      <c r="F207" s="114">
        <v>923.9</v>
      </c>
      <c r="G207" s="114">
        <v>935.62</v>
      </c>
      <c r="H207" s="77">
        <v>2456</v>
      </c>
      <c r="I207" s="84">
        <v>9.4000000000000004E-3</v>
      </c>
      <c r="J207" s="84">
        <v>0.85389999999999999</v>
      </c>
      <c r="K207" s="79">
        <v>4478617436.54</v>
      </c>
      <c r="L207" s="58">
        <f>(K207/$K$230)</f>
        <v>5.7225043974023802E-2</v>
      </c>
      <c r="M207" s="114">
        <v>934.25</v>
      </c>
      <c r="N207" s="114">
        <v>946.43</v>
      </c>
      <c r="O207" s="77">
        <v>2538</v>
      </c>
      <c r="P207" s="84">
        <v>1.1599999999999999E-2</v>
      </c>
      <c r="Q207" s="84">
        <v>0.87529999999999997</v>
      </c>
      <c r="R207" s="86">
        <f>((K207-D207)/D207)</f>
        <v>7.6119418136586639E-2</v>
      </c>
      <c r="S207" s="86">
        <f>((N207-G207)/G207)</f>
        <v>1.1553835959043144E-2</v>
      </c>
      <c r="T207" s="86">
        <f>((O207-H207)/H207)</f>
        <v>3.3387622149837134E-2</v>
      </c>
      <c r="U207" s="86">
        <f>P207-I207</f>
        <v>2.1999999999999988E-3</v>
      </c>
      <c r="V207" s="133">
        <f>Q207-J207</f>
        <v>2.1399999999999975E-2</v>
      </c>
    </row>
    <row r="208" spans="1:22" ht="6" customHeight="1">
      <c r="A208" s="101"/>
      <c r="B208" s="193"/>
      <c r="C208" s="193"/>
      <c r="D208" s="193"/>
      <c r="E208" s="193"/>
      <c r="F208" s="193"/>
      <c r="G208" s="193"/>
      <c r="H208" s="193"/>
      <c r="I208" s="193"/>
      <c r="J208" s="193"/>
      <c r="K208" s="193"/>
      <c r="L208" s="193"/>
      <c r="M208" s="193"/>
      <c r="N208" s="193"/>
      <c r="O208" s="193"/>
      <c r="P208" s="193"/>
      <c r="Q208" s="193"/>
      <c r="R208" s="193"/>
      <c r="S208" s="193"/>
      <c r="T208" s="193"/>
      <c r="U208" s="193"/>
      <c r="V208" s="193"/>
    </row>
    <row r="209" spans="1:24" ht="15" customHeight="1">
      <c r="A209" s="197" t="s">
        <v>194</v>
      </c>
      <c r="B209" s="197"/>
      <c r="C209" s="197"/>
      <c r="D209" s="197"/>
      <c r="E209" s="197"/>
      <c r="F209" s="197"/>
      <c r="G209" s="197"/>
      <c r="H209" s="197"/>
      <c r="I209" s="197"/>
      <c r="J209" s="197"/>
      <c r="K209" s="197"/>
      <c r="L209" s="197"/>
      <c r="M209" s="197"/>
      <c r="N209" s="197"/>
      <c r="O209" s="197"/>
      <c r="P209" s="197"/>
      <c r="Q209" s="197"/>
      <c r="R209" s="197"/>
      <c r="S209" s="197"/>
      <c r="T209" s="197"/>
      <c r="U209" s="197"/>
      <c r="V209" s="197"/>
    </row>
    <row r="210" spans="1:24">
      <c r="A210" s="172">
        <v>178</v>
      </c>
      <c r="B210" s="173" t="s">
        <v>262</v>
      </c>
      <c r="C210" s="174" t="s">
        <v>24</v>
      </c>
      <c r="D210" s="63">
        <v>1268927847.6400001</v>
      </c>
      <c r="E210" s="58">
        <f>(D210/$D$230)</f>
        <v>1.6420532472195798E-2</v>
      </c>
      <c r="F210" s="113">
        <v>1.1417999999999999</v>
      </c>
      <c r="G210" s="113">
        <v>1.1417999999999999</v>
      </c>
      <c r="H210" s="59">
        <v>740</v>
      </c>
      <c r="I210" s="81">
        <v>0.13400000000000001</v>
      </c>
      <c r="J210" s="81">
        <v>0.13739999999999999</v>
      </c>
      <c r="K210" s="63">
        <v>1265814714.25</v>
      </c>
      <c r="L210" s="58">
        <f t="shared" ref="L210:L223" si="139">(K210/$K$230)</f>
        <v>1.6173808929276175E-2</v>
      </c>
      <c r="M210" s="113">
        <v>1.1447000000000001</v>
      </c>
      <c r="N210" s="113">
        <v>1.1447000000000001</v>
      </c>
      <c r="O210" s="59">
        <v>735</v>
      </c>
      <c r="P210" s="81">
        <v>0.13239999999999999</v>
      </c>
      <c r="Q210" s="81">
        <v>0.1343</v>
      </c>
      <c r="R210" s="87">
        <f>((K210-D210)/D210)</f>
        <v>-2.4533572935530007E-3</v>
      </c>
      <c r="S210" s="87">
        <f>((N210-G210)/G210)</f>
        <v>2.5398493606587184E-3</v>
      </c>
      <c r="T210" s="87">
        <f>((O210-H210)/H210)</f>
        <v>-6.7567567567567571E-3</v>
      </c>
      <c r="U210" s="87">
        <f>P210-I210</f>
        <v>-1.6000000000000181E-3</v>
      </c>
      <c r="V210" s="88">
        <f>Q210-J210</f>
        <v>-3.0999999999999917E-3</v>
      </c>
      <c r="X210" s="134"/>
    </row>
    <row r="211" spans="1:24">
      <c r="A211" s="172">
        <v>179</v>
      </c>
      <c r="B211" s="173" t="s">
        <v>263</v>
      </c>
      <c r="C211" s="174" t="s">
        <v>264</v>
      </c>
      <c r="D211" s="63">
        <v>373429570.11000001</v>
      </c>
      <c r="E211" s="58">
        <f>(D211/$D$230)</f>
        <v>4.8323570118456571E-3</v>
      </c>
      <c r="F211" s="113">
        <v>1132.07</v>
      </c>
      <c r="G211" s="113">
        <v>1132.07</v>
      </c>
      <c r="H211" s="59">
        <v>17</v>
      </c>
      <c r="I211" s="81">
        <v>2E-3</v>
      </c>
      <c r="J211" s="81">
        <v>8.5800000000000001E-2</v>
      </c>
      <c r="K211" s="63">
        <v>370364435.73000002</v>
      </c>
      <c r="L211" s="58">
        <f t="shared" si="139"/>
        <v>4.7322910298490447E-3</v>
      </c>
      <c r="M211" s="113">
        <v>1119.3499999999999</v>
      </c>
      <c r="N211" s="113">
        <v>1119.3499999999999</v>
      </c>
      <c r="O211" s="59">
        <v>17</v>
      </c>
      <c r="P211" s="81">
        <v>2.4400000000000002E-2</v>
      </c>
      <c r="Q211" s="81">
        <v>0.11020000000000001</v>
      </c>
      <c r="R211" s="87">
        <f>((K211-D211)/D211)</f>
        <v>-8.2080655238338726E-3</v>
      </c>
      <c r="S211" s="87">
        <f>((N211-G211)/G211)</f>
        <v>-1.1236054307595845E-2</v>
      </c>
      <c r="T211" s="87">
        <f>((O211-H211)/H211)</f>
        <v>0</v>
      </c>
      <c r="U211" s="87">
        <f>P211-I211</f>
        <v>2.2400000000000003E-2</v>
      </c>
      <c r="V211" s="88">
        <f>Q211-J211</f>
        <v>2.4400000000000005E-2</v>
      </c>
      <c r="X211" s="134"/>
    </row>
    <row r="212" spans="1:24">
      <c r="A212" s="172">
        <v>180</v>
      </c>
      <c r="B212" s="173" t="s">
        <v>265</v>
      </c>
      <c r="C212" s="174" t="s">
        <v>73</v>
      </c>
      <c r="D212" s="63">
        <v>316096458.23000002</v>
      </c>
      <c r="E212" s="58">
        <f>(D212/$D$230)</f>
        <v>4.0904391580382079E-3</v>
      </c>
      <c r="F212" s="113">
        <v>121.99</v>
      </c>
      <c r="G212" s="113">
        <v>121.99</v>
      </c>
      <c r="H212" s="59">
        <v>80</v>
      </c>
      <c r="I212" s="81">
        <v>2.5999999999999999E-3</v>
      </c>
      <c r="J212" s="81">
        <v>0.13389999999999999</v>
      </c>
      <c r="K212" s="63">
        <v>317040763.64999998</v>
      </c>
      <c r="L212" s="58">
        <f t="shared" si="139"/>
        <v>4.0509536477501941E-3</v>
      </c>
      <c r="M212" s="113">
        <v>122.31</v>
      </c>
      <c r="N212" s="113">
        <v>122.31</v>
      </c>
      <c r="O212" s="59">
        <v>80</v>
      </c>
      <c r="P212" s="81">
        <v>2.5999999999999999E-3</v>
      </c>
      <c r="Q212" s="81">
        <v>0.13389999999999999</v>
      </c>
      <c r="R212" s="87">
        <f t="shared" ref="R212:R231" si="140">((K212-D212)/D212)</f>
        <v>2.9873963956687419E-3</v>
      </c>
      <c r="S212" s="87">
        <f t="shared" ref="S212:S230" si="141">((N212-G212)/G212)</f>
        <v>2.6231658332650826E-3</v>
      </c>
      <c r="T212" s="87">
        <f t="shared" ref="T212:T230" si="142">((O212-H212)/H212)</f>
        <v>0</v>
      </c>
      <c r="U212" s="87">
        <f t="shared" ref="U212:U230" si="143">P212-I212</f>
        <v>0</v>
      </c>
      <c r="V212" s="88">
        <f t="shared" ref="V212:V230" si="144">Q212-J212</f>
        <v>0</v>
      </c>
    </row>
    <row r="213" spans="1:24">
      <c r="A213" s="172">
        <v>181</v>
      </c>
      <c r="B213" s="180" t="s">
        <v>266</v>
      </c>
      <c r="C213" s="174" t="s">
        <v>267</v>
      </c>
      <c r="D213" s="63">
        <v>54592914.3525564</v>
      </c>
      <c r="E213" s="58">
        <v>0</v>
      </c>
      <c r="F213" s="113">
        <v>104.833156065282</v>
      </c>
      <c r="G213" s="113">
        <v>104.833156065282</v>
      </c>
      <c r="H213" s="59">
        <v>13</v>
      </c>
      <c r="I213" s="81">
        <v>0</v>
      </c>
      <c r="J213" s="81">
        <v>4.8300000000000003E-2</v>
      </c>
      <c r="K213" s="63">
        <v>54801640.567116499</v>
      </c>
      <c r="L213" s="58">
        <f t="shared" si="139"/>
        <v>7.0022196263422234E-4</v>
      </c>
      <c r="M213" s="113">
        <v>105.233966831393</v>
      </c>
      <c r="N213" s="113">
        <v>105.233966831393</v>
      </c>
      <c r="O213" s="59">
        <v>13</v>
      </c>
      <c r="P213" s="81">
        <v>4.0000000000000001E-3</v>
      </c>
      <c r="Q213" s="81">
        <v>5.2299999999999999E-2</v>
      </c>
      <c r="R213" s="87">
        <f t="shared" si="140"/>
        <v>3.8233206091941307E-3</v>
      </c>
      <c r="S213" s="87">
        <f t="shared" si="141"/>
        <v>3.8233206091917468E-3</v>
      </c>
      <c r="T213" s="87">
        <f t="shared" si="142"/>
        <v>0</v>
      </c>
      <c r="U213" s="87">
        <f t="shared" si="143"/>
        <v>4.0000000000000001E-3</v>
      </c>
      <c r="V213" s="88">
        <f t="shared" si="144"/>
        <v>3.9999999999999966E-3</v>
      </c>
    </row>
    <row r="214" spans="1:24">
      <c r="A214" s="172">
        <v>182</v>
      </c>
      <c r="B214" s="180" t="s">
        <v>268</v>
      </c>
      <c r="C214" s="174" t="s">
        <v>79</v>
      </c>
      <c r="D214" s="75">
        <v>68100074.790000007</v>
      </c>
      <c r="E214" s="58">
        <f>(D214/$D$230)</f>
        <v>8.8124749687533573E-4</v>
      </c>
      <c r="F214" s="113">
        <v>103.47</v>
      </c>
      <c r="G214" s="113">
        <v>103.47</v>
      </c>
      <c r="H214" s="59">
        <v>15</v>
      </c>
      <c r="I214" s="81">
        <v>5.7000000000000002E-3</v>
      </c>
      <c r="J214" s="81">
        <v>0.1055</v>
      </c>
      <c r="K214" s="75">
        <v>68371777.109999999</v>
      </c>
      <c r="L214" s="58">
        <f t="shared" si="139"/>
        <v>8.7361289664531036E-4</v>
      </c>
      <c r="M214" s="113">
        <v>103.88</v>
      </c>
      <c r="N214" s="113">
        <v>103.88</v>
      </c>
      <c r="O214" s="59">
        <v>15</v>
      </c>
      <c r="P214" s="81">
        <v>4.3E-3</v>
      </c>
      <c r="Q214" s="81">
        <v>0.10970000000000001</v>
      </c>
      <c r="R214" s="87">
        <f t="shared" si="140"/>
        <v>3.9897506843838346E-3</v>
      </c>
      <c r="S214" s="87">
        <f t="shared" si="141"/>
        <v>3.9625012080796041E-3</v>
      </c>
      <c r="T214" s="87">
        <f t="shared" si="142"/>
        <v>0</v>
      </c>
      <c r="U214" s="87">
        <f t="shared" si="143"/>
        <v>-1.4000000000000002E-3</v>
      </c>
      <c r="V214" s="88">
        <f t="shared" si="144"/>
        <v>4.2000000000000093E-3</v>
      </c>
    </row>
    <row r="215" spans="1:24">
      <c r="A215" s="172">
        <v>183</v>
      </c>
      <c r="B215" s="173" t="s">
        <v>269</v>
      </c>
      <c r="C215" s="174" t="s">
        <v>82</v>
      </c>
      <c r="D215" s="75">
        <v>264596389.47999999</v>
      </c>
      <c r="E215" s="58">
        <v>0</v>
      </c>
      <c r="F215" s="113">
        <v>1.1499999999999999</v>
      </c>
      <c r="G215" s="113">
        <v>1.1499999999999999</v>
      </c>
      <c r="H215" s="59">
        <v>59</v>
      </c>
      <c r="I215" s="81">
        <v>1.8E-3</v>
      </c>
      <c r="J215" s="81">
        <v>0.1086</v>
      </c>
      <c r="K215" s="75">
        <v>265527185.63999999</v>
      </c>
      <c r="L215" s="58">
        <f t="shared" si="139"/>
        <v>3.3927445444607292E-3</v>
      </c>
      <c r="M215" s="113">
        <v>1.1622600000000001</v>
      </c>
      <c r="N215" s="113">
        <v>1.1622600000000001</v>
      </c>
      <c r="O215" s="59">
        <v>57</v>
      </c>
      <c r="P215" s="81">
        <v>1.8E-3</v>
      </c>
      <c r="Q215" s="81">
        <v>0.10879999999999999</v>
      </c>
      <c r="R215" s="87">
        <f t="shared" ref="R215:R216" si="145">((K215-D215)/D215)</f>
        <v>3.5177961491812131E-3</v>
      </c>
      <c r="S215" s="87">
        <f t="shared" ref="S215:S216" si="146">((N215-G215)/G215)</f>
        <v>1.0660869565217531E-2</v>
      </c>
      <c r="T215" s="87">
        <f t="shared" ref="T215" si="147">((O215-H215)/H215)</f>
        <v>-3.3898305084745763E-2</v>
      </c>
      <c r="U215" s="87">
        <f t="shared" ref="U215" si="148">P215-I215</f>
        <v>0</v>
      </c>
      <c r="V215" s="88">
        <f t="shared" ref="V215" si="149">Q215-J215</f>
        <v>1.9999999999999185E-4</v>
      </c>
    </row>
    <row r="216" spans="1:24">
      <c r="A216" s="172">
        <v>184</v>
      </c>
      <c r="B216" s="173" t="s">
        <v>270</v>
      </c>
      <c r="C216" s="174" t="s">
        <v>32</v>
      </c>
      <c r="D216" s="63">
        <v>5024171802.5200005</v>
      </c>
      <c r="E216" s="58">
        <f t="shared" ref="E216:E223" si="150">(D216/$D$230)</f>
        <v>6.5015183000834906E-2</v>
      </c>
      <c r="F216" s="113">
        <v>141.21</v>
      </c>
      <c r="G216" s="113">
        <v>141.21</v>
      </c>
      <c r="H216" s="59">
        <v>754</v>
      </c>
      <c r="I216" s="81">
        <v>2.8E-3</v>
      </c>
      <c r="J216" s="81">
        <v>0.14829999999999999</v>
      </c>
      <c r="K216" s="63">
        <v>5017101030.5500002</v>
      </c>
      <c r="L216" s="58">
        <f t="shared" si="139"/>
        <v>6.4105459143022667E-2</v>
      </c>
      <c r="M216" s="113">
        <v>141.6</v>
      </c>
      <c r="N216" s="113">
        <v>141.6</v>
      </c>
      <c r="O216" s="59">
        <v>759</v>
      </c>
      <c r="P216" s="81">
        <v>2.8E-3</v>
      </c>
      <c r="Q216" s="81">
        <v>0.151</v>
      </c>
      <c r="R216" s="87">
        <f t="shared" si="145"/>
        <v>-1.4073507531039728E-3</v>
      </c>
      <c r="S216" s="87">
        <f t="shared" si="146"/>
        <v>2.7618440620351698E-3</v>
      </c>
      <c r="T216" s="87">
        <f t="shared" si="142"/>
        <v>6.6312997347480109E-3</v>
      </c>
      <c r="U216" s="87">
        <f t="shared" si="143"/>
        <v>0</v>
      </c>
      <c r="V216" s="88">
        <f t="shared" si="144"/>
        <v>2.7000000000000079E-3</v>
      </c>
    </row>
    <row r="217" spans="1:24">
      <c r="A217" s="172">
        <v>185</v>
      </c>
      <c r="B217" s="173" t="s">
        <v>271</v>
      </c>
      <c r="C217" s="174" t="s">
        <v>71</v>
      </c>
      <c r="D217" s="63">
        <v>877101523.394068</v>
      </c>
      <c r="E217" s="58">
        <f t="shared" si="150"/>
        <v>1.1350112674326566E-2</v>
      </c>
      <c r="F217" s="62">
        <v>1316.99605422642</v>
      </c>
      <c r="G217" s="62">
        <v>1316.99605422642</v>
      </c>
      <c r="H217" s="59">
        <v>296</v>
      </c>
      <c r="I217" s="81">
        <v>0.1171</v>
      </c>
      <c r="J217" s="81">
        <v>0.11550000000000001</v>
      </c>
      <c r="K217" s="63">
        <v>900926715.71402097</v>
      </c>
      <c r="L217" s="58">
        <f t="shared" si="139"/>
        <v>1.1511492476110542E-2</v>
      </c>
      <c r="M217" s="62">
        <v>1319.84800651248</v>
      </c>
      <c r="N217" s="62">
        <v>1319.84800651248</v>
      </c>
      <c r="O217" s="59">
        <v>297</v>
      </c>
      <c r="P217" s="81">
        <v>0.1129</v>
      </c>
      <c r="Q217" s="81">
        <v>0.1157</v>
      </c>
      <c r="R217" s="87">
        <f t="shared" si="140"/>
        <v>2.7163551407091421E-2</v>
      </c>
      <c r="S217" s="87">
        <f t="shared" si="141"/>
        <v>2.1654979731394312E-3</v>
      </c>
      <c r="T217" s="87">
        <f t="shared" si="142"/>
        <v>3.3783783783783786E-3</v>
      </c>
      <c r="U217" s="87">
        <f t="shared" si="143"/>
        <v>-4.1999999999999954E-3</v>
      </c>
      <c r="V217" s="88">
        <f t="shared" si="144"/>
        <v>1.9999999999999185E-4</v>
      </c>
    </row>
    <row r="218" spans="1:24">
      <c r="A218" s="172">
        <v>186</v>
      </c>
      <c r="B218" s="173" t="s">
        <v>272</v>
      </c>
      <c r="C218" s="174" t="s">
        <v>260</v>
      </c>
      <c r="D218" s="63">
        <v>39079580267.120003</v>
      </c>
      <c r="E218" s="58">
        <f t="shared" si="150"/>
        <v>0.50570843564470425</v>
      </c>
      <c r="F218" s="62">
        <v>1292.6500000000001</v>
      </c>
      <c r="G218" s="62">
        <v>1292.6500000000001</v>
      </c>
      <c r="H218" s="59">
        <v>11618</v>
      </c>
      <c r="I218" s="81">
        <v>3.8999999999999998E-3</v>
      </c>
      <c r="J218" s="81">
        <v>0.1439</v>
      </c>
      <c r="K218" s="63">
        <v>39339752714.400002</v>
      </c>
      <c r="L218" s="58">
        <f t="shared" si="139"/>
        <v>0.50265938337166027</v>
      </c>
      <c r="M218" s="62">
        <v>1295.6300000000001</v>
      </c>
      <c r="N218" s="62">
        <v>1295.6300000000001</v>
      </c>
      <c r="O218" s="59">
        <v>11630</v>
      </c>
      <c r="P218" s="81">
        <v>2.3E-3</v>
      </c>
      <c r="Q218" s="81">
        <v>0.1462</v>
      </c>
      <c r="R218" s="87">
        <f t="shared" si="140"/>
        <v>6.6575036246972561E-3</v>
      </c>
      <c r="S218" s="87">
        <f t="shared" si="141"/>
        <v>2.3053417398367832E-3</v>
      </c>
      <c r="T218" s="87">
        <f t="shared" si="142"/>
        <v>1.0328800137717334E-3</v>
      </c>
      <c r="U218" s="87">
        <f t="shared" si="143"/>
        <v>-1.5999999999999999E-3</v>
      </c>
      <c r="V218" s="88">
        <f t="shared" si="144"/>
        <v>2.2999999999999965E-3</v>
      </c>
    </row>
    <row r="219" spans="1:24">
      <c r="A219" s="172">
        <v>187</v>
      </c>
      <c r="B219" s="173" t="s">
        <v>273</v>
      </c>
      <c r="C219" s="174" t="s">
        <v>274</v>
      </c>
      <c r="D219" s="63">
        <v>322008076.11000001</v>
      </c>
      <c r="E219" s="58">
        <f t="shared" si="150"/>
        <v>4.1669383171844838E-3</v>
      </c>
      <c r="F219" s="114">
        <v>118.58</v>
      </c>
      <c r="G219" s="114">
        <v>119.33</v>
      </c>
      <c r="H219" s="77">
        <v>129</v>
      </c>
      <c r="I219" s="81">
        <v>2.3E-3</v>
      </c>
      <c r="J219" s="81">
        <v>-4.5600000000000002E-2</v>
      </c>
      <c r="K219" s="63">
        <v>325067595.37</v>
      </c>
      <c r="L219" s="58">
        <f t="shared" si="139"/>
        <v>4.1535156112707831E-3</v>
      </c>
      <c r="M219" s="114">
        <v>119.77</v>
      </c>
      <c r="N219" s="114">
        <v>120.53</v>
      </c>
      <c r="O219" s="77">
        <v>129</v>
      </c>
      <c r="P219" s="81">
        <v>1.01E-2</v>
      </c>
      <c r="Q219" s="81">
        <v>-3.5900000000000001E-2</v>
      </c>
      <c r="R219" s="87">
        <f t="shared" si="140"/>
        <v>9.5013743039005002E-3</v>
      </c>
      <c r="S219" s="87">
        <f t="shared" si="141"/>
        <v>1.0056146819743593E-2</v>
      </c>
      <c r="T219" s="87">
        <f t="shared" si="142"/>
        <v>0</v>
      </c>
      <c r="U219" s="87">
        <f t="shared" si="143"/>
        <v>7.7999999999999996E-3</v>
      </c>
      <c r="V219" s="88">
        <f t="shared" si="144"/>
        <v>9.7000000000000003E-3</v>
      </c>
    </row>
    <row r="220" spans="1:24">
      <c r="A220" s="172">
        <v>188</v>
      </c>
      <c r="B220" s="173" t="s">
        <v>275</v>
      </c>
      <c r="C220" s="174" t="s">
        <v>274</v>
      </c>
      <c r="D220" s="63">
        <v>449979440.43000001</v>
      </c>
      <c r="E220" s="58">
        <f t="shared" si="150"/>
        <v>5.8229488990595235E-3</v>
      </c>
      <c r="F220" s="114">
        <v>134.41999999999999</v>
      </c>
      <c r="G220" s="114">
        <v>134.41999999999999</v>
      </c>
      <c r="H220" s="77">
        <v>140</v>
      </c>
      <c r="I220" s="81">
        <v>3.5999999999999999E-3</v>
      </c>
      <c r="J220" s="81">
        <v>0.20349999999999999</v>
      </c>
      <c r="K220" s="63">
        <v>454582937.17000002</v>
      </c>
      <c r="L220" s="58">
        <f t="shared" si="139"/>
        <v>5.8083837117133092E-3</v>
      </c>
      <c r="M220" s="114">
        <v>134.88999999999999</v>
      </c>
      <c r="N220" s="114">
        <v>134.88999999999999</v>
      </c>
      <c r="O220" s="77">
        <v>140</v>
      </c>
      <c r="P220" s="81">
        <v>3.5000000000000001E-3</v>
      </c>
      <c r="Q220" s="81">
        <v>0.2077</v>
      </c>
      <c r="R220" s="87">
        <f t="shared" si="140"/>
        <v>1.0230460164137525E-2</v>
      </c>
      <c r="S220" s="87">
        <f t="shared" si="141"/>
        <v>3.4965034965034883E-3</v>
      </c>
      <c r="T220" s="87">
        <f t="shared" si="142"/>
        <v>0</v>
      </c>
      <c r="U220" s="87">
        <f t="shared" si="143"/>
        <v>-9.9999999999999829E-5</v>
      </c>
      <c r="V220" s="88">
        <f t="shared" si="144"/>
        <v>4.2000000000000093E-3</v>
      </c>
    </row>
    <row r="221" spans="1:24" ht="13.5" customHeight="1">
      <c r="A221" s="172">
        <v>189</v>
      </c>
      <c r="B221" s="173" t="s">
        <v>276</v>
      </c>
      <c r="C221" s="174" t="s">
        <v>104</v>
      </c>
      <c r="D221" s="63">
        <v>2369996322</v>
      </c>
      <c r="E221" s="58">
        <f t="shared" si="150"/>
        <v>3.0668884473427051E-2</v>
      </c>
      <c r="F221" s="91">
        <v>107.23</v>
      </c>
      <c r="G221" s="91">
        <v>107.23</v>
      </c>
      <c r="H221" s="59">
        <v>755</v>
      </c>
      <c r="I221" s="81">
        <v>2.5000000000000001E-3</v>
      </c>
      <c r="J221" s="81">
        <v>0.1545</v>
      </c>
      <c r="K221" s="63">
        <v>2354175455</v>
      </c>
      <c r="L221" s="58">
        <f t="shared" si="139"/>
        <v>3.0080219139909402E-2</v>
      </c>
      <c r="M221" s="91">
        <v>107.58</v>
      </c>
      <c r="N221" s="91">
        <v>107.58</v>
      </c>
      <c r="O221" s="59">
        <v>758</v>
      </c>
      <c r="P221" s="81">
        <v>3.3E-3</v>
      </c>
      <c r="Q221" s="81">
        <v>0.15490000000000001</v>
      </c>
      <c r="R221" s="87">
        <f t="shared" si="140"/>
        <v>-6.6754816676884276E-3</v>
      </c>
      <c r="S221" s="87">
        <f t="shared" si="141"/>
        <v>3.2640119369578878E-3</v>
      </c>
      <c r="T221" s="87">
        <f t="shared" si="142"/>
        <v>3.9735099337748344E-3</v>
      </c>
      <c r="U221" s="87">
        <f t="shared" si="143"/>
        <v>7.9999999999999993E-4</v>
      </c>
      <c r="V221" s="88">
        <f t="shared" si="144"/>
        <v>4.0000000000001146E-4</v>
      </c>
    </row>
    <row r="222" spans="1:24" ht="15.75" customHeight="1">
      <c r="A222" s="172">
        <v>190</v>
      </c>
      <c r="B222" s="173" t="s">
        <v>277</v>
      </c>
      <c r="C222" s="174" t="s">
        <v>50</v>
      </c>
      <c r="D222" s="63">
        <v>5396188090.4899998</v>
      </c>
      <c r="E222" s="58">
        <f t="shared" si="150"/>
        <v>6.9829251466712067E-2</v>
      </c>
      <c r="F222" s="91">
        <v>143.69</v>
      </c>
      <c r="G222" s="91">
        <v>143.69</v>
      </c>
      <c r="H222" s="59">
        <v>1811</v>
      </c>
      <c r="I222" s="81">
        <v>1.8E-3</v>
      </c>
      <c r="J222" s="81">
        <v>6.9900000000000004E-2</v>
      </c>
      <c r="K222" s="63">
        <v>5455792032.7200003</v>
      </c>
      <c r="L222" s="58">
        <f t="shared" si="139"/>
        <v>6.9710785395130787E-2</v>
      </c>
      <c r="M222" s="91">
        <v>143.96</v>
      </c>
      <c r="N222" s="91">
        <v>143.96</v>
      </c>
      <c r="O222" s="59">
        <v>1843</v>
      </c>
      <c r="P222" s="81">
        <v>1.9E-3</v>
      </c>
      <c r="Q222" s="81">
        <v>7.1900000000000006E-2</v>
      </c>
      <c r="R222" s="87">
        <f t="shared" si="140"/>
        <v>1.1045564244701517E-2</v>
      </c>
      <c r="S222" s="87">
        <f t="shared" si="141"/>
        <v>1.8790451666783369E-3</v>
      </c>
      <c r="T222" s="87">
        <f t="shared" si="142"/>
        <v>1.7669795692987302E-2</v>
      </c>
      <c r="U222" s="87">
        <f t="shared" si="143"/>
        <v>1.0000000000000005E-4</v>
      </c>
      <c r="V222" s="88">
        <f t="shared" si="144"/>
        <v>2.0000000000000018E-3</v>
      </c>
    </row>
    <row r="223" spans="1:24">
      <c r="A223" s="172">
        <v>191</v>
      </c>
      <c r="B223" s="173" t="s">
        <v>278</v>
      </c>
      <c r="C223" s="174" t="s">
        <v>53</v>
      </c>
      <c r="D223" s="63">
        <v>3947263635.04</v>
      </c>
      <c r="E223" s="58">
        <f t="shared" si="150"/>
        <v>5.1079476911188838E-2</v>
      </c>
      <c r="F223" s="91">
        <v>1.2141</v>
      </c>
      <c r="G223" s="91">
        <v>1.2141</v>
      </c>
      <c r="H223" s="59">
        <v>2025</v>
      </c>
      <c r="I223" s="81">
        <v>2.0999999999999999E-3</v>
      </c>
      <c r="J223" s="81">
        <v>0.1051</v>
      </c>
      <c r="K223" s="63">
        <v>3961201781.5900002</v>
      </c>
      <c r="L223" s="58">
        <f t="shared" si="139"/>
        <v>5.0613822089835163E-2</v>
      </c>
      <c r="M223" s="91">
        <v>1.2164999999999999</v>
      </c>
      <c r="N223" s="91">
        <v>1.2164999999999999</v>
      </c>
      <c r="O223" s="59">
        <v>2029</v>
      </c>
      <c r="P223" s="81">
        <v>2E-3</v>
      </c>
      <c r="Q223" s="81">
        <v>0.105</v>
      </c>
      <c r="R223" s="87">
        <f t="shared" si="140"/>
        <v>3.5310908615960603E-3</v>
      </c>
      <c r="S223" s="87">
        <f t="shared" si="141"/>
        <v>1.9767729182109859E-3</v>
      </c>
      <c r="T223" s="87">
        <f t="shared" si="142"/>
        <v>1.9753086419753087E-3</v>
      </c>
      <c r="U223" s="87">
        <f t="shared" si="143"/>
        <v>-9.9999999999999829E-5</v>
      </c>
      <c r="V223" s="88">
        <f t="shared" si="144"/>
        <v>-1.0000000000000286E-4</v>
      </c>
    </row>
    <row r="224" spans="1:24" ht="6" customHeight="1">
      <c r="A224" s="66"/>
      <c r="B224" s="193"/>
      <c r="C224" s="193"/>
      <c r="D224" s="193"/>
      <c r="E224" s="193"/>
      <c r="F224" s="193"/>
      <c r="G224" s="193"/>
      <c r="H224" s="193"/>
      <c r="I224" s="193"/>
      <c r="J224" s="193"/>
      <c r="K224" s="193"/>
      <c r="L224" s="193"/>
      <c r="M224" s="193"/>
      <c r="N224" s="193"/>
      <c r="O224" s="193"/>
      <c r="P224" s="193"/>
      <c r="Q224" s="193"/>
      <c r="R224" s="193"/>
      <c r="S224" s="193"/>
      <c r="T224" s="193"/>
      <c r="U224" s="193"/>
      <c r="V224" s="193"/>
    </row>
    <row r="225" spans="1:22">
      <c r="A225" s="197" t="s">
        <v>279</v>
      </c>
      <c r="B225" s="197"/>
      <c r="C225" s="197"/>
      <c r="D225" s="197"/>
      <c r="E225" s="197"/>
      <c r="F225" s="197"/>
      <c r="G225" s="197"/>
      <c r="H225" s="197"/>
      <c r="I225" s="197"/>
      <c r="J225" s="197"/>
      <c r="K225" s="197"/>
      <c r="L225" s="197"/>
      <c r="M225" s="197"/>
      <c r="N225" s="197"/>
      <c r="O225" s="197"/>
      <c r="P225" s="197"/>
      <c r="Q225" s="197"/>
      <c r="R225" s="197"/>
      <c r="S225" s="197"/>
      <c r="T225" s="197"/>
      <c r="U225" s="197"/>
      <c r="V225" s="197"/>
    </row>
    <row r="226" spans="1:22">
      <c r="A226" s="172">
        <v>192</v>
      </c>
      <c r="B226" s="173" t="s">
        <v>280</v>
      </c>
      <c r="C226" s="174" t="s">
        <v>20</v>
      </c>
      <c r="D226" s="112">
        <v>391499316.85000002</v>
      </c>
      <c r="E226" s="58">
        <f>(D226/$D$202)</f>
        <v>4.6910142379996855E-2</v>
      </c>
      <c r="F226" s="113">
        <v>104.3593</v>
      </c>
      <c r="G226" s="113">
        <v>104.3593</v>
      </c>
      <c r="H226" s="61">
        <v>121</v>
      </c>
      <c r="I226" s="82">
        <v>2.8999999999999998E-3</v>
      </c>
      <c r="J226" s="82">
        <v>4.36E-2</v>
      </c>
      <c r="K226" s="112">
        <v>400090806.05000001</v>
      </c>
      <c r="L226" s="85">
        <f>(K226/$K$202)</f>
        <v>4.8071536757039998E-2</v>
      </c>
      <c r="M226" s="113">
        <v>104.62560000000001</v>
      </c>
      <c r="N226" s="113">
        <v>104.62560000000001</v>
      </c>
      <c r="O226" s="61">
        <v>121</v>
      </c>
      <c r="P226" s="82">
        <v>2.5999999999999999E-3</v>
      </c>
      <c r="Q226" s="82">
        <v>4.6300000000000001E-2</v>
      </c>
      <c r="R226" s="87">
        <f>((K226-D226)/D226)</f>
        <v>2.1945093721049202E-2</v>
      </c>
      <c r="S226" s="87">
        <f t="shared" ref="S226" si="151">((N226-G226)/G226)</f>
        <v>2.5517610792713356E-3</v>
      </c>
      <c r="T226" s="87">
        <f t="shared" ref="T226" si="152">((O226-H226)/H226)</f>
        <v>0</v>
      </c>
      <c r="U226" s="87">
        <f t="shared" ref="U226" si="153">P226-I226</f>
        <v>-2.9999999999999992E-4</v>
      </c>
      <c r="V226" s="88">
        <f t="shared" ref="V226" si="154">Q226-J226</f>
        <v>2.700000000000001E-3</v>
      </c>
    </row>
    <row r="227" spans="1:22">
      <c r="A227" s="172">
        <v>193</v>
      </c>
      <c r="B227" s="173" t="s">
        <v>281</v>
      </c>
      <c r="C227" s="174" t="s">
        <v>24</v>
      </c>
      <c r="D227" s="112">
        <v>4198497567.3800001</v>
      </c>
      <c r="E227" s="58">
        <f>(D227/$D$202)</f>
        <v>0.50307142360436596</v>
      </c>
      <c r="F227" s="113">
        <v>102.85209999999999</v>
      </c>
      <c r="G227" s="113">
        <v>105.95310000000001</v>
      </c>
      <c r="H227" s="61">
        <v>3533</v>
      </c>
      <c r="I227" s="82">
        <v>0.41520000000000001</v>
      </c>
      <c r="J227" s="82">
        <v>0.52739999999999998</v>
      </c>
      <c r="K227" s="112">
        <v>4352360327.1199999</v>
      </c>
      <c r="L227" s="85">
        <f>(K227/$K$202)</f>
        <v>0.5229429076630282</v>
      </c>
      <c r="M227" s="113">
        <v>103.8527</v>
      </c>
      <c r="N227" s="113">
        <v>106.98399999999999</v>
      </c>
      <c r="O227" s="61">
        <v>3570</v>
      </c>
      <c r="P227" s="82">
        <v>0.50729999999999997</v>
      </c>
      <c r="Q227" s="82">
        <v>0.53210000000000002</v>
      </c>
      <c r="R227" s="87">
        <f>((K227-D227)/D227)</f>
        <v>3.6647099890072143E-2</v>
      </c>
      <c r="S227" s="87">
        <f t="shared" ref="S227" si="155">((N227-G227)/G227)</f>
        <v>9.7297766653357785E-3</v>
      </c>
      <c r="T227" s="87">
        <f t="shared" ref="T227" si="156">((O227-H227)/H227)</f>
        <v>1.0472686102462497E-2</v>
      </c>
      <c r="U227" s="87">
        <f t="shared" ref="U227" si="157">P227-I227</f>
        <v>9.209999999999996E-2</v>
      </c>
      <c r="V227" s="88">
        <f t="shared" ref="V227" si="158">Q227-J227</f>
        <v>4.7000000000000375E-3</v>
      </c>
    </row>
    <row r="228" spans="1:22">
      <c r="A228" s="172">
        <v>194</v>
      </c>
      <c r="B228" s="173" t="s">
        <v>282</v>
      </c>
      <c r="C228" s="174" t="s">
        <v>260</v>
      </c>
      <c r="D228" s="63">
        <v>277356482.19999999</v>
      </c>
      <c r="E228" s="58">
        <f t="shared" ref="E228" si="159">(D228/$D$230)</f>
        <v>3.5891253634392456E-3</v>
      </c>
      <c r="F228" s="62">
        <v>1222.48</v>
      </c>
      <c r="G228" s="62">
        <v>1222.48</v>
      </c>
      <c r="H228" s="59">
        <v>167</v>
      </c>
      <c r="I228" s="81">
        <v>1.8E-3</v>
      </c>
      <c r="J228" s="81">
        <v>0.10440000000000001</v>
      </c>
      <c r="K228" s="63">
        <v>277710349.74000001</v>
      </c>
      <c r="L228" s="58">
        <f t="shared" ref="L228" si="160">(K228/$K$230)</f>
        <v>3.5484135899293378E-3</v>
      </c>
      <c r="M228" s="62">
        <v>1224.04</v>
      </c>
      <c r="N228" s="62">
        <v>1224.04</v>
      </c>
      <c r="O228" s="59">
        <v>167</v>
      </c>
      <c r="P228" s="81">
        <v>1.2999999999999999E-3</v>
      </c>
      <c r="Q228" s="81">
        <v>0.1056</v>
      </c>
      <c r="R228" s="87">
        <f t="shared" ref="R228" si="161">((K228-D228)/D228)</f>
        <v>1.2758581922914995E-3</v>
      </c>
      <c r="S228" s="87">
        <f t="shared" ref="S228" si="162">((N228-G228)/G228)</f>
        <v>1.2760944964334349E-3</v>
      </c>
      <c r="T228" s="87">
        <f t="shared" ref="T228" si="163">((O228-H228)/H228)</f>
        <v>0</v>
      </c>
      <c r="U228" s="87">
        <f t="shared" ref="U228" si="164">P228-I228</f>
        <v>-5.0000000000000001E-4</v>
      </c>
      <c r="V228" s="88">
        <f t="shared" ref="V228" si="165">Q228-J228</f>
        <v>1.1999999999999927E-3</v>
      </c>
    </row>
    <row r="229" spans="1:22">
      <c r="A229" s="172">
        <v>195</v>
      </c>
      <c r="B229" s="173" t="s">
        <v>283</v>
      </c>
      <c r="C229" s="174" t="s">
        <v>284</v>
      </c>
      <c r="D229" s="63">
        <v>147000691.83000001</v>
      </c>
      <c r="E229" s="58">
        <f t="shared" ref="E229" si="166">(D229/$D$230)</f>
        <v>1.9022591695178682E-3</v>
      </c>
      <c r="F229" s="62">
        <v>112.83</v>
      </c>
      <c r="G229" s="62">
        <v>115.16</v>
      </c>
      <c r="H229" s="59">
        <v>312</v>
      </c>
      <c r="I229" s="81">
        <v>2.5999999999999999E-3</v>
      </c>
      <c r="J229" s="81">
        <v>6.9400000000000003E-2</v>
      </c>
      <c r="K229" s="63">
        <v>145202228.47</v>
      </c>
      <c r="L229" s="58">
        <f t="shared" ref="L229" si="167">(K229/$K$230)</f>
        <v>1.8553055774599399E-3</v>
      </c>
      <c r="M229" s="62">
        <v>113.52</v>
      </c>
      <c r="N229" s="62">
        <v>115.86</v>
      </c>
      <c r="O229" s="59">
        <v>312</v>
      </c>
      <c r="P229" s="81">
        <v>2.5999999999999999E-3</v>
      </c>
      <c r="Q229" s="81">
        <v>7.5999999999999998E-2</v>
      </c>
      <c r="R229" s="87">
        <f t="shared" ref="R229" si="168">((K229-D229)/D229)</f>
        <v>-1.2234387046830091E-2</v>
      </c>
      <c r="S229" s="87">
        <f t="shared" ref="S229" si="169">((N229-G229)/G229)</f>
        <v>6.0784994789857836E-3</v>
      </c>
      <c r="T229" s="87">
        <f t="shared" ref="T229" si="170">((O229-H229)/H229)</f>
        <v>0</v>
      </c>
      <c r="U229" s="87">
        <f t="shared" ref="U229" si="171">P229-I229</f>
        <v>0</v>
      </c>
      <c r="V229" s="88">
        <f t="shared" ref="V229" si="172">Q229-J229</f>
        <v>6.5999999999999948E-3</v>
      </c>
    </row>
    <row r="230" spans="1:22">
      <c r="A230" s="66"/>
      <c r="B230" s="67"/>
      <c r="C230" s="102" t="s">
        <v>56</v>
      </c>
      <c r="D230" s="90">
        <f>SUM(D206:D229)</f>
        <v>77276900112.016632</v>
      </c>
      <c r="E230" s="70">
        <f>(D230/$D$231)</f>
        <v>1.0272869500229839E-2</v>
      </c>
      <c r="F230" s="71"/>
      <c r="G230" s="105"/>
      <c r="H230" s="115">
        <f>SUM(H206:H229)</f>
        <v>40443</v>
      </c>
      <c r="I230" s="107"/>
      <c r="J230" s="107"/>
      <c r="K230" s="90">
        <f>SUM(K206:K229)</f>
        <v>78263241502.671127</v>
      </c>
      <c r="L230" s="70">
        <f>(K230/$K$231)</f>
        <v>1.0293481002411238E-2</v>
      </c>
      <c r="M230" s="71"/>
      <c r="N230" s="105"/>
      <c r="O230" s="73">
        <f>SUM(O206:O229)</f>
        <v>40634</v>
      </c>
      <c r="P230" s="107"/>
      <c r="Q230" s="107"/>
      <c r="R230" s="87">
        <f t="shared" si="140"/>
        <v>1.2763728736850796E-2</v>
      </c>
      <c r="S230" s="87" t="e">
        <f t="shared" si="141"/>
        <v>#DIV/0!</v>
      </c>
      <c r="T230" s="87">
        <f t="shared" si="142"/>
        <v>4.7226961402467666E-3</v>
      </c>
      <c r="U230" s="87">
        <f t="shared" si="143"/>
        <v>0</v>
      </c>
      <c r="V230" s="88">
        <f t="shared" si="144"/>
        <v>0</v>
      </c>
    </row>
    <row r="231" spans="1:22">
      <c r="A231" s="116"/>
      <c r="B231" s="116"/>
      <c r="C231" s="117" t="s">
        <v>285</v>
      </c>
      <c r="D231" s="118">
        <f>SUM(D26,D72,D114,D156,D165,D197,D202,D230)</f>
        <v>7522425950245.7119</v>
      </c>
      <c r="E231" s="119"/>
      <c r="F231" s="119"/>
      <c r="G231" s="120"/>
      <c r="H231" s="118">
        <f>SUM(H26,H72,H114,H156,H165,H197,H202,H230)</f>
        <v>1094239</v>
      </c>
      <c r="I231" s="130"/>
      <c r="J231" s="130"/>
      <c r="K231" s="118">
        <f>SUM(K26,K72,K114,K156,K165,K197,K202,K230)</f>
        <v>7603185111464.0459</v>
      </c>
      <c r="L231" s="119"/>
      <c r="M231" s="119"/>
      <c r="N231" s="120"/>
      <c r="O231" s="118">
        <f>SUM(O26,O72,O114,O156,O165,O197,O202,O230)</f>
        <v>1100802</v>
      </c>
      <c r="P231" s="131"/>
      <c r="Q231" s="118"/>
      <c r="R231" s="135">
        <f t="shared" si="140"/>
        <v>1.0735786799695392E-2</v>
      </c>
      <c r="S231" s="135"/>
      <c r="T231" s="135"/>
      <c r="U231" s="135"/>
      <c r="V231" s="135"/>
    </row>
    <row r="232" spans="1:22" ht="6.75" customHeight="1">
      <c r="A232" s="66"/>
      <c r="B232" s="193"/>
      <c r="C232" s="193"/>
      <c r="D232" s="193"/>
      <c r="E232" s="193"/>
      <c r="F232" s="193"/>
      <c r="G232" s="193"/>
      <c r="H232" s="193"/>
      <c r="I232" s="193"/>
      <c r="J232" s="193"/>
      <c r="K232" s="193"/>
      <c r="L232" s="193"/>
      <c r="M232" s="193"/>
      <c r="N232" s="193"/>
      <c r="O232" s="193"/>
      <c r="P232" s="193"/>
      <c r="Q232" s="193"/>
      <c r="R232" s="193"/>
      <c r="S232" s="193"/>
      <c r="T232" s="193"/>
      <c r="U232" s="193"/>
      <c r="V232" s="67"/>
    </row>
    <row r="233" spans="1:22" ht="14.4" customHeight="1">
      <c r="A233" s="196" t="s">
        <v>286</v>
      </c>
      <c r="B233" s="196"/>
      <c r="C233" s="196"/>
      <c r="D233" s="196"/>
      <c r="E233" s="196"/>
      <c r="F233" s="196"/>
      <c r="G233" s="196"/>
      <c r="H233" s="196"/>
      <c r="I233" s="196"/>
      <c r="J233" s="196"/>
      <c r="K233" s="196"/>
      <c r="L233" s="196"/>
      <c r="M233" s="196"/>
      <c r="N233" s="196"/>
      <c r="O233" s="196"/>
      <c r="P233" s="196"/>
      <c r="Q233" s="196"/>
      <c r="R233" s="196"/>
      <c r="S233" s="196"/>
      <c r="T233" s="196"/>
      <c r="U233" s="196"/>
      <c r="V233" s="196"/>
    </row>
    <row r="234" spans="1:22" ht="14.4" customHeight="1">
      <c r="A234" s="172">
        <v>1</v>
      </c>
      <c r="B234" s="173" t="s">
        <v>287</v>
      </c>
      <c r="C234" s="174" t="s">
        <v>24</v>
      </c>
      <c r="D234" s="63">
        <v>1894853445.7654231</v>
      </c>
      <c r="E234" s="58">
        <f t="shared" ref="E234:E237" si="173">(D234/$D$230)</f>
        <v>2.4520308695337684E-2</v>
      </c>
      <c r="F234" s="62">
        <v>1515.4976165999999</v>
      </c>
      <c r="G234" s="62">
        <v>1515.4976165999999</v>
      </c>
      <c r="H234" s="59">
        <v>50</v>
      </c>
      <c r="I234" s="81">
        <v>0.02</v>
      </c>
      <c r="J234" s="81">
        <v>6.3899999999999998E-2</v>
      </c>
      <c r="K234" s="63">
        <f>1303644.31*W137</f>
        <v>1909183702.519794</v>
      </c>
      <c r="L234" s="58">
        <f>(K234/$K$239)</f>
        <v>0.10215078731375893</v>
      </c>
      <c r="M234" s="62">
        <f>1.0435*W137</f>
        <v>1528.2030369000001</v>
      </c>
      <c r="N234" s="62">
        <f>1.0435*W137</f>
        <v>1528.2030369000001</v>
      </c>
      <c r="O234" s="59">
        <v>50</v>
      </c>
      <c r="P234" s="81">
        <v>7.51E-2</v>
      </c>
      <c r="Q234" s="81">
        <v>6.4299999999999996E-2</v>
      </c>
      <c r="R234" s="87">
        <f t="shared" ref="R234" si="174">((K234-D234)/D234)</f>
        <v>7.5627256484641974E-3</v>
      </c>
      <c r="S234" s="87">
        <f t="shared" ref="S234" si="175">((N234-G234)/G234)</f>
        <v>8.3836623435308948E-3</v>
      </c>
      <c r="T234" s="87">
        <f t="shared" ref="T234" si="176">((O234-H234)/H234)</f>
        <v>0</v>
      </c>
      <c r="U234" s="87">
        <f t="shared" ref="U234" si="177">P234-I234</f>
        <v>5.5099999999999996E-2</v>
      </c>
      <c r="V234" s="88">
        <f t="shared" ref="V234" si="178">Q234-J234</f>
        <v>3.9999999999999758E-4</v>
      </c>
    </row>
    <row r="235" spans="1:22" ht="14.4" customHeight="1">
      <c r="A235" s="172">
        <v>2</v>
      </c>
      <c r="B235" s="173" t="s">
        <v>288</v>
      </c>
      <c r="C235" s="174" t="s">
        <v>216</v>
      </c>
      <c r="D235" s="63">
        <v>4137527886.9896998</v>
      </c>
      <c r="E235" s="58">
        <f t="shared" ref="E235" si="179">(D235/$D$230)</f>
        <v>5.3541587214188863E-2</v>
      </c>
      <c r="F235" s="62">
        <v>123.2</v>
      </c>
      <c r="G235" s="62">
        <v>123.2</v>
      </c>
      <c r="H235" s="59">
        <v>9</v>
      </c>
      <c r="I235" s="81">
        <v>0.25890000000000002</v>
      </c>
      <c r="J235" s="81">
        <v>0.26019999999999999</v>
      </c>
      <c r="K235" s="63">
        <v>4158074735.4745202</v>
      </c>
      <c r="L235" s="58">
        <f>(K235/$K$239)</f>
        <v>0.22247759991748012</v>
      </c>
      <c r="M235" s="62">
        <v>123.2</v>
      </c>
      <c r="N235" s="62">
        <v>123.2</v>
      </c>
      <c r="O235" s="59">
        <v>9</v>
      </c>
      <c r="P235" s="81">
        <v>0.25769999999999998</v>
      </c>
      <c r="Q235" s="81">
        <v>0.25779999999999997</v>
      </c>
      <c r="R235" s="87">
        <f t="shared" ref="R235" si="180">((K235-D235)/D235)</f>
        <v>4.9659722051491554E-3</v>
      </c>
      <c r="S235" s="87">
        <f t="shared" ref="S235" si="181">((N235-G235)/G235)</f>
        <v>0</v>
      </c>
      <c r="T235" s="87">
        <f t="shared" ref="T235" si="182">((O235-H235)/H235)</f>
        <v>0</v>
      </c>
      <c r="U235" s="87">
        <f t="shared" ref="U235" si="183">P235-I235</f>
        <v>-1.2000000000000344E-3</v>
      </c>
      <c r="V235" s="88">
        <f t="shared" ref="V235" si="184">Q235-J235</f>
        <v>-2.4000000000000132E-3</v>
      </c>
    </row>
    <row r="236" spans="1:22" ht="14.4" customHeight="1">
      <c r="A236" s="172">
        <v>3</v>
      </c>
      <c r="B236" s="173" t="s">
        <v>289</v>
      </c>
      <c r="C236" s="174" t="s">
        <v>32</v>
      </c>
      <c r="D236" s="63">
        <v>721694916.38336396</v>
      </c>
      <c r="E236" s="58">
        <f>(D236/$D$230)</f>
        <v>9.3390769471502089E-3</v>
      </c>
      <c r="F236" s="62">
        <v>162486.942156</v>
      </c>
      <c r="G236" s="62">
        <v>162486.942156</v>
      </c>
      <c r="H236" s="59">
        <v>7</v>
      </c>
      <c r="I236" s="81">
        <v>7.1000000000000004E-3</v>
      </c>
      <c r="J236" s="81">
        <v>0.1172</v>
      </c>
      <c r="K236" s="63">
        <f xml:space="preserve"> 495124.6*W137</f>
        <v>725108689.37603998</v>
      </c>
      <c r="L236" s="58">
        <f>(K236/$K$239)</f>
        <v>3.8796907500336472E-2</v>
      </c>
      <c r="M236" s="62">
        <f>111.48*W137</f>
        <v>163262.17015200001</v>
      </c>
      <c r="N236" s="62">
        <f>111.48*W137</f>
        <v>163262.17015200001</v>
      </c>
      <c r="O236" s="59">
        <v>7</v>
      </c>
      <c r="P236" s="81">
        <v>-2.0999999999999999E-3</v>
      </c>
      <c r="Q236" s="81">
        <v>0.1148</v>
      </c>
      <c r="R236" s="87">
        <f t="shared" ref="R236:R237" si="185">((K236-D236)/D236)</f>
        <v>4.730216210727228E-3</v>
      </c>
      <c r="S236" s="87">
        <f t="shared" ref="S236:S237" si="186">((N236-G236)/G236)</f>
        <v>4.7710172012205305E-3</v>
      </c>
      <c r="T236" s="87">
        <f t="shared" ref="T236:T237" si="187">((O236-H236)/H236)</f>
        <v>0</v>
      </c>
      <c r="U236" s="87">
        <f t="shared" ref="U236:U237" si="188">P236-I236</f>
        <v>-9.1999999999999998E-3</v>
      </c>
      <c r="V236" s="88">
        <f t="shared" ref="V236:V237" si="189">Q236-J236</f>
        <v>-2.3999999999999994E-3</v>
      </c>
    </row>
    <row r="237" spans="1:22" ht="14.4" customHeight="1">
      <c r="A237" s="172">
        <v>4</v>
      </c>
      <c r="B237" s="173" t="s">
        <v>290</v>
      </c>
      <c r="C237" s="174" t="s">
        <v>42</v>
      </c>
      <c r="D237" s="63">
        <v>11663686930.559999</v>
      </c>
      <c r="E237" s="58">
        <f t="shared" si="173"/>
        <v>0.1509336802285407</v>
      </c>
      <c r="F237" s="62">
        <v>1.26</v>
      </c>
      <c r="G237" s="62">
        <v>1.26</v>
      </c>
      <c r="H237" s="59">
        <v>16</v>
      </c>
      <c r="I237" s="81">
        <v>1.4500000000000001E-2</v>
      </c>
      <c r="J237" s="81">
        <v>0.22650000000000001</v>
      </c>
      <c r="K237" s="63">
        <v>11724343088.809999</v>
      </c>
      <c r="L237" s="58">
        <f>(K237/$K$239)</f>
        <v>0.62731044460408736</v>
      </c>
      <c r="M237" s="62">
        <v>1.27</v>
      </c>
      <c r="N237" s="62">
        <v>1.27</v>
      </c>
      <c r="O237" s="59">
        <v>16</v>
      </c>
      <c r="P237" s="81">
        <v>1.4500000000000001E-2</v>
      </c>
      <c r="Q237" s="81">
        <v>0.22650000000000001</v>
      </c>
      <c r="R237" s="87">
        <f t="shared" si="185"/>
        <v>5.2004274987075428E-3</v>
      </c>
      <c r="S237" s="87">
        <f t="shared" si="186"/>
        <v>7.936507936507943E-3</v>
      </c>
      <c r="T237" s="87">
        <f t="shared" si="187"/>
        <v>0</v>
      </c>
      <c r="U237" s="87">
        <f t="shared" si="188"/>
        <v>0</v>
      </c>
      <c r="V237" s="88">
        <f t="shared" si="189"/>
        <v>0</v>
      </c>
    </row>
    <row r="238" spans="1:22" ht="14.4" customHeight="1">
      <c r="A238" s="172">
        <v>5</v>
      </c>
      <c r="B238" s="173" t="s">
        <v>291</v>
      </c>
      <c r="C238" s="174" t="s">
        <v>53</v>
      </c>
      <c r="D238" s="63">
        <v>173835598.34999999</v>
      </c>
      <c r="E238" s="58">
        <f t="shared" ref="E238" si="190">(D238/$D$230)</f>
        <v>2.2495156780100757E-3</v>
      </c>
      <c r="F238" s="62">
        <v>1.1372</v>
      </c>
      <c r="G238" s="62">
        <v>1.1372</v>
      </c>
      <c r="H238" s="59">
        <v>15</v>
      </c>
      <c r="I238" s="81">
        <v>2.5700000000000001E-2</v>
      </c>
      <c r="J238" s="81">
        <v>0.13719999999999999</v>
      </c>
      <c r="K238" s="63">
        <v>173147715.66</v>
      </c>
      <c r="L238" s="58">
        <f>(K238/$K$239)</f>
        <v>9.2642606643372431E-3</v>
      </c>
      <c r="M238" s="62">
        <v>1.1327</v>
      </c>
      <c r="N238" s="62">
        <v>1.1327</v>
      </c>
      <c r="O238" s="59">
        <v>15</v>
      </c>
      <c r="P238" s="81">
        <v>-4.3E-3</v>
      </c>
      <c r="Q238" s="81">
        <v>0.13270000000000001</v>
      </c>
      <c r="R238" s="87">
        <f t="shared" ref="R238:R239" si="191">((K238-D238)/D238)</f>
        <v>-3.9570875961494204E-3</v>
      </c>
      <c r="S238" s="87">
        <f t="shared" ref="S238" si="192">((N238-G238)/G238)</f>
        <v>-3.9570875835384708E-3</v>
      </c>
      <c r="T238" s="87">
        <f t="shared" ref="T238" si="193">((O238-H238)/H238)</f>
        <v>0</v>
      </c>
      <c r="U238" s="87">
        <f t="shared" ref="U238" si="194">P238-I238</f>
        <v>-0.03</v>
      </c>
      <c r="V238" s="88">
        <f t="shared" ref="V238" si="195">Q238-J238</f>
        <v>-4.4999999999999762E-3</v>
      </c>
    </row>
    <row r="239" spans="1:22" ht="14.4" customHeight="1">
      <c r="A239" s="121"/>
      <c r="B239" s="121"/>
      <c r="C239" s="121" t="s">
        <v>56</v>
      </c>
      <c r="D239" s="121">
        <f>SUM(D234:D238)</f>
        <v>18591598778.048485</v>
      </c>
      <c r="E239" s="121"/>
      <c r="F239" s="121"/>
      <c r="G239" s="121"/>
      <c r="H239" s="121">
        <f>SUM(H234:H238)</f>
        <v>97</v>
      </c>
      <c r="I239" s="121"/>
      <c r="J239" s="121"/>
      <c r="K239" s="121">
        <f>SUM(K234:K238)</f>
        <v>18689857931.840351</v>
      </c>
      <c r="L239" s="70"/>
      <c r="M239" s="121"/>
      <c r="N239" s="121"/>
      <c r="O239" s="121">
        <f>SUM(O234:O238)</f>
        <v>97</v>
      </c>
      <c r="P239" s="121"/>
      <c r="Q239" s="121"/>
      <c r="R239" s="135">
        <f t="shared" si="191"/>
        <v>5.2851373873172803E-3</v>
      </c>
      <c r="S239" s="121"/>
      <c r="T239" s="121"/>
      <c r="U239" s="121"/>
      <c r="V239" s="121"/>
    </row>
    <row r="240" spans="1:22" ht="6" customHeight="1">
      <c r="A240" s="66"/>
      <c r="B240" s="74"/>
      <c r="C240" s="102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67"/>
    </row>
    <row r="241" spans="1:22" ht="15.5">
      <c r="A241" s="196" t="s">
        <v>292</v>
      </c>
      <c r="B241" s="196"/>
      <c r="C241" s="196"/>
      <c r="D241" s="196"/>
      <c r="E241" s="196"/>
      <c r="F241" s="196"/>
      <c r="G241" s="196"/>
      <c r="H241" s="196"/>
      <c r="I241" s="196"/>
      <c r="J241" s="196"/>
      <c r="K241" s="196"/>
      <c r="L241" s="196"/>
      <c r="M241" s="196"/>
      <c r="N241" s="196"/>
      <c r="O241" s="196"/>
      <c r="P241" s="196"/>
      <c r="Q241" s="196"/>
      <c r="R241" s="196"/>
      <c r="S241" s="196"/>
      <c r="T241" s="196"/>
      <c r="U241" s="196"/>
      <c r="V241" s="196"/>
    </row>
    <row r="242" spans="1:22">
      <c r="A242" s="172">
        <v>1</v>
      </c>
      <c r="B242" s="173" t="s">
        <v>293</v>
      </c>
      <c r="C242" s="174" t="s">
        <v>294</v>
      </c>
      <c r="D242" s="63">
        <v>131430219149</v>
      </c>
      <c r="E242" s="58">
        <f>(D242/$D$244)</f>
        <v>0.89634899688461489</v>
      </c>
      <c r="F242" s="91">
        <v>108.35</v>
      </c>
      <c r="G242" s="91">
        <v>108.35</v>
      </c>
      <c r="H242" s="59">
        <v>0</v>
      </c>
      <c r="I242" s="81">
        <v>0.15</v>
      </c>
      <c r="J242" s="81">
        <v>0.15</v>
      </c>
      <c r="K242" s="63">
        <v>131430219149</v>
      </c>
      <c r="L242" s="58">
        <f>(K242/$K$244)</f>
        <v>0.89602420496695567</v>
      </c>
      <c r="M242" s="91">
        <v>108.35</v>
      </c>
      <c r="N242" s="91">
        <v>108.35</v>
      </c>
      <c r="O242" s="59">
        <v>0</v>
      </c>
      <c r="P242" s="81">
        <v>0.15</v>
      </c>
      <c r="Q242" s="81">
        <v>0.15</v>
      </c>
      <c r="R242" s="87">
        <f>((K242-D242)/D242)</f>
        <v>0</v>
      </c>
      <c r="S242" s="87">
        <f>((N242-G242)/G242)</f>
        <v>0</v>
      </c>
      <c r="T242" s="87" t="e">
        <f>((O242-H242)/H242)</f>
        <v>#DIV/0!</v>
      </c>
      <c r="U242" s="87">
        <f>P242-I242</f>
        <v>0</v>
      </c>
      <c r="V242" s="88">
        <f>Q242-J242</f>
        <v>0</v>
      </c>
    </row>
    <row r="243" spans="1:22" ht="14.4" customHeight="1">
      <c r="A243" s="172">
        <v>2</v>
      </c>
      <c r="B243" s="173" t="s">
        <v>295</v>
      </c>
      <c r="C243" s="174" t="s">
        <v>53</v>
      </c>
      <c r="D243" s="63">
        <v>15198180732.969999</v>
      </c>
      <c r="E243" s="58">
        <f>(D243/$D$244)</f>
        <v>0.10365100311538507</v>
      </c>
      <c r="F243" s="122">
        <v>1000000</v>
      </c>
      <c r="G243" s="122">
        <v>1000000</v>
      </c>
      <c r="H243" s="59">
        <v>26</v>
      </c>
      <c r="I243" s="81">
        <v>0.20799999999999999</v>
      </c>
      <c r="J243" s="81">
        <v>0.20799999999999999</v>
      </c>
      <c r="K243" s="63">
        <v>15251330769.450001</v>
      </c>
      <c r="L243" s="58">
        <f>(K243/$K$244)</f>
        <v>0.1039757950330442</v>
      </c>
      <c r="M243" s="122">
        <v>1000000</v>
      </c>
      <c r="N243" s="122">
        <v>1000000</v>
      </c>
      <c r="O243" s="59">
        <v>26</v>
      </c>
      <c r="P243" s="81">
        <v>0.2082</v>
      </c>
      <c r="Q243" s="81">
        <v>0.2082</v>
      </c>
      <c r="R243" s="87">
        <f>((K243-D243)/D243)</f>
        <v>3.4971314931596404E-3</v>
      </c>
      <c r="S243" s="87">
        <f>((N243-G243)/G243)</f>
        <v>0</v>
      </c>
      <c r="T243" s="87">
        <f>((O243-H243)/H243)</f>
        <v>0</v>
      </c>
      <c r="U243" s="87">
        <f>P243-I243</f>
        <v>2.0000000000000573E-4</v>
      </c>
      <c r="V243" s="88">
        <f>Q243-J243</f>
        <v>2.0000000000000573E-4</v>
      </c>
    </row>
    <row r="244" spans="1:22" ht="15" customHeight="1">
      <c r="A244" s="116"/>
      <c r="B244" s="116"/>
      <c r="C244" s="117" t="s">
        <v>296</v>
      </c>
      <c r="D244" s="121">
        <f>SUM(D242:D243)</f>
        <v>146628399881.97</v>
      </c>
      <c r="E244" s="123"/>
      <c r="F244" s="124"/>
      <c r="G244" s="124"/>
      <c r="H244" s="121">
        <f>SUM(H242:H243)</f>
        <v>26</v>
      </c>
      <c r="I244" s="132"/>
      <c r="J244" s="132"/>
      <c r="K244" s="121">
        <f>SUM(K242:K243)</f>
        <v>146681549918.45001</v>
      </c>
      <c r="L244" s="123"/>
      <c r="M244" s="124"/>
      <c r="N244" s="124"/>
      <c r="O244" s="121">
        <f>SUM(O242:O243)</f>
        <v>26</v>
      </c>
      <c r="P244" s="132"/>
      <c r="Q244" s="121"/>
      <c r="R244" s="135">
        <f>((K244-D244)/D244)</f>
        <v>3.6248118729246615E-4</v>
      </c>
      <c r="S244" s="136"/>
      <c r="T244" s="136"/>
      <c r="U244" s="135"/>
      <c r="V244" s="137"/>
    </row>
    <row r="245" spans="1:22" ht="4.5" customHeight="1">
      <c r="A245" s="66"/>
      <c r="B245" s="198"/>
      <c r="C245" s="198"/>
      <c r="D245" s="198"/>
      <c r="E245" s="198"/>
      <c r="F245" s="198"/>
      <c r="G245" s="198"/>
      <c r="H245" s="198"/>
      <c r="I245" s="198"/>
      <c r="J245" s="198"/>
      <c r="K245" s="198"/>
      <c r="L245" s="198"/>
      <c r="M245" s="198"/>
      <c r="N245" s="198"/>
      <c r="O245" s="198"/>
      <c r="P245" s="198"/>
      <c r="Q245" s="198"/>
      <c r="R245" s="198"/>
      <c r="S245" s="198"/>
      <c r="T245" s="198"/>
      <c r="U245" s="198"/>
      <c r="V245" s="198"/>
    </row>
    <row r="246" spans="1:22" ht="15.5">
      <c r="A246" s="196" t="s">
        <v>297</v>
      </c>
      <c r="B246" s="196"/>
      <c r="C246" s="196"/>
      <c r="D246" s="196"/>
      <c r="E246" s="196"/>
      <c r="F246" s="196"/>
      <c r="G246" s="196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  <c r="R246" s="196"/>
      <c r="S246" s="196"/>
      <c r="T246" s="196"/>
      <c r="U246" s="196"/>
      <c r="V246" s="196"/>
    </row>
    <row r="247" spans="1:22">
      <c r="A247" s="172">
        <v>1</v>
      </c>
      <c r="B247" s="173" t="s">
        <v>298</v>
      </c>
      <c r="C247" s="174" t="s">
        <v>94</v>
      </c>
      <c r="D247" s="125">
        <v>1408421868.3</v>
      </c>
      <c r="E247" s="126">
        <f t="shared" ref="E247:E258" si="196">(D247/$D$259)</f>
        <v>7.9649081433602553E-2</v>
      </c>
      <c r="F247" s="122">
        <v>344.14</v>
      </c>
      <c r="G247" s="122">
        <v>344.14</v>
      </c>
      <c r="H247" s="127">
        <v>266</v>
      </c>
      <c r="I247" s="83">
        <v>1.95E-2</v>
      </c>
      <c r="J247" s="83">
        <v>0.41139999999999999</v>
      </c>
      <c r="K247" s="125">
        <v>1443169801.9400001</v>
      </c>
      <c r="L247" s="126">
        <f t="shared" ref="L247:L258" si="197">(K247/$K$259)</f>
        <v>8.0441714850729248E-2</v>
      </c>
      <c r="M247" s="122">
        <v>352.68</v>
      </c>
      <c r="N247" s="122">
        <v>352.68</v>
      </c>
      <c r="O247" s="127">
        <v>266</v>
      </c>
      <c r="P247" s="83">
        <v>2.4799999999999999E-2</v>
      </c>
      <c r="Q247" s="83">
        <v>0.44619999999999999</v>
      </c>
      <c r="R247" s="87">
        <f>((K247-D247)/D247)</f>
        <v>2.4671537997305964E-2</v>
      </c>
      <c r="S247" s="87">
        <f>((N247-G247)/G247)</f>
        <v>2.4815482071250134E-2</v>
      </c>
      <c r="T247" s="87">
        <f>((O247-H247)/H247)</f>
        <v>0</v>
      </c>
      <c r="U247" s="87">
        <f>P247-I247</f>
        <v>5.2999999999999992E-3</v>
      </c>
      <c r="V247" s="88">
        <f>Q247-J247</f>
        <v>3.4799999999999998E-2</v>
      </c>
    </row>
    <row r="248" spans="1:22">
      <c r="A248" s="172">
        <v>2</v>
      </c>
      <c r="B248" s="173" t="s">
        <v>299</v>
      </c>
      <c r="C248" s="174" t="s">
        <v>260</v>
      </c>
      <c r="D248" s="125">
        <v>2017262382.9200001</v>
      </c>
      <c r="E248" s="126">
        <f t="shared" si="196"/>
        <v>0.11408023364766029</v>
      </c>
      <c r="F248" s="122">
        <v>57.38</v>
      </c>
      <c r="G248" s="122">
        <v>63.42</v>
      </c>
      <c r="H248" s="127">
        <v>547</v>
      </c>
      <c r="I248" s="83">
        <v>1.2500000000000001E-2</v>
      </c>
      <c r="J248" s="83">
        <v>0.87160000000000004</v>
      </c>
      <c r="K248" s="125">
        <v>2049389633.24</v>
      </c>
      <c r="L248" s="126">
        <f t="shared" si="197"/>
        <v>0.11423216885048611</v>
      </c>
      <c r="M248" s="122">
        <v>58.29</v>
      </c>
      <c r="N248" s="122">
        <v>64.430000000000007</v>
      </c>
      <c r="O248" s="127">
        <v>547</v>
      </c>
      <c r="P248" s="83">
        <v>1.5900000000000001E-2</v>
      </c>
      <c r="Q248" s="83">
        <v>0.90139999999999998</v>
      </c>
      <c r="R248" s="87">
        <f t="shared" ref="R248:R259" si="198">((K248-D248)/D248)</f>
        <v>1.5926163394518633E-2</v>
      </c>
      <c r="S248" s="87">
        <f t="shared" ref="S248:S259" si="199">((N248-G248)/G248)</f>
        <v>1.5925575528224614E-2</v>
      </c>
      <c r="T248" s="87">
        <f t="shared" ref="T248:T259" si="200">((O248-H248)/H248)</f>
        <v>0</v>
      </c>
      <c r="U248" s="87">
        <f t="shared" ref="U248:U259" si="201">P248-I248</f>
        <v>3.4000000000000002E-3</v>
      </c>
      <c r="V248" s="88">
        <f t="shared" ref="V248:V259" si="202">Q248-J248</f>
        <v>2.9799999999999938E-2</v>
      </c>
    </row>
    <row r="249" spans="1:22">
      <c r="A249" s="172">
        <v>3</v>
      </c>
      <c r="B249" s="173" t="s">
        <v>300</v>
      </c>
      <c r="C249" s="174" t="s">
        <v>44</v>
      </c>
      <c r="D249" s="125">
        <v>473939108.94999999</v>
      </c>
      <c r="E249" s="126">
        <f t="shared" si="196"/>
        <v>2.6802207160338497E-2</v>
      </c>
      <c r="F249" s="122">
        <v>39.485534999999999</v>
      </c>
      <c r="G249" s="122">
        <v>39.810077</v>
      </c>
      <c r="H249" s="127">
        <v>249</v>
      </c>
      <c r="I249" s="83">
        <v>1.1599999999999999E-2</v>
      </c>
      <c r="J249" s="83">
        <v>0.23649999999999999</v>
      </c>
      <c r="K249" s="125">
        <v>476183410.47000003</v>
      </c>
      <c r="L249" s="126">
        <f t="shared" si="197"/>
        <v>2.6542275254224063E-2</v>
      </c>
      <c r="M249" s="122">
        <v>39.672516000000002</v>
      </c>
      <c r="N249" s="122">
        <v>40.012690999999997</v>
      </c>
      <c r="O249" s="127">
        <v>218</v>
      </c>
      <c r="P249" s="83">
        <v>4.7000000000000002E-3</v>
      </c>
      <c r="Q249" s="83">
        <v>0.2424</v>
      </c>
      <c r="R249" s="87">
        <f t="shared" si="198"/>
        <v>4.7354216556895531E-3</v>
      </c>
      <c r="S249" s="87">
        <f t="shared" si="199"/>
        <v>5.089515400836752E-3</v>
      </c>
      <c r="T249" s="87">
        <f t="shared" si="200"/>
        <v>-0.12449799196787148</v>
      </c>
      <c r="U249" s="87">
        <f t="shared" si="201"/>
        <v>-6.899999999999999E-3</v>
      </c>
      <c r="V249" s="88">
        <f t="shared" si="202"/>
        <v>5.9000000000000163E-3</v>
      </c>
    </row>
    <row r="250" spans="1:22">
      <c r="A250" s="172">
        <v>4</v>
      </c>
      <c r="B250" s="173" t="s">
        <v>301</v>
      </c>
      <c r="C250" s="174" t="s">
        <v>44</v>
      </c>
      <c r="D250" s="125">
        <v>954285633.63999999</v>
      </c>
      <c r="E250" s="126">
        <f t="shared" si="196"/>
        <v>5.3966766531716011E-2</v>
      </c>
      <c r="F250" s="122">
        <v>81.033406999999997</v>
      </c>
      <c r="G250" s="122">
        <v>81.442075000000003</v>
      </c>
      <c r="H250" s="127">
        <v>280</v>
      </c>
      <c r="I250" s="83">
        <v>-3.4500000000000003E-2</v>
      </c>
      <c r="J250" s="83">
        <v>7.9500000000000001E-2</v>
      </c>
      <c r="K250" s="125">
        <v>962814017.66999996</v>
      </c>
      <c r="L250" s="126">
        <f t="shared" si="197"/>
        <v>5.3666873128568375E-2</v>
      </c>
      <c r="M250" s="122">
        <v>81.757596000000007</v>
      </c>
      <c r="N250" s="122">
        <v>82.190708999999998</v>
      </c>
      <c r="O250" s="127">
        <v>261</v>
      </c>
      <c r="P250" s="83">
        <v>8.8999999999999999E-3</v>
      </c>
      <c r="Q250" s="83">
        <v>8.9099999999999999E-2</v>
      </c>
      <c r="R250" s="87">
        <f t="shared" si="198"/>
        <v>8.9369301280053295E-3</v>
      </c>
      <c r="S250" s="87">
        <f t="shared" si="199"/>
        <v>9.1922264996317383E-3</v>
      </c>
      <c r="T250" s="87">
        <f t="shared" si="200"/>
        <v>-6.7857142857142852E-2</v>
      </c>
      <c r="U250" s="87">
        <f t="shared" si="201"/>
        <v>4.3400000000000001E-2</v>
      </c>
      <c r="V250" s="88">
        <f t="shared" si="202"/>
        <v>9.5999999999999974E-3</v>
      </c>
    </row>
    <row r="251" spans="1:22">
      <c r="A251" s="172">
        <v>5</v>
      </c>
      <c r="B251" s="173" t="s">
        <v>302</v>
      </c>
      <c r="C251" s="174" t="s">
        <v>303</v>
      </c>
      <c r="D251" s="125">
        <v>1968621660.9400001</v>
      </c>
      <c r="E251" s="126">
        <f t="shared" si="196"/>
        <v>0.11132950326412082</v>
      </c>
      <c r="F251" s="122">
        <v>57520</v>
      </c>
      <c r="G251" s="122">
        <v>60990</v>
      </c>
      <c r="H251" s="127">
        <v>320</v>
      </c>
      <c r="I251" s="83">
        <v>2.5999999999999999E-2</v>
      </c>
      <c r="J251" s="83">
        <v>0.56000000000000005</v>
      </c>
      <c r="K251" s="125">
        <v>1978645606.5599999</v>
      </c>
      <c r="L251" s="126">
        <f t="shared" si="197"/>
        <v>0.11028892474024</v>
      </c>
      <c r="M251" s="122">
        <v>58020</v>
      </c>
      <c r="N251" s="122">
        <v>61800</v>
      </c>
      <c r="O251" s="127">
        <v>320</v>
      </c>
      <c r="P251" s="83">
        <v>5.0000000000000001E-3</v>
      </c>
      <c r="Q251" s="83">
        <v>0.56999999999999995</v>
      </c>
      <c r="R251" s="87">
        <f t="shared" si="198"/>
        <v>5.0918598626073924E-3</v>
      </c>
      <c r="S251" s="87">
        <f t="shared" si="199"/>
        <v>1.3280865715691098E-2</v>
      </c>
      <c r="T251" s="87">
        <f t="shared" si="200"/>
        <v>0</v>
      </c>
      <c r="U251" s="87">
        <f t="shared" si="201"/>
        <v>-2.0999999999999998E-2</v>
      </c>
      <c r="V251" s="88">
        <f t="shared" si="202"/>
        <v>9.9999999999998979E-3</v>
      </c>
    </row>
    <row r="252" spans="1:22">
      <c r="A252" s="172">
        <v>6</v>
      </c>
      <c r="B252" s="173" t="s">
        <v>304</v>
      </c>
      <c r="C252" s="174" t="s">
        <v>305</v>
      </c>
      <c r="D252" s="125">
        <v>934132480.03999996</v>
      </c>
      <c r="E252" s="126">
        <f t="shared" si="196"/>
        <v>5.2827065275750852E-2</v>
      </c>
      <c r="F252" s="122">
        <v>847.12</v>
      </c>
      <c r="G252" s="122">
        <v>847.12</v>
      </c>
      <c r="H252" s="127">
        <v>174</v>
      </c>
      <c r="I252" s="83">
        <v>1.2E-2</v>
      </c>
      <c r="J252" s="83">
        <v>0.44450000000000001</v>
      </c>
      <c r="K252" s="125">
        <v>935312216.23000002</v>
      </c>
      <c r="L252" s="126">
        <f t="shared" si="197"/>
        <v>5.2133933576795639E-2</v>
      </c>
      <c r="M252" s="122">
        <v>1148</v>
      </c>
      <c r="N252" s="122">
        <v>1148</v>
      </c>
      <c r="O252" s="127">
        <v>174</v>
      </c>
      <c r="P252" s="83">
        <v>1.2999999999999999E-3</v>
      </c>
      <c r="Q252" s="83">
        <v>0.44619999999999999</v>
      </c>
      <c r="R252" s="87">
        <f t="shared" si="198"/>
        <v>1.2629217110077795E-3</v>
      </c>
      <c r="S252" s="87">
        <f t="shared" si="199"/>
        <v>0.35517990367362356</v>
      </c>
      <c r="T252" s="87">
        <f t="shared" si="200"/>
        <v>0</v>
      </c>
      <c r="U252" s="87">
        <f t="shared" si="201"/>
        <v>-1.0700000000000001E-2</v>
      </c>
      <c r="V252" s="88">
        <f t="shared" si="202"/>
        <v>1.6999999999999793E-3</v>
      </c>
    </row>
    <row r="253" spans="1:22">
      <c r="A253" s="172">
        <v>7</v>
      </c>
      <c r="B253" s="173" t="s">
        <v>306</v>
      </c>
      <c r="C253" s="174" t="s">
        <v>305</v>
      </c>
      <c r="D253" s="125">
        <v>1035358512.23</v>
      </c>
      <c r="E253" s="126">
        <f t="shared" si="196"/>
        <v>5.8551600418643442E-2</v>
      </c>
      <c r="F253" s="122">
        <v>1148.18</v>
      </c>
      <c r="G253" s="122">
        <v>1148.18</v>
      </c>
      <c r="H253" s="127">
        <v>1793</v>
      </c>
      <c r="I253" s="83">
        <v>1.6299999999999999E-2</v>
      </c>
      <c r="J253" s="83">
        <v>0.42870000000000003</v>
      </c>
      <c r="K253" s="125">
        <v>1044414681.59</v>
      </c>
      <c r="L253" s="126">
        <f t="shared" si="197"/>
        <v>5.8215261911273616E-2</v>
      </c>
      <c r="M253" s="122">
        <v>999.99</v>
      </c>
      <c r="N253" s="122">
        <v>999.99</v>
      </c>
      <c r="O253" s="127">
        <v>1793</v>
      </c>
      <c r="P253" s="83">
        <v>8.8000000000000005E-3</v>
      </c>
      <c r="Q253" s="83">
        <v>0.44109999999999999</v>
      </c>
      <c r="R253" s="87">
        <f t="shared" si="198"/>
        <v>8.7468922629461415E-3</v>
      </c>
      <c r="S253" s="87">
        <f t="shared" si="199"/>
        <v>-0.12906512916093299</v>
      </c>
      <c r="T253" s="87">
        <f t="shared" si="200"/>
        <v>0</v>
      </c>
      <c r="U253" s="87">
        <f t="shared" si="201"/>
        <v>-7.499999999999998E-3</v>
      </c>
      <c r="V253" s="88">
        <f t="shared" si="202"/>
        <v>1.2399999999999967E-2</v>
      </c>
    </row>
    <row r="254" spans="1:22">
      <c r="A254" s="172">
        <v>8</v>
      </c>
      <c r="B254" s="173" t="s">
        <v>307</v>
      </c>
      <c r="C254" s="174" t="s">
        <v>308</v>
      </c>
      <c r="D254" s="125">
        <v>160609543.81999999</v>
      </c>
      <c r="E254" s="126">
        <f t="shared" si="196"/>
        <v>9.0827918272624406E-3</v>
      </c>
      <c r="F254" s="122">
        <v>35.61</v>
      </c>
      <c r="G254" s="122">
        <v>35.71</v>
      </c>
      <c r="H254" s="127">
        <v>262</v>
      </c>
      <c r="I254" s="83">
        <v>-6.7199999999999996E-2</v>
      </c>
      <c r="J254" s="83">
        <v>0.97670000000000001</v>
      </c>
      <c r="K254" s="125">
        <v>169287975.09</v>
      </c>
      <c r="L254" s="126">
        <f t="shared" si="197"/>
        <v>9.4360448795015039E-3</v>
      </c>
      <c r="M254" s="122">
        <v>37.22</v>
      </c>
      <c r="N254" s="122">
        <v>37.32</v>
      </c>
      <c r="O254" s="127">
        <v>262</v>
      </c>
      <c r="P254" s="83">
        <v>1.7600000000000001E-2</v>
      </c>
      <c r="Q254" s="83">
        <v>1.0116000000000001</v>
      </c>
      <c r="R254" s="87">
        <f t="shared" si="198"/>
        <v>5.4034343561340244E-2</v>
      </c>
      <c r="S254" s="87">
        <f t="shared" si="199"/>
        <v>4.5085410249229893E-2</v>
      </c>
      <c r="T254" s="87">
        <f t="shared" si="200"/>
        <v>0</v>
      </c>
      <c r="U254" s="87">
        <f t="shared" si="201"/>
        <v>8.48E-2</v>
      </c>
      <c r="V254" s="88">
        <f t="shared" si="202"/>
        <v>3.4900000000000042E-2</v>
      </c>
    </row>
    <row r="255" spans="1:22">
      <c r="A255" s="172">
        <v>9</v>
      </c>
      <c r="B255" s="173" t="s">
        <v>309</v>
      </c>
      <c r="C255" s="174" t="s">
        <v>308</v>
      </c>
      <c r="D255" s="128">
        <v>871923536.96000004</v>
      </c>
      <c r="E255" s="126">
        <f t="shared" si="196"/>
        <v>4.9309024776097207E-2</v>
      </c>
      <c r="F255" s="122">
        <v>14.19</v>
      </c>
      <c r="G255" s="122">
        <v>14.29</v>
      </c>
      <c r="H255" s="127">
        <v>381</v>
      </c>
      <c r="I255" s="83">
        <v>3.6999999999999998E-2</v>
      </c>
      <c r="J255" s="83">
        <v>0.28439999999999999</v>
      </c>
      <c r="K255" s="128">
        <v>896340765.15999997</v>
      </c>
      <c r="L255" s="126">
        <f t="shared" si="197"/>
        <v>4.9961680284024465E-2</v>
      </c>
      <c r="M255" s="122">
        <v>14.59</v>
      </c>
      <c r="N255" s="122">
        <v>14.69</v>
      </c>
      <c r="O255" s="127">
        <v>381</v>
      </c>
      <c r="P255" s="83">
        <v>1.43E-2</v>
      </c>
      <c r="Q255" s="83">
        <v>0.30280000000000001</v>
      </c>
      <c r="R255" s="87">
        <f t="shared" si="198"/>
        <v>2.8003864060295557E-2</v>
      </c>
      <c r="S255" s="87">
        <f t="shared" si="199"/>
        <v>2.7991602519244253E-2</v>
      </c>
      <c r="T255" s="87">
        <f t="shared" si="200"/>
        <v>0</v>
      </c>
      <c r="U255" s="87">
        <f t="shared" si="201"/>
        <v>-2.2699999999999998E-2</v>
      </c>
      <c r="V255" s="88">
        <f t="shared" si="202"/>
        <v>1.8400000000000027E-2</v>
      </c>
    </row>
    <row r="256" spans="1:22" ht="15" customHeight="1">
      <c r="A256" s="172">
        <v>10</v>
      </c>
      <c r="B256" s="173" t="s">
        <v>310</v>
      </c>
      <c r="C256" s="174" t="s">
        <v>308</v>
      </c>
      <c r="D256" s="125">
        <v>144793335.66999999</v>
      </c>
      <c r="E256" s="126">
        <f t="shared" si="196"/>
        <v>8.1883535348275874E-3</v>
      </c>
      <c r="F256" s="122">
        <v>140.11000000000001</v>
      </c>
      <c r="G256" s="122">
        <v>142.11000000000001</v>
      </c>
      <c r="H256" s="127">
        <v>407</v>
      </c>
      <c r="I256" s="83">
        <v>-8.2600000000000007E-2</v>
      </c>
      <c r="J256" s="83">
        <v>-2.4400000000000002E-2</v>
      </c>
      <c r="K256" s="125">
        <v>147242321.22</v>
      </c>
      <c r="L256" s="126">
        <f t="shared" si="197"/>
        <v>8.2072288386416462E-3</v>
      </c>
      <c r="M256" s="122">
        <v>142.5</v>
      </c>
      <c r="N256" s="122">
        <v>144.5</v>
      </c>
      <c r="O256" s="127">
        <v>407</v>
      </c>
      <c r="P256" s="83">
        <v>0.05</v>
      </c>
      <c r="Q256" s="83">
        <v>2.4400000000000002E-2</v>
      </c>
      <c r="R256" s="87">
        <f t="shared" si="198"/>
        <v>1.6913662073381061E-2</v>
      </c>
      <c r="S256" s="87">
        <f t="shared" si="199"/>
        <v>1.6817957919921089E-2</v>
      </c>
      <c r="T256" s="87">
        <f t="shared" si="200"/>
        <v>0</v>
      </c>
      <c r="U256" s="87">
        <f t="shared" si="201"/>
        <v>0.1326</v>
      </c>
      <c r="V256" s="88">
        <f t="shared" si="202"/>
        <v>4.8800000000000003E-2</v>
      </c>
    </row>
    <row r="257" spans="1:26">
      <c r="A257" s="172">
        <v>11</v>
      </c>
      <c r="B257" s="173" t="s">
        <v>311</v>
      </c>
      <c r="C257" s="174" t="s">
        <v>308</v>
      </c>
      <c r="D257" s="125">
        <v>7617705521.3199997</v>
      </c>
      <c r="E257" s="126">
        <f t="shared" si="196"/>
        <v>0.43079652557310444</v>
      </c>
      <c r="F257" s="122">
        <v>54.91</v>
      </c>
      <c r="G257" s="122">
        <v>55.11</v>
      </c>
      <c r="H257" s="127">
        <v>721</v>
      </c>
      <c r="I257" s="83">
        <v>-0.1867</v>
      </c>
      <c r="J257" s="83">
        <v>0.43090000000000001</v>
      </c>
      <c r="K257" s="125">
        <v>7740461312.2399998</v>
      </c>
      <c r="L257" s="126">
        <f t="shared" si="197"/>
        <v>0.43145025682722721</v>
      </c>
      <c r="M257" s="122">
        <v>55.7</v>
      </c>
      <c r="N257" s="122">
        <v>55.9</v>
      </c>
      <c r="O257" s="127">
        <v>721</v>
      </c>
      <c r="P257" s="83">
        <v>9.6699999999999994E-2</v>
      </c>
      <c r="Q257" s="83">
        <v>0.56910000000000005</v>
      </c>
      <c r="R257" s="87">
        <f t="shared" si="198"/>
        <v>1.6114536139056331E-2</v>
      </c>
      <c r="S257" s="87">
        <f t="shared" si="199"/>
        <v>1.4334966430774799E-2</v>
      </c>
      <c r="T257" s="87">
        <f t="shared" si="200"/>
        <v>0</v>
      </c>
      <c r="U257" s="87">
        <f t="shared" si="201"/>
        <v>0.28339999999999999</v>
      </c>
      <c r="V257" s="88">
        <f t="shared" si="202"/>
        <v>0.13820000000000005</v>
      </c>
    </row>
    <row r="258" spans="1:26">
      <c r="A258" s="172">
        <v>12</v>
      </c>
      <c r="B258" s="173" t="s">
        <v>312</v>
      </c>
      <c r="C258" s="174" t="s">
        <v>308</v>
      </c>
      <c r="D258" s="128">
        <v>95785224.519999996</v>
      </c>
      <c r="E258" s="126">
        <f t="shared" si="196"/>
        <v>5.4168465568757629E-3</v>
      </c>
      <c r="F258" s="122">
        <v>55.15</v>
      </c>
      <c r="G258" s="122">
        <v>55.35</v>
      </c>
      <c r="H258" s="127">
        <v>288</v>
      </c>
      <c r="I258" s="83">
        <v>0.05</v>
      </c>
      <c r="J258" s="83">
        <v>0.50539999999999996</v>
      </c>
      <c r="K258" s="128">
        <v>97303108.780000001</v>
      </c>
      <c r="L258" s="126">
        <f t="shared" si="197"/>
        <v>5.4236368582881896E-3</v>
      </c>
      <c r="M258" s="122">
        <v>55.55</v>
      </c>
      <c r="N258" s="122">
        <v>55.75</v>
      </c>
      <c r="O258" s="127">
        <v>288</v>
      </c>
      <c r="P258" s="83">
        <v>-9.6799999999999997E-2</v>
      </c>
      <c r="Q258" s="83">
        <v>0.35959999999999998</v>
      </c>
      <c r="R258" s="87">
        <f t="shared" si="198"/>
        <v>1.5846747424839731E-2</v>
      </c>
      <c r="S258" s="87">
        <f t="shared" si="199"/>
        <v>7.2267389340559818E-3</v>
      </c>
      <c r="T258" s="87">
        <f t="shared" si="200"/>
        <v>0</v>
      </c>
      <c r="U258" s="87">
        <f t="shared" si="201"/>
        <v>-0.14679999999999999</v>
      </c>
      <c r="V258" s="88">
        <f t="shared" si="202"/>
        <v>-0.14579999999999999</v>
      </c>
    </row>
    <row r="259" spans="1:26">
      <c r="A259" s="138"/>
      <c r="B259" s="138"/>
      <c r="C259" s="139" t="s">
        <v>313</v>
      </c>
      <c r="D259" s="121">
        <f>SUM(D247:D258)</f>
        <v>17682838809.310001</v>
      </c>
      <c r="E259" s="123"/>
      <c r="F259" s="123"/>
      <c r="G259" s="124"/>
      <c r="H259" s="121">
        <f>SUM(H247:H258)</f>
        <v>5688</v>
      </c>
      <c r="I259" s="132"/>
      <c r="J259" s="132"/>
      <c r="K259" s="121">
        <f>SUM(K247:K258)</f>
        <v>17940564850.189999</v>
      </c>
      <c r="L259" s="123"/>
      <c r="M259" s="123"/>
      <c r="N259" s="124"/>
      <c r="O259" s="121">
        <f>SUM(O247:O258)</f>
        <v>5638</v>
      </c>
      <c r="P259" s="132"/>
      <c r="Q259" s="132"/>
      <c r="R259" s="87">
        <f t="shared" si="198"/>
        <v>1.4574924516322836E-2</v>
      </c>
      <c r="S259" s="87" t="e">
        <f t="shared" si="199"/>
        <v>#DIV/0!</v>
      </c>
      <c r="T259" s="87">
        <f t="shared" si="200"/>
        <v>-8.7904360056258787E-3</v>
      </c>
      <c r="U259" s="87">
        <f t="shared" si="201"/>
        <v>0</v>
      </c>
      <c r="V259" s="88">
        <f t="shared" si="202"/>
        <v>0</v>
      </c>
      <c r="Z259" s="96"/>
    </row>
    <row r="260" spans="1:26">
      <c r="A260" s="140"/>
      <c r="B260" s="140"/>
      <c r="C260" s="141" t="s">
        <v>314</v>
      </c>
      <c r="D260" s="142">
        <f>SUM(D231,D239,D244,D259)</f>
        <v>7705328787715.04</v>
      </c>
      <c r="E260" s="143"/>
      <c r="F260" s="143"/>
      <c r="G260" s="144"/>
      <c r="H260" s="142">
        <f>SUM(H231,H239,H244,H259)</f>
        <v>1100050</v>
      </c>
      <c r="I260" s="155"/>
      <c r="J260" s="155"/>
      <c r="K260" s="142">
        <f>SUM(K231,K239,K244,K259)</f>
        <v>7786497084164.5273</v>
      </c>
      <c r="L260" s="143"/>
      <c r="M260" s="143"/>
      <c r="N260" s="142"/>
      <c r="O260" s="142">
        <f>SUM(O231,O239,O244,O259)</f>
        <v>1106563</v>
      </c>
      <c r="P260" s="156"/>
      <c r="Q260" s="142"/>
      <c r="R260" s="160"/>
      <c r="S260" s="161"/>
      <c r="T260" s="161"/>
      <c r="U260" s="162"/>
      <c r="V260" s="162"/>
      <c r="Z260" s="96"/>
    </row>
    <row r="261" spans="1:26">
      <c r="A261" s="145" t="s">
        <v>315</v>
      </c>
      <c r="B261" s="146" t="s">
        <v>335</v>
      </c>
      <c r="C261" s="147"/>
      <c r="D261" s="147"/>
      <c r="E261" s="147"/>
      <c r="F261" s="147"/>
      <c r="G261" s="147"/>
      <c r="H261" s="147"/>
      <c r="I261" s="147"/>
      <c r="J261" s="147"/>
      <c r="K261" s="147"/>
      <c r="L261" s="147"/>
      <c r="M261" s="147"/>
      <c r="N261" s="147"/>
      <c r="O261" s="147"/>
      <c r="P261" s="147"/>
      <c r="Q261" s="147"/>
      <c r="R261" s="147"/>
      <c r="S261" s="147"/>
      <c r="T261" s="147"/>
      <c r="U261" s="147"/>
      <c r="V261" s="147"/>
    </row>
    <row r="262" spans="1:26">
      <c r="B262" s="148"/>
    </row>
    <row r="263" spans="1:26">
      <c r="B263" s="148"/>
      <c r="C263" s="149"/>
      <c r="D263" s="150"/>
      <c r="K263" s="150"/>
    </row>
    <row r="264" spans="1:26" ht="15">
      <c r="B264" s="151"/>
      <c r="C264" s="152"/>
      <c r="D264" s="153"/>
      <c r="F264" s="154"/>
      <c r="G264" s="154"/>
      <c r="I264" s="157"/>
      <c r="J264" s="158"/>
    </row>
    <row r="265" spans="1:26">
      <c r="C265" s="148"/>
    </row>
    <row r="266" spans="1:26">
      <c r="K266" s="134"/>
    </row>
    <row r="267" spans="1:26">
      <c r="B267" s="149"/>
    </row>
    <row r="268" spans="1:26">
      <c r="K268" s="159"/>
    </row>
  </sheetData>
  <sheetProtection algorithmName="SHA-512" hashValue="jfsKHqTNkFlB2wSS2t8adQhImk4/JgJ21lj1r8n8Z7u4Dwrn72lvPbAKY2hNGHvOt/Vqb2vF7cSXHIZk4fNbWg==" saltValue="UR+gXO0Y1iIOaywZflSi0g==" spinCount="100000" sheet="1" objects="1" scenarios="1"/>
  <sortState ref="A150:C177">
    <sortCondition descending="1" ref="A149"/>
  </sortState>
  <mergeCells count="34">
    <mergeCell ref="A233:V233"/>
    <mergeCell ref="A241:V241"/>
    <mergeCell ref="B245:V245"/>
    <mergeCell ref="A246:V246"/>
    <mergeCell ref="B208:V208"/>
    <mergeCell ref="A209:V209"/>
    <mergeCell ref="B224:V224"/>
    <mergeCell ref="A225:V225"/>
    <mergeCell ref="B232:U232"/>
    <mergeCell ref="B198:V198"/>
    <mergeCell ref="A199:V199"/>
    <mergeCell ref="B203:V203"/>
    <mergeCell ref="A204:V204"/>
    <mergeCell ref="A205:V205"/>
    <mergeCell ref="A136:V136"/>
    <mergeCell ref="B157:V157"/>
    <mergeCell ref="A158:V158"/>
    <mergeCell ref="B166:V166"/>
    <mergeCell ref="A167:V167"/>
    <mergeCell ref="A74:V74"/>
    <mergeCell ref="B115:V115"/>
    <mergeCell ref="A116:V116"/>
    <mergeCell ref="A117:V117"/>
    <mergeCell ref="B135:V135"/>
    <mergeCell ref="B4:V4"/>
    <mergeCell ref="A5:V5"/>
    <mergeCell ref="B27:V27"/>
    <mergeCell ref="A28:V28"/>
    <mergeCell ref="B73:V73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E99 E79 L51 E51 L35 E35 L141 E141" formula="1"/>
    <ignoredError sqref="S165 S26 S72 S114 S156 S197 S202 S230 S259 T242:T243 R52:T52 R141 R129:T129 R47:T4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workbookViewId="0">
      <selection activeCell="E8" sqref="E8"/>
    </sheetView>
  </sheetViews>
  <sheetFormatPr defaultColWidth="9" defaultRowHeight="14.5"/>
  <cols>
    <col min="1" max="1" width="34" style="20" customWidth="1"/>
    <col min="2" max="2" width="15.6328125" style="20" customWidth="1"/>
    <col min="3" max="3" width="16.08984375" style="20" customWidth="1"/>
    <col min="4" max="5" width="9" style="20"/>
  </cols>
  <sheetData>
    <row r="1" spans="1:7">
      <c r="D1" s="15"/>
      <c r="E1" s="15"/>
      <c r="F1" s="15"/>
      <c r="G1" s="15"/>
    </row>
    <row r="2" spans="1:7" ht="26.5">
      <c r="A2" s="36" t="s">
        <v>316</v>
      </c>
      <c r="B2" s="37" t="s">
        <v>332</v>
      </c>
      <c r="C2" s="37" t="s">
        <v>336</v>
      </c>
      <c r="D2" s="182"/>
      <c r="E2" s="15"/>
      <c r="F2" s="15"/>
      <c r="G2" s="15"/>
    </row>
    <row r="3" spans="1:7">
      <c r="A3" s="38" t="s">
        <v>18</v>
      </c>
      <c r="B3" s="39">
        <f t="shared" ref="B3:C10" si="0">B13</f>
        <v>78.447194943245108</v>
      </c>
      <c r="C3" s="39">
        <f t="shared" si="0"/>
        <v>79.735701358927486</v>
      </c>
      <c r="D3" s="182"/>
      <c r="E3" s="15"/>
      <c r="F3" s="15"/>
      <c r="G3" s="15"/>
    </row>
    <row r="4" spans="1:7" ht="15.65" customHeight="1">
      <c r="A4" s="36" t="s">
        <v>57</v>
      </c>
      <c r="B4" s="40">
        <f t="shared" si="0"/>
        <v>4642.4481893707552</v>
      </c>
      <c r="C4" s="40">
        <f t="shared" si="0"/>
        <v>4678.0501099592366</v>
      </c>
      <c r="D4" s="182"/>
      <c r="E4" s="15"/>
      <c r="F4" s="15"/>
      <c r="G4" s="15"/>
    </row>
    <row r="5" spans="1:7" ht="16.25" customHeight="1">
      <c r="A5" s="36" t="s">
        <v>317</v>
      </c>
      <c r="B5" s="39">
        <f t="shared" si="0"/>
        <v>238.89601890252337</v>
      </c>
      <c r="C5" s="39">
        <f t="shared" si="0"/>
        <v>238.34022525366325</v>
      </c>
      <c r="D5" s="182"/>
      <c r="E5" s="15"/>
      <c r="F5" s="15"/>
      <c r="G5" s="15"/>
    </row>
    <row r="6" spans="1:7">
      <c r="A6" s="36" t="s">
        <v>175</v>
      </c>
      <c r="B6" s="40">
        <f t="shared" si="0"/>
        <v>1912.2739581349629</v>
      </c>
      <c r="C6" s="40">
        <f t="shared" si="0"/>
        <v>1954.2625274940337</v>
      </c>
      <c r="D6" s="182"/>
      <c r="E6" s="15"/>
      <c r="F6" s="15"/>
      <c r="G6" s="15"/>
    </row>
    <row r="7" spans="1:7">
      <c r="A7" s="36" t="s">
        <v>318</v>
      </c>
      <c r="B7" s="39">
        <f t="shared" si="0"/>
        <v>481.59935572708673</v>
      </c>
      <c r="C7" s="39">
        <f t="shared" si="0"/>
        <v>482.35253333453676</v>
      </c>
      <c r="D7" s="182"/>
      <c r="E7" s="15"/>
      <c r="F7" s="15"/>
      <c r="G7" s="15"/>
    </row>
    <row r="8" spans="1:7">
      <c r="A8" s="36" t="s">
        <v>221</v>
      </c>
      <c r="B8" s="41">
        <f t="shared" si="0"/>
        <v>83.138604455992663</v>
      </c>
      <c r="C8" s="41">
        <f t="shared" si="0"/>
        <v>83.857951344086956</v>
      </c>
      <c r="D8" s="182"/>
      <c r="E8" s="15"/>
      <c r="F8" s="15"/>
      <c r="G8" s="15"/>
    </row>
    <row r="9" spans="1:7">
      <c r="A9" s="36" t="s">
        <v>253</v>
      </c>
      <c r="B9" s="39">
        <f t="shared" si="0"/>
        <v>8.3457285991300001</v>
      </c>
      <c r="C9" s="39">
        <f t="shared" si="0"/>
        <v>8.3228212168900004</v>
      </c>
      <c r="D9" s="182"/>
      <c r="E9" s="15"/>
      <c r="F9" s="15"/>
      <c r="G9" s="15"/>
    </row>
    <row r="10" spans="1:7">
      <c r="A10" s="36" t="s">
        <v>319</v>
      </c>
      <c r="B10" s="39">
        <f t="shared" si="0"/>
        <v>77.276900112016634</v>
      </c>
      <c r="C10" s="39">
        <f t="shared" si="0"/>
        <v>78.263241502671121</v>
      </c>
      <c r="D10" s="182"/>
      <c r="E10" s="15"/>
      <c r="F10" s="15"/>
      <c r="G10" s="15"/>
    </row>
    <row r="11" spans="1:7">
      <c r="A11" s="36"/>
      <c r="B11" s="39"/>
      <c r="C11" s="39"/>
      <c r="D11" s="182"/>
      <c r="E11" s="15"/>
      <c r="F11" s="15"/>
      <c r="G11" s="15"/>
    </row>
    <row r="12" spans="1:7">
      <c r="D12" s="15"/>
      <c r="E12" s="15"/>
      <c r="F12" s="15"/>
      <c r="G12" s="15"/>
    </row>
    <row r="13" spans="1:7">
      <c r="A13" s="42" t="s">
        <v>18</v>
      </c>
      <c r="B13" s="43">
        <f>'Weekly Valuation'!D26/1000000000</f>
        <v>78.447194943245108</v>
      </c>
      <c r="C13" s="44">
        <f>'Weekly Valuation'!K26/1000000000</f>
        <v>79.735701358927486</v>
      </c>
      <c r="D13" s="15"/>
      <c r="E13" s="15"/>
      <c r="F13" s="15"/>
      <c r="G13" s="15"/>
    </row>
    <row r="14" spans="1:7">
      <c r="A14" s="45" t="s">
        <v>57</v>
      </c>
      <c r="B14" s="43">
        <f>'Weekly Valuation'!D72/1000000000</f>
        <v>4642.4481893707552</v>
      </c>
      <c r="C14" s="46">
        <f>'Weekly Valuation'!K72/1000000000</f>
        <v>4678.0501099592366</v>
      </c>
      <c r="D14" s="15"/>
      <c r="E14" s="15"/>
      <c r="F14" s="15"/>
      <c r="G14" s="15"/>
    </row>
    <row r="15" spans="1:7">
      <c r="A15" s="45" t="s">
        <v>317</v>
      </c>
      <c r="B15" s="43">
        <f>'Weekly Valuation'!D114/1000000000</f>
        <v>238.89601890252337</v>
      </c>
      <c r="C15" s="44">
        <f>'Weekly Valuation'!K114/1000000000</f>
        <v>238.34022525366325</v>
      </c>
      <c r="D15" s="15"/>
      <c r="E15" s="15"/>
      <c r="F15" s="15"/>
      <c r="G15" s="15"/>
    </row>
    <row r="16" spans="1:7">
      <c r="A16" s="45" t="s">
        <v>175</v>
      </c>
      <c r="B16" s="43">
        <f>'Weekly Valuation'!D156/1000000000</f>
        <v>1912.2739581349629</v>
      </c>
      <c r="C16" s="46">
        <f>'Weekly Valuation'!K156/1000000000</f>
        <v>1954.2625274940337</v>
      </c>
      <c r="D16" s="15"/>
      <c r="E16" s="15"/>
      <c r="F16" s="15"/>
      <c r="G16" s="15"/>
    </row>
    <row r="17" spans="1:7">
      <c r="A17" s="45" t="s">
        <v>318</v>
      </c>
      <c r="B17" s="43">
        <f>'Weekly Valuation'!D165/1000000000</f>
        <v>481.59935572708673</v>
      </c>
      <c r="C17" s="44">
        <f>'Weekly Valuation'!K165/1000000000</f>
        <v>482.35253333453676</v>
      </c>
      <c r="D17" s="15"/>
      <c r="E17" s="15"/>
      <c r="F17" s="15"/>
      <c r="G17" s="15"/>
    </row>
    <row r="18" spans="1:7">
      <c r="A18" s="45" t="s">
        <v>221</v>
      </c>
      <c r="B18" s="43">
        <f>'Weekly Valuation'!D197/1000000000</f>
        <v>83.138604455992663</v>
      </c>
      <c r="C18" s="47">
        <f>'Weekly Valuation'!K197/1000000000</f>
        <v>83.857951344086956</v>
      </c>
      <c r="D18" s="15"/>
      <c r="E18" s="15"/>
      <c r="F18" s="15"/>
      <c r="G18" s="15"/>
    </row>
    <row r="19" spans="1:7">
      <c r="A19" s="45" t="s">
        <v>253</v>
      </c>
      <c r="B19" s="43">
        <f>'Weekly Valuation'!D202/1000000000</f>
        <v>8.3457285991300001</v>
      </c>
      <c r="C19" s="44">
        <f>'Weekly Valuation'!K202/1000000000</f>
        <v>8.3228212168900004</v>
      </c>
      <c r="D19" s="15"/>
      <c r="E19" s="15"/>
      <c r="F19" s="15"/>
      <c r="G19" s="15"/>
    </row>
    <row r="20" spans="1:7">
      <c r="A20" s="45" t="s">
        <v>319</v>
      </c>
      <c r="B20" s="43">
        <f>'Weekly Valuation'!D230/1000000000</f>
        <v>77.276900112016634</v>
      </c>
      <c r="C20" s="44">
        <f>'Weekly Valuation'!K230/1000000000</f>
        <v>78.263241502671121</v>
      </c>
      <c r="D20" s="15"/>
      <c r="E20" s="15"/>
      <c r="F20" s="15"/>
      <c r="G20" s="15"/>
    </row>
    <row r="21" spans="1:7">
      <c r="A21" s="34"/>
      <c r="C21" s="32"/>
      <c r="D21" s="15"/>
      <c r="E21" s="15"/>
      <c r="F21" s="15"/>
      <c r="G21" s="15"/>
    </row>
    <row r="22" spans="1:7">
      <c r="A22" s="34"/>
      <c r="C22" s="30"/>
      <c r="D22" s="15"/>
      <c r="E22" s="15"/>
      <c r="F22" s="15"/>
      <c r="G22" s="15"/>
    </row>
    <row r="23" spans="1:7">
      <c r="A23" s="34"/>
      <c r="B23" s="30"/>
      <c r="C23" s="31"/>
      <c r="D23" s="15"/>
      <c r="E23" s="15"/>
      <c r="F23" s="15"/>
      <c r="G23" s="15"/>
    </row>
    <row r="24" spans="1:7">
      <c r="A24" s="183"/>
      <c r="B24" s="185"/>
      <c r="C24" s="185"/>
      <c r="D24" s="15"/>
      <c r="E24" s="15"/>
      <c r="F24" s="15"/>
      <c r="G24" s="15"/>
    </row>
    <row r="25" spans="1:7">
      <c r="A25" s="183"/>
      <c r="B25" s="185"/>
      <c r="C25" s="185"/>
      <c r="D25" s="15"/>
      <c r="E25" s="15"/>
      <c r="F25" s="15"/>
      <c r="G25" s="15"/>
    </row>
    <row r="26" spans="1:7">
      <c r="A26" s="183"/>
      <c r="B26" s="185"/>
      <c r="C26" s="185"/>
      <c r="D26" s="15"/>
      <c r="E26" s="15"/>
      <c r="F26" s="15"/>
      <c r="G26" s="15"/>
    </row>
    <row r="27" spans="1:7">
      <c r="A27" s="183"/>
      <c r="B27" s="185"/>
      <c r="C27" s="185"/>
      <c r="D27" s="15"/>
      <c r="E27" s="15"/>
      <c r="F27" s="15"/>
      <c r="G27" s="15"/>
    </row>
    <row r="28" spans="1:7">
      <c r="A28" s="15"/>
      <c r="B28" s="15"/>
      <c r="C28" s="15"/>
      <c r="D28" s="15"/>
      <c r="E28" s="15"/>
      <c r="F28" s="15"/>
      <c r="G28" s="15"/>
    </row>
    <row r="29" spans="1:7">
      <c r="A29" s="15"/>
      <c r="B29" s="15"/>
      <c r="C29" s="15"/>
      <c r="D29" s="15"/>
      <c r="E29" s="15"/>
      <c r="F29" s="15"/>
      <c r="G29" s="15"/>
    </row>
  </sheetData>
  <sheetProtection algorithmName="SHA-512" hashValue="PJjPFVhiJcPMHEGa8vLeZ850JwHO8O0asaFg9ZaTcXnOu8mi4svDH9NMl0XUTu10dBDTf0o1JppghH9InkUSpQ==" saltValue="CcE8p4mxMnOkj0y4phMjH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H13" sqref="H13"/>
    </sheetView>
  </sheetViews>
  <sheetFormatPr defaultColWidth="9" defaultRowHeight="14.5"/>
  <cols>
    <col min="1" max="1" width="31.36328125" customWidth="1"/>
    <col min="2" max="2" width="17.453125" customWidth="1"/>
    <col min="16" max="16" width="7.54296875" customWidth="1"/>
  </cols>
  <sheetData>
    <row r="1" spans="1:16" ht="15.5">
      <c r="A1" s="26" t="s">
        <v>316</v>
      </c>
      <c r="B1" s="27">
        <v>46010</v>
      </c>
      <c r="C1" s="187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29" t="s">
        <v>253</v>
      </c>
      <c r="B2" s="30">
        <f>'Weekly Valuation'!K202</f>
        <v>8322821216.8900003</v>
      </c>
      <c r="C2" s="187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29" t="s">
        <v>18</v>
      </c>
      <c r="B3" s="30">
        <f>'Weekly Valuation'!K26</f>
        <v>79735701358.92749</v>
      </c>
      <c r="C3" s="18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29" t="s">
        <v>319</v>
      </c>
      <c r="B4" s="31">
        <f>'Weekly Valuation'!K230</f>
        <v>78263241502.671127</v>
      </c>
      <c r="C4" s="187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29" t="s">
        <v>221</v>
      </c>
      <c r="B5" s="30">
        <f>'Weekly Valuation'!K197</f>
        <v>83857951344.08696</v>
      </c>
      <c r="C5" s="18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29" t="s">
        <v>318</v>
      </c>
      <c r="B6" s="30">
        <f>'Weekly Valuation'!K165</f>
        <v>482352533334.53674</v>
      </c>
      <c r="C6" s="187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29" t="s">
        <v>317</v>
      </c>
      <c r="B7" s="30">
        <f>'Weekly Valuation'!K114</f>
        <v>238340225253.66324</v>
      </c>
      <c r="C7" s="187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29" t="s">
        <v>175</v>
      </c>
      <c r="B8" s="32">
        <f>'Weekly Valuation'!K156</f>
        <v>1954262527494.0337</v>
      </c>
      <c r="C8" s="187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29" t="s">
        <v>57</v>
      </c>
      <c r="B9" s="32">
        <f>'Weekly Valuation'!K72</f>
        <v>4678050109959.2363</v>
      </c>
      <c r="C9" s="187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28"/>
      <c r="B10" s="28"/>
      <c r="C10" s="187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29"/>
      <c r="B11" s="33"/>
      <c r="C11" s="187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88"/>
      <c r="B12" s="187"/>
      <c r="C12" s="187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85"/>
      <c r="B13" s="185"/>
      <c r="C13" s="187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85"/>
      <c r="B14" s="18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183"/>
      <c r="B15" s="18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185"/>
      <c r="B16" s="18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185"/>
      <c r="B17" s="18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184"/>
      <c r="B18" s="18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184"/>
      <c r="B19" s="18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184"/>
      <c r="B20" s="18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183"/>
      <c r="B21" s="18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5"/>
      <c r="B22" s="18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99"/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35"/>
    </row>
    <row r="33" spans="1:17" ht="15" customHeight="1">
      <c r="A33" s="199"/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35"/>
    </row>
  </sheetData>
  <sheetProtection algorithmName="SHA-512" hashValue="agDrXgJVL9Sf3qzQnmJZ+tn9q36jMN+6iUiPp9F+fdDUr/Ya9P2v9kHkEd8SHAOIWq27KcKJuLVuoNmT0eUZCg==" saltValue="MquO+AR36Yb4GBWPHayKhA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N17"/>
  <sheetViews>
    <sheetView zoomScale="110" zoomScaleNormal="110" workbookViewId="0">
      <selection activeCell="D8" sqref="D8"/>
    </sheetView>
  </sheetViews>
  <sheetFormatPr defaultColWidth="9" defaultRowHeight="14.5"/>
  <cols>
    <col min="1" max="2" width="10.54296875" customWidth="1"/>
    <col min="3" max="3" width="11.08984375" customWidth="1"/>
    <col min="4" max="4" width="10.54296875" customWidth="1"/>
    <col min="5" max="5" width="10.90625" customWidth="1"/>
    <col min="6" max="6" width="11.08984375" customWidth="1"/>
    <col min="7" max="7" width="12.08984375" customWidth="1"/>
    <col min="8" max="8" width="11.6328125" customWidth="1"/>
    <col min="9" max="9" width="11.453125" customWidth="1"/>
  </cols>
  <sheetData>
    <row r="1" spans="1:1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5"/>
    </row>
    <row r="2" spans="1:14">
      <c r="A2" s="21" t="s">
        <v>320</v>
      </c>
      <c r="B2" s="22">
        <v>45961</v>
      </c>
      <c r="C2" s="22">
        <v>45968</v>
      </c>
      <c r="D2" s="22">
        <v>45975</v>
      </c>
      <c r="E2" s="22">
        <v>45982</v>
      </c>
      <c r="F2" s="22">
        <v>45989</v>
      </c>
      <c r="G2" s="22">
        <v>45996</v>
      </c>
      <c r="H2" s="22">
        <v>46003</v>
      </c>
      <c r="I2" s="22">
        <v>46010</v>
      </c>
      <c r="J2" s="20"/>
      <c r="K2" s="20"/>
      <c r="L2" s="20"/>
      <c r="M2" s="20"/>
      <c r="N2" s="15"/>
    </row>
    <row r="3" spans="1:14">
      <c r="A3" s="21" t="s">
        <v>321</v>
      </c>
      <c r="B3" s="23">
        <f t="shared" ref="B3:I3" si="0">B4</f>
        <v>7104.7215850315024</v>
      </c>
      <c r="C3" s="23">
        <f t="shared" si="0"/>
        <v>7157.322477516268</v>
      </c>
      <c r="D3" s="23">
        <f t="shared" si="0"/>
        <v>7224.9660672128502</v>
      </c>
      <c r="E3" s="23">
        <f t="shared" si="0"/>
        <v>7259.9310118544208</v>
      </c>
      <c r="F3" s="23">
        <f t="shared" si="0"/>
        <v>7416.5411604761439</v>
      </c>
      <c r="G3" s="23">
        <f t="shared" si="0"/>
        <v>7473.2757425151976</v>
      </c>
      <c r="H3" s="23">
        <f t="shared" si="0"/>
        <v>7522.4259502457116</v>
      </c>
      <c r="I3" s="23">
        <f t="shared" si="0"/>
        <v>7603.1851114640458</v>
      </c>
      <c r="J3" s="20"/>
      <c r="K3" s="20"/>
      <c r="L3" s="20"/>
      <c r="M3" s="20"/>
      <c r="N3" s="15"/>
    </row>
    <row r="4" spans="1:14">
      <c r="A4" s="20"/>
      <c r="B4" s="24">
        <f>'NAV Trend'!C10/1000000000</f>
        <v>7104.7215850315024</v>
      </c>
      <c r="C4" s="24">
        <f>'NAV Trend'!D10/1000000000</f>
        <v>7157.322477516268</v>
      </c>
      <c r="D4" s="24">
        <f>'NAV Trend'!E10/1000000000</f>
        <v>7224.9660672128502</v>
      </c>
      <c r="E4" s="24">
        <f>'NAV Trend'!F10/1000000000</f>
        <v>7259.9310118544208</v>
      </c>
      <c r="F4" s="24">
        <f>'NAV Trend'!G10/1000000000</f>
        <v>7416.5411604761439</v>
      </c>
      <c r="G4" s="24">
        <f>'NAV Trend'!H10/1000000000</f>
        <v>7473.2757425151976</v>
      </c>
      <c r="H4" s="25">
        <f>'NAV Trend'!I10/1000000000</f>
        <v>7522.4259502457116</v>
      </c>
      <c r="I4" s="25">
        <f>'NAV Trend'!J10/1000000000</f>
        <v>7603.1851114640458</v>
      </c>
      <c r="J4" s="20"/>
      <c r="K4" s="20"/>
      <c r="L4" s="20"/>
      <c r="M4" s="20"/>
      <c r="N4" s="15"/>
    </row>
    <row r="5" spans="1:14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15"/>
    </row>
    <row r="6" spans="1:1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</sheetData>
  <sheetProtection algorithmName="SHA-512" hashValue="uhZheAIrDMkaPUecu1eyAgzjIiUHXDgDHxloA1fyrGlMayIdgxFlTJRaHPhhXx7BuQv/pDfQVVOds6WTDU/WmQ==" saltValue="iypgHjSl2U6Eoii8Qogox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E9" sqref="E9"/>
    </sheetView>
  </sheetViews>
  <sheetFormatPr defaultColWidth="9" defaultRowHeight="14.5"/>
  <cols>
    <col min="1" max="1" width="10.6328125" customWidth="1"/>
    <col min="2" max="2" width="11.08984375" customWidth="1"/>
    <col min="3" max="3" width="11.453125" customWidth="1"/>
    <col min="4" max="4" width="11.54296875" customWidth="1"/>
    <col min="5" max="5" width="11.08984375" customWidth="1"/>
    <col min="6" max="7" width="11.36328125" customWidth="1"/>
    <col min="8" max="8" width="11.6328125" customWidth="1"/>
    <col min="9" max="9" width="11.08984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15"/>
      <c r="O1" s="15"/>
      <c r="P1" s="166"/>
    </row>
    <row r="2" spans="1:16">
      <c r="A2" s="21" t="s">
        <v>320</v>
      </c>
      <c r="B2" s="22">
        <v>45961</v>
      </c>
      <c r="C2" s="22">
        <v>45968</v>
      </c>
      <c r="D2" s="22">
        <v>45975</v>
      </c>
      <c r="E2" s="22">
        <v>45982</v>
      </c>
      <c r="F2" s="22">
        <v>45989</v>
      </c>
      <c r="G2" s="22">
        <v>45996</v>
      </c>
      <c r="H2" s="22">
        <v>46003</v>
      </c>
      <c r="I2" s="22">
        <v>46010</v>
      </c>
      <c r="J2" s="20"/>
      <c r="K2" s="15"/>
      <c r="L2" s="15"/>
      <c r="M2" s="15"/>
      <c r="N2" s="15"/>
      <c r="O2" s="15"/>
      <c r="P2" s="166"/>
    </row>
    <row r="3" spans="1:16">
      <c r="A3" s="21" t="s">
        <v>322</v>
      </c>
      <c r="B3" s="23">
        <f t="shared" ref="B3:I3" si="0">B4</f>
        <v>17.97007204989</v>
      </c>
      <c r="C3" s="23">
        <f t="shared" si="0"/>
        <v>17.390304867240001</v>
      </c>
      <c r="D3" s="23">
        <f t="shared" si="0"/>
        <v>17.29912062779</v>
      </c>
      <c r="E3" s="23">
        <f t="shared" si="0"/>
        <v>16.915814556049998</v>
      </c>
      <c r="F3" s="23">
        <f t="shared" si="0"/>
        <v>16.97292700869</v>
      </c>
      <c r="G3" s="23">
        <f t="shared" si="0"/>
        <v>17.413222879320003</v>
      </c>
      <c r="H3" s="23">
        <f t="shared" si="0"/>
        <v>17.682838809310002</v>
      </c>
      <c r="I3" s="23">
        <f t="shared" si="0"/>
        <v>17.94056485019</v>
      </c>
      <c r="J3" s="20"/>
      <c r="K3" s="15"/>
      <c r="L3" s="15"/>
      <c r="M3" s="15"/>
      <c r="N3" s="15"/>
      <c r="O3" s="15"/>
      <c r="P3" s="166"/>
    </row>
    <row r="4" spans="1:16">
      <c r="A4" s="20"/>
      <c r="B4" s="24">
        <f>'NAV Trend'!C16/1000000000</f>
        <v>17.97007204989</v>
      </c>
      <c r="C4" s="24">
        <f>'NAV Trend'!D16/1000000000</f>
        <v>17.390304867240001</v>
      </c>
      <c r="D4" s="24">
        <f>'NAV Trend'!E16/1000000000</f>
        <v>17.29912062779</v>
      </c>
      <c r="E4" s="24">
        <f>'NAV Trend'!F16/1000000000</f>
        <v>16.915814556049998</v>
      </c>
      <c r="F4" s="24">
        <f>'NAV Trend'!G16/1000000000</f>
        <v>16.97292700869</v>
      </c>
      <c r="G4" s="24">
        <f>'NAV Trend'!H16/1000000000</f>
        <v>17.413222879320003</v>
      </c>
      <c r="H4" s="24">
        <f>'NAV Trend'!I16/1000000000</f>
        <v>17.682838809310002</v>
      </c>
      <c r="I4" s="25">
        <f>'NAV Trend'!J16/1000000000</f>
        <v>17.94056485019</v>
      </c>
      <c r="J4" s="20"/>
      <c r="K4" s="15"/>
      <c r="L4" s="15"/>
      <c r="M4" s="15"/>
      <c r="N4" s="15"/>
      <c r="O4" s="15"/>
      <c r="P4" s="166"/>
    </row>
    <row r="5" spans="1:16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66"/>
    </row>
    <row r="6" spans="1:16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4"/>
    </row>
    <row r="7" spans="1:16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4"/>
    </row>
    <row r="8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4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64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64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4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64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64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4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4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4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4"/>
    </row>
    <row r="18" spans="1:15">
      <c r="A18" s="164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</row>
    <row r="19" spans="1:15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</row>
    <row r="20" spans="1:15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</row>
  </sheetData>
  <sheetProtection algorithmName="SHA-512" hashValue="n5lStQrm2Fo1efctYqXx6rNJQg0yL2By6cjxjVO0nrklNjl7eNSul5oxAeePDJx2GCSzSeHKnaKr2uaDXz1/0A==" saltValue="yapt+BBmc6Tmqok8SWaHR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5"/>
  <cols>
    <col min="1" max="1" width="36.36328125" customWidth="1"/>
    <col min="2" max="2" width="23.54296875" customWidth="1"/>
    <col min="3" max="3" width="22.54296875" customWidth="1"/>
    <col min="4" max="4" width="20.90625" customWidth="1"/>
    <col min="5" max="5" width="22.54296875" customWidth="1"/>
    <col min="6" max="6" width="24.6328125" customWidth="1"/>
    <col min="7" max="7" width="22.453125" customWidth="1"/>
    <col min="8" max="8" width="24.36328125" customWidth="1"/>
    <col min="9" max="9" width="22.54296875" customWidth="1"/>
    <col min="10" max="10" width="21.6328125" customWidth="1"/>
    <col min="11" max="12" width="20.6328125" customWidth="1"/>
    <col min="13" max="13" width="20.54296875" customWidth="1"/>
  </cols>
  <sheetData>
    <row r="1" spans="1:11" ht="15.5">
      <c r="A1" s="1" t="s">
        <v>316</v>
      </c>
      <c r="B1" s="2">
        <v>45954</v>
      </c>
      <c r="C1" s="2">
        <v>45961</v>
      </c>
      <c r="D1" s="2">
        <v>45968</v>
      </c>
      <c r="E1" s="2">
        <v>45975</v>
      </c>
      <c r="F1" s="2">
        <v>45982</v>
      </c>
      <c r="G1" s="2">
        <v>45989</v>
      </c>
      <c r="H1" s="2">
        <v>45996</v>
      </c>
      <c r="I1" s="2">
        <v>46003</v>
      </c>
      <c r="J1" s="2">
        <v>46010</v>
      </c>
    </row>
    <row r="2" spans="1:11">
      <c r="A2" s="3" t="s">
        <v>18</v>
      </c>
      <c r="B2" s="4">
        <v>80081718489.454102</v>
      </c>
      <c r="C2" s="4">
        <v>79941489021.128601</v>
      </c>
      <c r="D2" s="4">
        <v>77622970040.713501</v>
      </c>
      <c r="E2" s="4">
        <v>77103229577.115402</v>
      </c>
      <c r="F2" s="4">
        <v>76470658139.095398</v>
      </c>
      <c r="G2" s="4">
        <v>76454466515.944092</v>
      </c>
      <c r="H2" s="4">
        <v>78401377862.474701</v>
      </c>
      <c r="I2" s="4">
        <v>78447194943.245102</v>
      </c>
      <c r="J2" s="4">
        <v>79735701358.92749</v>
      </c>
    </row>
    <row r="3" spans="1:11">
      <c r="A3" s="3" t="s">
        <v>57</v>
      </c>
      <c r="B3" s="4">
        <v>4294338110534.8901</v>
      </c>
      <c r="C3" s="4">
        <v>4345978196238.9199</v>
      </c>
      <c r="D3" s="4">
        <v>4392378656476.5811</v>
      </c>
      <c r="E3" s="4">
        <v>4459546758095.3066</v>
      </c>
      <c r="F3" s="4">
        <v>4500562998487.0645</v>
      </c>
      <c r="G3" s="4">
        <v>4552330092438.3486</v>
      </c>
      <c r="H3" s="4">
        <v>4598078276116.3418</v>
      </c>
      <c r="I3" s="4">
        <v>4642448189370.7549</v>
      </c>
      <c r="J3" s="4">
        <v>4678050109959.2363</v>
      </c>
    </row>
    <row r="4" spans="1:11">
      <c r="A4" s="3" t="s">
        <v>317</v>
      </c>
      <c r="B4" s="5">
        <v>241861922293.56699</v>
      </c>
      <c r="C4" s="5">
        <v>242068020164.47501</v>
      </c>
      <c r="D4" s="5">
        <v>243268463507.48514</v>
      </c>
      <c r="E4" s="5">
        <v>244019694006.9003</v>
      </c>
      <c r="F4" s="5">
        <v>242652780469.49625</v>
      </c>
      <c r="G4" s="5">
        <v>243665972654.49658</v>
      </c>
      <c r="H4" s="5">
        <v>239569435821.11508</v>
      </c>
      <c r="I4" s="5">
        <v>238896018902.52338</v>
      </c>
      <c r="J4" s="5">
        <v>238340225253.66324</v>
      </c>
    </row>
    <row r="5" spans="1:11">
      <c r="A5" s="3" t="s">
        <v>175</v>
      </c>
      <c r="B5" s="4">
        <v>1937928770896.0901</v>
      </c>
      <c r="C5" s="4">
        <v>1904125830062.55</v>
      </c>
      <c r="D5" s="4">
        <v>1911276570182.48</v>
      </c>
      <c r="E5" s="4">
        <v>1910381884325.9756</v>
      </c>
      <c r="F5" s="4">
        <v>1905477703934.2476</v>
      </c>
      <c r="G5" s="4">
        <v>1901028302593.2881</v>
      </c>
      <c r="H5" s="4">
        <v>1910113273501.6394</v>
      </c>
      <c r="I5" s="4">
        <v>1912273958134.9629</v>
      </c>
      <c r="J5" s="4">
        <v>1954262527494.0337</v>
      </c>
    </row>
    <row r="6" spans="1:11">
      <c r="A6" s="3" t="s">
        <v>318</v>
      </c>
      <c r="B6" s="6">
        <v>368809278173.31897</v>
      </c>
      <c r="C6" s="5">
        <v>370267322852.34497</v>
      </c>
      <c r="D6" s="5">
        <v>371321637298.57227</v>
      </c>
      <c r="E6" s="5">
        <v>372265278550.55267</v>
      </c>
      <c r="F6" s="5">
        <v>372914421521.18774</v>
      </c>
      <c r="G6" s="5">
        <v>480118186812.3526</v>
      </c>
      <c r="H6" s="5">
        <v>480962390405.30359</v>
      </c>
      <c r="I6" s="5">
        <v>481599355727.08673</v>
      </c>
      <c r="J6" s="5">
        <v>482352533334.53674</v>
      </c>
    </row>
    <row r="7" spans="1:11">
      <c r="A7" s="3" t="s">
        <v>221</v>
      </c>
      <c r="B7" s="7">
        <v>81009282305.293594</v>
      </c>
      <c r="C7" s="7">
        <v>80975307014.121796</v>
      </c>
      <c r="D7" s="7">
        <v>79917304669.356689</v>
      </c>
      <c r="E7" s="7">
        <v>79959427590.508118</v>
      </c>
      <c r="F7" s="7">
        <v>80018041766.047272</v>
      </c>
      <c r="G7" s="7">
        <v>80347740959.834061</v>
      </c>
      <c r="H7" s="7">
        <v>82072736373.0802</v>
      </c>
      <c r="I7" s="7">
        <v>83138604455.992661</v>
      </c>
      <c r="J7" s="7">
        <v>83857951344.08696</v>
      </c>
    </row>
    <row r="8" spans="1:11">
      <c r="A8" s="3" t="s">
        <v>253</v>
      </c>
      <c r="B8" s="6">
        <v>8704335367.2000008</v>
      </c>
      <c r="C8" s="6">
        <v>8593567206.5699997</v>
      </c>
      <c r="D8" s="6">
        <v>8328680558.7600002</v>
      </c>
      <c r="E8" s="6">
        <v>8317694966.6799994</v>
      </c>
      <c r="F8" s="6">
        <v>8122250716.4000006</v>
      </c>
      <c r="G8" s="6">
        <v>8137410105.1800003</v>
      </c>
      <c r="H8" s="6">
        <v>8269417847.3099995</v>
      </c>
      <c r="I8" s="6">
        <v>8345728599.1300001</v>
      </c>
      <c r="J8" s="6">
        <v>8322821216.8900003</v>
      </c>
    </row>
    <row r="9" spans="1:11">
      <c r="A9" s="3" t="s">
        <v>319</v>
      </c>
      <c r="B9" s="6">
        <v>72014242734.605301</v>
      </c>
      <c r="C9" s="6">
        <v>72771852471.391907</v>
      </c>
      <c r="D9" s="6">
        <v>73208194782.318939</v>
      </c>
      <c r="E9" s="6">
        <v>73372100099.812561</v>
      </c>
      <c r="F9" s="6">
        <v>73712156820.88179</v>
      </c>
      <c r="G9" s="6">
        <v>74458988396.700394</v>
      </c>
      <c r="H9" s="6">
        <v>75808834587.932678</v>
      </c>
      <c r="I9" s="6">
        <v>77276900112.016632</v>
      </c>
      <c r="J9" s="6">
        <v>78263241502.671127</v>
      </c>
    </row>
    <row r="10" spans="1:11" ht="15.5">
      <c r="A10" s="8" t="s">
        <v>323</v>
      </c>
      <c r="B10" s="9">
        <f t="shared" ref="B10:J10" si="0">SUM(B2:B9)</f>
        <v>7084747660794.4199</v>
      </c>
      <c r="C10" s="9">
        <f t="shared" si="0"/>
        <v>7104721585031.502</v>
      </c>
      <c r="D10" s="9">
        <f t="shared" si="0"/>
        <v>7157322477516.2676</v>
      </c>
      <c r="E10" s="9">
        <f t="shared" si="0"/>
        <v>7224966067212.8506</v>
      </c>
      <c r="F10" s="9">
        <f t="shared" si="0"/>
        <v>7259931011854.4209</v>
      </c>
      <c r="G10" s="9">
        <f t="shared" si="0"/>
        <v>7416541160476.1436</v>
      </c>
      <c r="H10" s="9">
        <f t="shared" si="0"/>
        <v>7473275742515.1973</v>
      </c>
      <c r="I10" s="9">
        <f t="shared" si="0"/>
        <v>7522425950245.7119</v>
      </c>
      <c r="J10" s="9">
        <f t="shared" si="0"/>
        <v>7603185111464.0459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5">
      <c r="A12" s="12" t="s">
        <v>324</v>
      </c>
      <c r="B12" s="163" t="s">
        <v>325</v>
      </c>
      <c r="C12" s="13">
        <f>(B10+C10)/2</f>
        <v>7094734622912.9609</v>
      </c>
      <c r="D12" s="14">
        <f t="shared" ref="D12:J12" si="1">(C10+D10)/2</f>
        <v>7131022031273.8848</v>
      </c>
      <c r="E12" s="14">
        <f t="shared" si="1"/>
        <v>7191144272364.5586</v>
      </c>
      <c r="F12" s="14">
        <f t="shared" si="1"/>
        <v>7242448539533.6357</v>
      </c>
      <c r="G12" s="14">
        <f t="shared" si="1"/>
        <v>7338236086165.2822</v>
      </c>
      <c r="H12" s="14">
        <f t="shared" si="1"/>
        <v>7444908451495.6699</v>
      </c>
      <c r="I12" s="14">
        <f t="shared" si="1"/>
        <v>7497850846380.4551</v>
      </c>
      <c r="J12" s="14">
        <f t="shared" si="1"/>
        <v>7562805530854.8789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45954</v>
      </c>
      <c r="C15" s="2">
        <v>45961</v>
      </c>
      <c r="D15" s="2">
        <v>45968</v>
      </c>
      <c r="E15" s="2">
        <v>45975</v>
      </c>
      <c r="F15" s="2">
        <v>45982</v>
      </c>
      <c r="G15" s="2">
        <v>45989</v>
      </c>
      <c r="H15" s="2">
        <v>45996</v>
      </c>
      <c r="I15" s="2">
        <v>46003</v>
      </c>
      <c r="J15" s="2">
        <v>46010</v>
      </c>
      <c r="K15" s="15"/>
    </row>
    <row r="16" spans="1:11">
      <c r="A16" s="16" t="s">
        <v>326</v>
      </c>
      <c r="B16" s="17">
        <v>18293394235.310001</v>
      </c>
      <c r="C16" s="17">
        <v>17970072049.889999</v>
      </c>
      <c r="D16" s="17">
        <v>17390304867.240002</v>
      </c>
      <c r="E16" s="17">
        <v>17299120627.790001</v>
      </c>
      <c r="F16" s="17">
        <v>16915814556.049999</v>
      </c>
      <c r="G16" s="17">
        <v>16972927008.689999</v>
      </c>
      <c r="H16" s="17">
        <v>17413222879.320004</v>
      </c>
      <c r="I16" s="17">
        <v>17682838809.310001</v>
      </c>
      <c r="J16" s="17">
        <v>17940564850.189999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9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20"/>
    </row>
  </sheetData>
  <sheetProtection algorithmName="SHA-512" hashValue="QPwJo4fMHVG9+r/+oPBHprvrDbfhB709/czwczPbYbuXOOSW+PUAaNoFp9+KfaCBxyK4hXgfWQ7RpvPESXVH/w==" saltValue="MoYj8eZx3qMDgzooyd+sNg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Jibril, M. Saidu</cp:lastModifiedBy>
  <dcterms:created xsi:type="dcterms:W3CDTF">2023-10-09T09:40:00Z</dcterms:created>
  <dcterms:modified xsi:type="dcterms:W3CDTF">2026-01-17T15:27:59Z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