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jibril\Desktop\"/>
    </mc:Choice>
  </mc:AlternateContent>
  <bookViews>
    <workbookView xWindow="0" yWindow="0" windowWidth="11980" windowHeight="928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38" i="1" l="1"/>
  <c r="M138" i="1"/>
  <c r="K138" i="1"/>
  <c r="M123" i="1" l="1"/>
  <c r="K123" i="1"/>
  <c r="N131" i="1" l="1"/>
  <c r="M131" i="1"/>
  <c r="K131" i="1"/>
  <c r="N146" i="1"/>
  <c r="M146" i="1"/>
  <c r="K146" i="1"/>
  <c r="K145" i="1"/>
  <c r="K139" i="1"/>
  <c r="N125" i="1"/>
  <c r="M125" i="1"/>
  <c r="K125" i="1"/>
  <c r="N137" i="1"/>
  <c r="M137" i="1"/>
  <c r="K137" i="1"/>
  <c r="R35" i="1"/>
  <c r="N122" i="1"/>
  <c r="M122" i="1"/>
  <c r="K122" i="1"/>
  <c r="V24" i="1"/>
  <c r="U24" i="1"/>
  <c r="T24" i="1"/>
  <c r="S24" i="1"/>
  <c r="R24" i="1"/>
  <c r="N155" i="1"/>
  <c r="M155" i="1"/>
  <c r="K155" i="1"/>
  <c r="N151" i="1"/>
  <c r="M151" i="1"/>
  <c r="K151" i="1"/>
  <c r="N149" i="1"/>
  <c r="M149" i="1"/>
  <c r="K149" i="1"/>
  <c r="N133" i="1"/>
  <c r="M133" i="1"/>
  <c r="K133" i="1"/>
  <c r="N147" i="1"/>
  <c r="M147" i="1"/>
  <c r="N124" i="1" l="1"/>
  <c r="M124" i="1"/>
  <c r="K124" i="1"/>
  <c r="N141" i="1"/>
  <c r="M141" i="1"/>
  <c r="K141" i="1"/>
  <c r="N154" i="1" l="1"/>
  <c r="M154" i="1"/>
  <c r="K154" i="1"/>
  <c r="N234" i="1" l="1"/>
  <c r="M234" i="1"/>
  <c r="K234" i="1"/>
  <c r="N121" i="1"/>
  <c r="M121" i="1"/>
  <c r="K121" i="1"/>
  <c r="N120" i="1"/>
  <c r="M120" i="1"/>
  <c r="K120" i="1"/>
  <c r="K119" i="1"/>
  <c r="N148" i="1"/>
  <c r="M148" i="1"/>
  <c r="K148" i="1"/>
  <c r="N130" i="1"/>
  <c r="M130" i="1"/>
  <c r="K130" i="1"/>
  <c r="N152" i="1" l="1"/>
  <c r="M152" i="1"/>
  <c r="K152" i="1"/>
  <c r="N134" i="1"/>
  <c r="M134" i="1"/>
  <c r="K134" i="1"/>
  <c r="N236" i="1"/>
  <c r="M236" i="1"/>
  <c r="K236" i="1"/>
  <c r="N128" i="1"/>
  <c r="M128" i="1"/>
  <c r="K128" i="1"/>
  <c r="N127" i="1"/>
  <c r="M127" i="1"/>
  <c r="K127" i="1"/>
  <c r="N153" i="1"/>
  <c r="M153" i="1"/>
  <c r="K153" i="1"/>
  <c r="K129" i="1" l="1"/>
  <c r="N132" i="1" l="1"/>
  <c r="M132" i="1"/>
  <c r="K132" i="1"/>
  <c r="N143" i="1"/>
  <c r="M143" i="1"/>
  <c r="K143" i="1"/>
  <c r="N123" i="1" l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F12" i="4" s="1"/>
  <c r="D10" i="4"/>
  <c r="C4" i="5" s="1"/>
  <c r="C3" i="5" s="1"/>
  <c r="C10" i="4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K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L113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70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35" i="1" l="1"/>
  <c r="E24" i="1"/>
  <c r="E9" i="1"/>
  <c r="L78" i="1"/>
  <c r="L12" i="1"/>
  <c r="L24" i="1"/>
  <c r="E7" i="1"/>
  <c r="E11" i="1"/>
  <c r="E15" i="1"/>
  <c r="L30" i="1"/>
  <c r="E99" i="1"/>
  <c r="L57" i="1"/>
  <c r="L213" i="1"/>
  <c r="E112" i="1"/>
  <c r="E21" i="1"/>
  <c r="E19" i="1"/>
  <c r="T197" i="1"/>
  <c r="E17" i="1"/>
  <c r="E98" i="1"/>
  <c r="E176" i="1"/>
  <c r="E174" i="1"/>
  <c r="E172" i="1"/>
  <c r="E170" i="1"/>
  <c r="L94" i="1"/>
  <c r="L99" i="1"/>
  <c r="L163" i="1"/>
  <c r="L190" i="1"/>
  <c r="L180" i="1"/>
  <c r="L71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4" i="3"/>
  <c r="L77" i="1"/>
  <c r="L68" i="1"/>
  <c r="L32" i="1"/>
  <c r="B20" i="2"/>
  <c r="B10" i="2" s="1"/>
  <c r="E236" i="1"/>
  <c r="T202" i="1"/>
  <c r="E226" i="1"/>
  <c r="E201" i="1"/>
  <c r="E51" i="1"/>
  <c r="E178" i="1"/>
  <c r="E163" i="1"/>
  <c r="E23" i="1"/>
  <c r="D12" i="4"/>
  <c r="T230" i="1"/>
  <c r="L85" i="1"/>
  <c r="E52" i="1"/>
  <c r="L53" i="1"/>
  <c r="E54" i="1"/>
  <c r="L55" i="1"/>
  <c r="E56" i="1"/>
  <c r="L22" i="1"/>
  <c r="L35" i="1"/>
  <c r="B5" i="3"/>
  <c r="L178" i="1"/>
  <c r="E154" i="1"/>
  <c r="K156" i="1"/>
  <c r="B8" i="3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2" i="4"/>
  <c r="D4" i="5"/>
  <c r="D3" i="5" s="1"/>
  <c r="H12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6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L39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E65" i="1"/>
  <c r="L66" i="1"/>
  <c r="E67" i="1"/>
  <c r="E69" i="1"/>
  <c r="E71" i="1"/>
  <c r="B3" i="3"/>
  <c r="C13" i="2"/>
  <c r="C3" i="2" s="1"/>
  <c r="R72" i="1"/>
  <c r="R118" i="1"/>
  <c r="R119" i="1"/>
  <c r="R120" i="1"/>
  <c r="R127" i="1"/>
  <c r="R128" i="1"/>
  <c r="R129" i="1"/>
  <c r="R153" i="1"/>
  <c r="B6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9" i="3"/>
  <c r="C14" i="2"/>
  <c r="C4" i="2" s="1"/>
  <c r="B7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2" i="4"/>
  <c r="E12" i="4"/>
  <c r="G12" i="4"/>
  <c r="I12" i="4"/>
  <c r="R197" i="1"/>
  <c r="L227" i="1"/>
  <c r="R230" i="1"/>
  <c r="E234" i="1"/>
  <c r="E235" i="1"/>
  <c r="E238" i="1"/>
  <c r="L143" i="1" l="1"/>
  <c r="L125" i="1"/>
  <c r="L131" i="1"/>
  <c r="L120" i="1"/>
  <c r="L145" i="1"/>
  <c r="L129" i="1"/>
  <c r="L122" i="1"/>
  <c r="L137" i="1"/>
  <c r="L152" i="1"/>
  <c r="L155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<sst xmlns="http://schemas.openxmlformats.org/spreadsheetml/2006/main" count="531" uniqueCount="337">
  <si>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</si>
  <si>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</si>
  <si>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</si>
  <si>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</si>
  <si>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</si>
  <si>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</si>
  <si>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</si>
  <si>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</si>
  <si>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</si>
  <si>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</si>
  <si>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</si>
  <si>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</si>
  <si>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</si>
  <si>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</si>
  <si>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</si>
  <si>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</si>
  <si>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</si>
  <si>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</si>
  <si>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</si>
  <si>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</si>
  <si>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</si>
  <si>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</si>
  <si>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</si>
  <si>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</si>
  <si>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</si>
  <si>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</si>
  <si>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</si>
  <si>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</si>
  <si>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</si>
  <si>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</si>
  <si>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</si>
  <si>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</si>
  <si>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</si>
  <si>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</si>
  <si>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</si>
  <si>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</si>
  <si>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</si>
  <si>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</si>
  <si>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</si>
  <si>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</si>
  <si>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</si>
  <si>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</si>
  <si>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</si>
  <si>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</si>
  <si>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</si>
  <si>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</si>
  <si>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</si>
  <si>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</si>
  <si>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</si>
  <si>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</si>
  <si>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</si>
  <si>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</si>
  <si>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</si>
  <si>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</si>
  <si>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</si>
  <si>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</si>
  <si>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</si>
  <si>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</si>
  <si>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</si>
  <si>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</si>
  <si>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</si>
  <si>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</si>
  <si>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</si>
  <si>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</si>
  <si>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</si>
  <si>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</si>
  <si>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</si>
  <si>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</si>
  <si>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</si>
  <si>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</si>
  <si>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</si>
  <si>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</si>
  <si>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</si>
  <si>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</si>
  <si>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</si>
  <si>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</si>
  <si>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</si>
  <si>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</si>
  <si>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</si>
  <si>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</si>
  <si>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</si>
  <si>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</si>
  <si>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</si>
  <si>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</si>
  <si>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</si>
  <si>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</si>
  <si>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</si>
  <si>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</si>
  <si>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</si>
  <si>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</si>
  <si>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</si>
  <si>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</si>
  <si>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</si>
  <si>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</si>
  <si>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</si>
  <si>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</si>
  <si>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</si>
  <si>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</si>
  <si>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</si>
  <si>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</si>
  <si>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</si>
  <si>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</si>
  <si>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</si>
  <si>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</si>
  <si>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</si>
  <si>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</si>
  <si>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</si>
  <si>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</si>
  <si>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</si>
  <si>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</si>
  <si>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</si>
  <si>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</si>
  <si>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</si>
  <si>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</si>
  <si>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</si>
  <si>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</si>
  <si>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</si>
  <si>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</si>
  <si>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</si>
  <si>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</si>
  <si>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</si>
  <si>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</si>
  <si>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</si>
  <si>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</si>
  <si>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</si>
  <si>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</si>
  <si>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</si>
  <si>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</si>
  <si>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</si>
  <si>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</si>
  <si>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</si>
  <si>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</si>
  <si>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</si>
  <si>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</si>
  <si>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</si>
  <si>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</si>
  <si>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</si>
  <si>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</si>
  <si>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</si>
  <si>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</si>
  <si>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</si>
  <si>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</si>
  <si>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</si>
  <si>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</si>
  <si>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</si>
  <si>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</si>
  <si>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</si>
  <si>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</si>
  <si>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</si>
  <si>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</si>
  <si>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</si>
  <si>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</si>
  <si>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</si>
  <si>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</si>
  <si>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</si>
  <si>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</si>
  <si>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</si>
  <si>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</si>
  <si>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</si>
  <si>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</si>
  <si>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</si>
  <si>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</si>
  <si>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</si>
  <si>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</si>
  <si>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</si>
  <si>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</si>
  <si>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</si>
  <si>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</si>
  <si>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</si>
  <si>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</si>
  <si>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</si>
  <si>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</si>
  <si>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</si>
  <si>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</si>
  <si>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</si>
  <si>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</si>
  <si>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</si>
  <si>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</si>
  <si>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</si>
  <si>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</si>
  <si>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</si>
  <si>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</si>
  <si>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</si>
  <si>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</si>
  <si>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</si>
  <si>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</si>
  <si>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</si>
  <si>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</si>
  <si>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</si>
  <si>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</si>
  <si>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</si>
  <si>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</si>
  <si>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</si>
  <si>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</si>
  <si>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</si>
  <si>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</si>
  <si>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</si>
  <si>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</si>
  <si>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</si>
  <si>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</si>
  <si>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</si>
  <si>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</si>
  <si>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</si>
  <si>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</si>
  <si>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</si>
  <si>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</si>
  <si>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</si>
  <si>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</si>
  <si>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</si>
  <si>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</si>
  <si>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</si>
  <si>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</si>
  <si>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</si>
  <si>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</si>
  <si>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</si>
  <si>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</si>
  <si>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</si>
  <si>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</si>
  <si>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</si>
  <si>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</si>
  <si>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</si>
  <si>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</si>
  <si>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</si>
  <si>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</si>
  <si>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</si>
  <si>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</si>
  <si>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</si>
  <si>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</si>
  <si>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</si>
  <si>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</si>
  <si>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</si>
  <si>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</si>
  <si>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</si>
  <si>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</si>
  <si>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</si>
  <si>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</si>
  <si>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</si>
  <si>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</si>
  <si>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</si>
  <si>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</si>
  <si>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</si>
  <si>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</si>
  <si>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</si>
  <si>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</si>
  <si>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</si>
  <si>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</si>
  <si>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</si>
  <si>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</si>
  <si>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</si>
  <si>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</si>
  <si>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</si>
  <si>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</si>
  <si>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</si>
  <si>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</si>
  <si>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</si>
  <si>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</si>
  <si>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</si>
  <si>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</si>
  <si>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</si>
  <si>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</si>
  <si>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</si>
  <si>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</si>
  <si>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</si>
  <si>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</si>
  <si>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</si>
  <si>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</si>
  <si>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</si>
  <si>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</si>
  <si>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</si>
  <si>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</si>
  <si>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</si>
  <si>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</si>
  <si>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</si>
  <si>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</si>
  <si>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</si>
  <si>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</si>
  <si>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</si>
  <si>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</si>
  <si>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</si>
  <si>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</si>
  <si>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</si>
  <si>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</si>
  <si>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</si>
  <si>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</si>
  <si>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</si>
  <si>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</si>
  <si>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</si>
  <si>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</si>
  <si>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</si>
  <si>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</si>
  <si>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</si>
  <si>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</si>
  <si>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</si>
  <si>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</si>
  <si>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</si>
  <si>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</si>
  <si>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</si>
  <si>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</si>
  <si>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</si>
  <si>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</si>
  <si>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</si>
  <si>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</si>
  <si>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</si>
  <si>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</si>
  <si>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</si>
  <si>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</si>
  <si>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</si>
  <si>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</si>
  <si>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</si>
  <si>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</si>
  <si>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</si>
  <si>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</si>
  <si>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</si>
  <si>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</si>
  <si>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</si>
  <si>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</si>
  <si>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</si>
  <si>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</si>
  <si>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</si>
  <si>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</si>
  <si>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</si>
  <si>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</si>
  <si>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</si>
  <si>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</si>
  <si>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</si>
  <si>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</si>
  <si>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</si>
  <si>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</si>
  <si>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</si>
  <si>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</si>
  <si>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NAV, Unit Price and Yield as at Week Ended November 28, 2025</t>
  </si>
  <si>
    <t>Week Ended November 28, 2025</t>
  </si>
  <si>
    <t>WEEKLY VALUATION REPORT OF COLLECTIVE INVESTMENT SCHEMES AS AT WEEK ENDED FRIDAY, DECEMBER 5, 2025</t>
  </si>
  <si>
    <t>NAV, Unit Price and Yield as at Week Ended December 5, 2025</t>
  </si>
  <si>
    <t>NFEM RATE NG₦/US$ as at 5th December, 2025 = N1450.4287</t>
  </si>
  <si>
    <t>Zedcrest Equity Fund</t>
  </si>
  <si>
    <t>Week Ended December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</si>
</sst>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21" borderId="0" applyNumberFormat="0" applyBorder="0" applyAlignment="0" applyProtection="0"/>
    <xf numFmtId="0" fontId="47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43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/>
    <xf numFmtId="0" fontId="5" fillId="0" borderId="0" xfId="0" applyFont="1"/>
    <xf numFmtId="43" fontId="5" fillId="0" borderId="0" xfId="1" applyFont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43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43" fontId="4" fillId="0" borderId="1" xfId="1" applyFont="1" applyBorder="1"/>
    <xf numFmtId="43" fontId="7" fillId="0" borderId="0" xfId="1" applyFo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43" fontId="12" fillId="0" borderId="0" xfId="1" applyFont="1"/>
    <xf numFmtId="164" fontId="12" fillId="0" borderId="0" xfId="0" applyNumberFormat="1" applyFont="1"/>
    <xf numFmtId="4" fontId="12" fillId="0" borderId="0" xfId="0" applyNumberFormat="1" applyFont="1"/>
    <xf numFmtId="0" fontId="13" fillId="2" borderId="0" xfId="0" applyFont="1" applyFill="1" applyAlignment="1">
      <alignment horizontal="right"/>
    </xf>
    <xf numFmtId="16" fontId="14" fillId="2" borderId="0" xfId="0" applyNumberFormat="1" applyFont="1" applyFill="1"/>
    <xf numFmtId="0" fontId="9" fillId="2" borderId="0" xfId="0" applyFont="1" applyFill="1"/>
    <xf numFmtId="0" fontId="14" fillId="2" borderId="0" xfId="0" applyFont="1" applyFill="1" applyAlignment="1">
      <alignment horizontal="right"/>
    </xf>
    <xf numFmtId="4" fontId="15" fillId="2" borderId="0" xfId="0" applyNumberFormat="1" applyFont="1" applyFill="1"/>
    <xf numFmtId="43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Alignment="1">
      <alignment horizontal="right"/>
    </xf>
    <xf numFmtId="43" fontId="9" fillId="2" borderId="0" xfId="1" applyFont="1" applyFill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16" fontId="17" fillId="2" borderId="0" xfId="0" applyNumberFormat="1" applyFont="1" applyFill="1" applyAlignment="1">
      <alignment horizontal="center" wrapText="1"/>
    </xf>
    <xf numFmtId="0" fontId="18" fillId="0" borderId="0" xfId="0" applyFont="1"/>
    <xf numFmtId="0" fontId="17" fillId="0" borderId="0" xfId="0" applyFont="1" applyAlignment="1">
      <alignment horizontal="right" wrapText="1"/>
    </xf>
    <xf numFmtId="4" fontId="19" fillId="2" borderId="0" xfId="0" applyNumberFormat="1" applyFont="1" applyFill="1"/>
    <xf numFmtId="4" fontId="19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wrapText="1"/>
    </xf>
    <xf numFmtId="43" fontId="21" fillId="0" borderId="0" xfId="1" applyFont="1" applyBorder="1"/>
    <xf numFmtId="4" fontId="21" fillId="2" borderId="0" xfId="0" applyNumberFormat="1" applyFont="1" applyFill="1"/>
    <xf numFmtId="0" fontId="20" fillId="0" borderId="0" xfId="0" applyFont="1" applyAlignment="1">
      <alignment horizontal="right"/>
    </xf>
    <xf numFmtId="4" fontId="21" fillId="2" borderId="0" xfId="0" applyNumberFormat="1" applyFont="1" applyFill="1" applyAlignment="1">
      <alignment horizontal="right"/>
    </xf>
    <xf numFmtId="43" fontId="21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8" fillId="2" borderId="1" xfId="0" applyNumberFormat="1" applyFont="1" applyFill="1" applyBorder="1"/>
    <xf numFmtId="10" fontId="28" fillId="7" borderId="1" xfId="2" applyNumberFormat="1" applyFont="1" applyFill="1" applyBorder="1" applyAlignment="1">
      <alignment horizontal="center"/>
    </xf>
    <xf numFmtId="43" fontId="28" fillId="9" borderId="1" xfId="1" applyFont="1" applyFill="1" applyBorder="1" applyAlignment="1">
      <alignment horizontal="center"/>
    </xf>
    <xf numFmtId="0" fontId="29" fillId="0" borderId="0" xfId="0" applyFont="1"/>
    <xf numFmtId="43" fontId="26" fillId="9" borderId="1" xfId="1" applyFont="1" applyFill="1" applyBorder="1" applyAlignment="1">
      <alignment horizontal="center"/>
    </xf>
    <xf numFmtId="43" fontId="28" fillId="2" borderId="1" xfId="1" applyFont="1" applyFill="1" applyBorder="1"/>
    <xf numFmtId="43" fontId="28" fillId="2" borderId="1" xfId="10" applyFont="1" applyFill="1" applyBorder="1"/>
    <xf numFmtId="4" fontId="29" fillId="0" borderId="0" xfId="0" applyNumberFormat="1" applyFont="1"/>
    <xf numFmtId="4" fontId="2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26" fillId="2" borderId="1" xfId="0" applyFont="1" applyFill="1" applyBorder="1"/>
    <xf numFmtId="0" fontId="25" fillId="2" borderId="1" xfId="0" applyFont="1" applyFill="1" applyBorder="1" applyAlignment="1">
      <alignment horizontal="right"/>
    </xf>
    <xf numFmtId="43" fontId="25" fillId="2" borderId="1" xfId="1" applyFont="1" applyFill="1" applyBorder="1" applyAlignment="1">
      <alignment horizontal="right" vertical="top" wrapText="1"/>
    </xf>
    <xf numFmtId="10" fontId="31" fillId="7" borderId="1" xfId="2" applyNumberFormat="1" applyFont="1" applyFill="1" applyBorder="1" applyAlignment="1">
      <alignment horizontal="center" vertical="top" wrapText="1"/>
    </xf>
    <xf numFmtId="10" fontId="28" fillId="2" borderId="1" xfId="2" applyNumberFormat="1" applyFont="1" applyFill="1" applyBorder="1" applyAlignment="1">
      <alignment horizontal="center" vertical="top" wrapText="1"/>
    </xf>
    <xf numFmtId="4" fontId="28" fillId="2" borderId="1" xfId="1" applyNumberFormat="1" applyFont="1" applyFill="1" applyBorder="1" applyAlignment="1">
      <alignment vertical="top" wrapText="1"/>
    </xf>
    <xf numFmtId="43" fontId="25" fillId="9" borderId="1" xfId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43" fontId="28" fillId="2" borderId="1" xfId="10" applyFont="1" applyFill="1" applyBorder="1" applyAlignment="1">
      <alignment horizontal="right"/>
    </xf>
    <xf numFmtId="4" fontId="28" fillId="2" borderId="1" xfId="1" applyNumberFormat="1" applyFont="1" applyFill="1" applyBorder="1" applyAlignment="1">
      <alignment horizontal="right"/>
    </xf>
    <xf numFmtId="43" fontId="28" fillId="9" borderId="1" xfId="1" applyFont="1" applyFill="1" applyBorder="1" applyAlignment="1">
      <alignment horizontal="center" wrapText="1"/>
    </xf>
    <xf numFmtId="43" fontId="28" fillId="2" borderId="1" xfId="1" applyFont="1" applyFill="1" applyBorder="1" applyAlignment="1">
      <alignment horizontal="right"/>
    </xf>
    <xf numFmtId="43" fontId="28" fillId="2" borderId="1" xfId="10" applyFont="1" applyFill="1" applyBorder="1" applyAlignment="1">
      <alignment horizontal="right" wrapText="1"/>
    </xf>
    <xf numFmtId="43" fontId="23" fillId="3" borderId="1" xfId="1" applyFont="1" applyFill="1" applyBorder="1" applyAlignment="1">
      <alignment horizontal="center" vertical="top"/>
    </xf>
    <xf numFmtId="10" fontId="28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/>
    </xf>
    <xf numFmtId="10" fontId="28" fillId="9" borderId="1" xfId="2" applyNumberFormat="1" applyFont="1" applyFill="1" applyBorder="1" applyAlignment="1">
      <alignment horizontal="center" vertical="top" wrapText="1"/>
    </xf>
    <xf numFmtId="10" fontId="28" fillId="9" borderId="1" xfId="2" applyNumberFormat="1" applyFont="1" applyFill="1" applyBorder="1" applyAlignment="1">
      <alignment horizontal="center" wrapText="1"/>
    </xf>
    <xf numFmtId="10" fontId="28" fillId="7" borderId="1" xfId="2" applyNumberFormat="1" applyFont="1" applyFill="1" applyBorder="1" applyAlignment="1">
      <alignment horizontal="center" wrapText="1"/>
    </xf>
    <xf numFmtId="10" fontId="28" fillId="3" borderId="1" xfId="2" applyNumberFormat="1" applyFont="1" applyFill="1" applyBorder="1" applyAlignment="1">
      <alignment horizontal="center" vertical="top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0" fontId="32" fillId="10" borderId="0" xfId="0" applyNumberFormat="1" applyFont="1" applyFill="1" applyAlignment="1">
      <alignment horizontal="right" vertical="center" wrapText="1"/>
    </xf>
    <xf numFmtId="43" fontId="25" fillId="2" borderId="1" xfId="1" applyFont="1" applyFill="1" applyBorder="1" applyAlignment="1">
      <alignment horizontal="right"/>
    </xf>
    <xf numFmtId="2" fontId="28" fillId="2" borderId="1" xfId="0" applyNumberFormat="1" applyFont="1" applyFill="1" applyBorder="1"/>
    <xf numFmtId="43" fontId="28" fillId="2" borderId="1" xfId="10" applyFont="1" applyFill="1" applyBorder="1" applyAlignment="1">
      <alignment wrapText="1"/>
    </xf>
    <xf numFmtId="43" fontId="28" fillId="11" borderId="1" xfId="1" applyFont="1" applyFill="1" applyBorder="1" applyAlignment="1">
      <alignment horizontal="center"/>
    </xf>
    <xf numFmtId="10" fontId="28" fillId="9" borderId="1" xfId="1" applyNumberFormat="1" applyFont="1" applyFill="1" applyBorder="1" applyAlignment="1">
      <alignment horizontal="center"/>
    </xf>
    <xf numFmtId="10" fontId="28" fillId="11" borderId="1" xfId="2" applyNumberFormat="1" applyFont="1" applyFill="1" applyBorder="1" applyAlignment="1">
      <alignment horizontal="center"/>
    </xf>
    <xf numFmtId="4" fontId="0" fillId="0" borderId="0" xfId="0" applyNumberFormat="1"/>
    <xf numFmtId="43" fontId="29" fillId="0" borderId="0" xfId="1" applyFont="1"/>
    <xf numFmtId="2" fontId="0" fillId="0" borderId="0" xfId="0" applyNumberFormat="1"/>
    <xf numFmtId="165" fontId="0" fillId="0" borderId="0" xfId="0" applyNumberFormat="1"/>
    <xf numFmtId="4" fontId="34" fillId="10" borderId="0" xfId="0" applyNumberFormat="1" applyFont="1" applyFill="1" applyAlignment="1">
      <alignment horizontal="right" vertical="center" wrapText="1"/>
    </xf>
    <xf numFmtId="0" fontId="28" fillId="0" borderId="1" xfId="0" applyFont="1" applyBorder="1"/>
    <xf numFmtId="0" fontId="25" fillId="0" borderId="1" xfId="0" applyFont="1" applyBorder="1" applyAlignment="1">
      <alignment horizontal="right"/>
    </xf>
    <xf numFmtId="4" fontId="36" fillId="0" borderId="1" xfId="0" applyNumberFormat="1" applyFont="1" applyBorder="1"/>
    <xf numFmtId="0" fontId="30" fillId="2" borderId="1" xfId="0" applyFont="1" applyFill="1" applyBorder="1"/>
    <xf numFmtId="4" fontId="28" fillId="2" borderId="1" xfId="1" applyNumberFormat="1" applyFont="1" applyFill="1" applyBorder="1" applyAlignment="1">
      <alignment horizontal="right" vertical="top" wrapText="1"/>
    </xf>
    <xf numFmtId="4" fontId="28" fillId="9" borderId="1" xfId="1" applyNumberFormat="1" applyFont="1" applyFill="1" applyBorder="1" applyAlignment="1">
      <alignment horizontal="center"/>
    </xf>
    <xf numFmtId="4" fontId="28" fillId="9" borderId="1" xfId="1" applyNumberFormat="1" applyFont="1" applyFill="1" applyBorder="1" applyAlignment="1">
      <alignment horizontal="center" vertical="top" wrapText="1"/>
    </xf>
    <xf numFmtId="166" fontId="21" fillId="0" borderId="0" xfId="1" applyNumberFormat="1" applyFont="1"/>
    <xf numFmtId="4" fontId="37" fillId="0" borderId="0" xfId="0" applyNumberFormat="1" applyFont="1"/>
    <xf numFmtId="43" fontId="25" fillId="2" borderId="1" xfId="1" applyFont="1" applyFill="1" applyBorder="1"/>
    <xf numFmtId="164" fontId="28" fillId="2" borderId="1" xfId="0" applyNumberFormat="1" applyFont="1" applyFill="1" applyBorder="1"/>
    <xf numFmtId="4" fontId="28" fillId="2" borderId="1" xfId="0" applyNumberFormat="1" applyFont="1" applyFill="1" applyBorder="1" applyAlignment="1">
      <alignment horizontal="right" wrapText="1"/>
    </xf>
    <xf numFmtId="4" fontId="28" fillId="2" borderId="1" xfId="10" applyNumberFormat="1" applyFont="1" applyFill="1" applyBorder="1" applyAlignment="1">
      <alignment horizontal="right"/>
    </xf>
    <xf numFmtId="4" fontId="28" fillId="2" borderId="1" xfId="10" applyNumberFormat="1" applyFont="1" applyFill="1" applyBorder="1" applyAlignment="1">
      <alignment horizontal="right" wrapText="1"/>
    </xf>
    <xf numFmtId="4" fontId="25" fillId="9" borderId="1" xfId="1" applyNumberFormat="1" applyFont="1" applyFill="1" applyBorder="1" applyAlignment="1">
      <alignment horizontal="right" vertical="top" wrapText="1"/>
    </xf>
    <xf numFmtId="0" fontId="28" fillId="14" borderId="1" xfId="0" applyFont="1" applyFill="1" applyBorder="1" applyAlignment="1">
      <alignment horizontal="right" vertical="center"/>
    </xf>
    <xf numFmtId="0" fontId="25" fillId="14" borderId="1" xfId="0" applyFont="1" applyFill="1" applyBorder="1" applyAlignment="1">
      <alignment horizontal="right" vertical="center"/>
    </xf>
    <xf numFmtId="43" fontId="25" fillId="14" borderId="1" xfId="1" applyFont="1" applyFill="1" applyBorder="1" applyAlignment="1">
      <alignment horizontal="right" vertical="center" wrapText="1"/>
    </xf>
    <xf numFmtId="10" fontId="28" fillId="14" borderId="1" xfId="1" applyNumberFormat="1" applyFont="1" applyFill="1" applyBorder="1" applyAlignment="1">
      <alignment horizontal="right" vertical="center" wrapText="1"/>
    </xf>
    <xf numFmtId="4" fontId="28" fillId="14" borderId="1" xfId="1" applyNumberFormat="1" applyFont="1" applyFill="1" applyBorder="1" applyAlignment="1">
      <alignment horizontal="right" vertical="center" wrapText="1"/>
    </xf>
    <xf numFmtId="43" fontId="25" fillId="14" borderId="1" xfId="1" applyFont="1" applyFill="1" applyBorder="1" applyAlignment="1">
      <alignment horizontal="right" vertical="top" wrapText="1"/>
    </xf>
    <xf numFmtId="4" fontId="28" fillId="2" borderId="1" xfId="10" applyNumberFormat="1" applyFont="1" applyFill="1" applyBorder="1" applyAlignment="1">
      <alignment horizontal="right" vertical="top" wrapText="1"/>
    </xf>
    <xf numFmtId="43" fontId="38" fillId="14" borderId="1" xfId="1" applyFont="1" applyFill="1" applyBorder="1" applyAlignment="1">
      <alignment horizontal="right" vertical="top" wrapText="1"/>
    </xf>
    <xf numFmtId="4" fontId="28" fillId="14" borderId="1" xfId="1" applyNumberFormat="1" applyFont="1" applyFill="1" applyBorder="1" applyAlignment="1">
      <alignment horizontal="right" vertical="top" wrapText="1"/>
    </xf>
    <xf numFmtId="43" fontId="28" fillId="2" borderId="1" xfId="10" applyFont="1" applyFill="1" applyBorder="1" applyAlignment="1">
      <alignment horizontal="right" vertical="top" wrapText="1"/>
    </xf>
    <xf numFmtId="10" fontId="28" fillId="7" borderId="1" xfId="2" applyNumberFormat="1" applyFont="1" applyFill="1" applyBorder="1" applyAlignment="1">
      <alignment horizontal="center" vertical="top" wrapText="1"/>
    </xf>
    <xf numFmtId="43" fontId="28" fillId="9" borderId="1" xfId="1" applyFont="1" applyFill="1" applyBorder="1" applyAlignment="1">
      <alignment horizontal="center" vertical="top" wrapText="1"/>
    </xf>
    <xf numFmtId="43" fontId="28" fillId="2" borderId="1" xfId="1" applyFont="1" applyFill="1" applyBorder="1" applyAlignment="1">
      <alignment horizontal="right" vertical="top" wrapText="1"/>
    </xf>
    <xf numFmtId="164" fontId="28" fillId="9" borderId="1" xfId="0" applyNumberFormat="1" applyFont="1" applyFill="1" applyBorder="1" applyAlignment="1">
      <alignment horizontal="center"/>
    </xf>
    <xf numFmtId="9" fontId="28" fillId="14" borderId="1" xfId="2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center" wrapText="1"/>
    </xf>
    <xf numFmtId="4" fontId="28" fillId="14" borderId="1" xfId="1" applyNumberFormat="1" applyFont="1" applyFill="1" applyBorder="1" applyAlignment="1">
      <alignment horizontal="center" vertical="top" wrapText="1"/>
    </xf>
    <xf numFmtId="10" fontId="28" fillId="3" borderId="1" xfId="1" applyNumberFormat="1" applyFont="1" applyFill="1" applyBorder="1" applyAlignment="1">
      <alignment horizontal="center" vertical="top" wrapText="1"/>
    </xf>
    <xf numFmtId="43" fontId="0" fillId="0" borderId="0" xfId="1" applyFont="1"/>
    <xf numFmtId="10" fontId="26" fillId="14" borderId="1" xfId="2" applyNumberFormat="1" applyFont="1" applyFill="1" applyBorder="1" applyAlignment="1">
      <alignment horizontal="center" vertical="top" wrapText="1"/>
    </xf>
    <xf numFmtId="167" fontId="26" fillId="14" borderId="1" xfId="2" applyNumberFormat="1" applyFont="1" applyFill="1" applyBorder="1" applyAlignment="1">
      <alignment horizontal="center" vertical="top" wrapText="1"/>
    </xf>
    <xf numFmtId="10" fontId="26" fillId="14" borderId="1" xfId="1" applyNumberFormat="1" applyFont="1" applyFill="1" applyBorder="1" applyAlignment="1">
      <alignment horizontal="center" vertical="top" wrapText="1"/>
    </xf>
    <xf numFmtId="0" fontId="28" fillId="14" borderId="1" xfId="0" applyFont="1" applyFill="1" applyBorder="1" applyAlignment="1">
      <alignment horizontal="right"/>
    </xf>
    <xf numFmtId="0" fontId="25" fillId="14" borderId="1" xfId="0" applyFont="1" applyFill="1" applyBorder="1" applyAlignment="1">
      <alignment horizontal="right"/>
    </xf>
    <xf numFmtId="0" fontId="28" fillId="15" borderId="1" xfId="0" applyFont="1" applyFill="1" applyBorder="1" applyAlignment="1">
      <alignment horizontal="right" vertical="top" wrapText="1"/>
    </xf>
    <xf numFmtId="0" fontId="35" fillId="15" borderId="1" xfId="0" applyFont="1" applyFill="1" applyBorder="1" applyAlignment="1">
      <alignment horizontal="right" vertical="top" wrapText="1"/>
    </xf>
    <xf numFmtId="43" fontId="35" fillId="15" borderId="1" xfId="1" applyFont="1" applyFill="1" applyBorder="1" applyAlignment="1">
      <alignment horizontal="right" vertical="top" wrapText="1"/>
    </xf>
    <xf numFmtId="43" fontId="16" fillId="15" borderId="1" xfId="1" applyFont="1" applyFill="1" applyBorder="1" applyAlignment="1">
      <alignment horizontal="right" vertical="top" wrapText="1"/>
    </xf>
    <xf numFmtId="4" fontId="16" fillId="15" borderId="1" xfId="0" applyNumberFormat="1" applyFont="1" applyFill="1" applyBorder="1" applyAlignment="1">
      <alignment horizontal="right"/>
    </xf>
    <xf numFmtId="0" fontId="39" fillId="5" borderId="1" xfId="0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40" fillId="0" borderId="0" xfId="0" applyFont="1"/>
    <xf numFmtId="0" fontId="41" fillId="0" borderId="0" xfId="0" applyFont="1"/>
    <xf numFmtId="164" fontId="0" fillId="0" borderId="0" xfId="0" applyNumberFormat="1"/>
    <xf numFmtId="0" fontId="42" fillId="0" borderId="0" xfId="0" applyFont="1"/>
    <xf numFmtId="0" fontId="30" fillId="2" borderId="0" xfId="0" applyFont="1" applyFill="1" applyAlignment="1">
      <alignment wrapText="1"/>
    </xf>
    <xf numFmtId="164" fontId="42" fillId="0" borderId="0" xfId="16" applyFont="1" applyBorder="1"/>
    <xf numFmtId="2" fontId="42" fillId="0" borderId="0" xfId="0" applyNumberFormat="1" applyFont="1"/>
    <xf numFmtId="9" fontId="16" fillId="15" borderId="1" xfId="2" applyFont="1" applyFill="1" applyBorder="1" applyAlignment="1">
      <alignment horizontal="center"/>
    </xf>
    <xf numFmtId="4" fontId="16" fillId="15" borderId="1" xfId="0" applyNumberFormat="1" applyFont="1" applyFill="1" applyBorder="1" applyAlignment="1">
      <alignment horizontal="center"/>
    </xf>
    <xf numFmtId="10" fontId="42" fillId="0" borderId="0" xfId="2" applyNumberFormat="1" applyFont="1" applyBorder="1"/>
    <xf numFmtId="10" fontId="43" fillId="0" borderId="0" xfId="2" applyNumberFormat="1" applyFont="1" applyBorder="1"/>
    <xf numFmtId="10" fontId="0" fillId="0" borderId="0" xfId="2" applyNumberFormat="1" applyFont="1"/>
    <xf numFmtId="10" fontId="16" fillId="15" borderId="1" xfId="2" applyNumberFormat="1" applyFont="1" applyFill="1" applyBorder="1" applyAlignment="1">
      <alignment horizontal="center" vertical="top" wrapText="1"/>
    </xf>
    <xf numFmtId="167" fontId="16" fillId="15" borderId="1" xfId="2" applyNumberFormat="1" applyFont="1" applyFill="1" applyBorder="1" applyAlignment="1">
      <alignment horizontal="center" vertical="top" wrapText="1"/>
    </xf>
    <xf numFmtId="167" fontId="28" fillId="15" borderId="1" xfId="2" applyNumberFormat="1" applyFont="1" applyFill="1" applyBorder="1" applyAlignment="1">
      <alignment horizontal="center" vertical="top" wrapText="1"/>
    </xf>
    <xf numFmtId="164" fontId="2" fillId="4" borderId="1" xfId="0" quotePrefix="1" applyNumberFormat="1" applyFont="1" applyFill="1" applyBorder="1" applyAlignment="1">
      <alignment horizontal="center"/>
    </xf>
    <xf numFmtId="0" fontId="50" fillId="0" borderId="0" xfId="0" applyFont="1"/>
    <xf numFmtId="4" fontId="26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0" fontId="51" fillId="0" borderId="0" xfId="0" applyFont="1"/>
    <xf numFmtId="0" fontId="26" fillId="0" borderId="1" xfId="0" applyFont="1" applyBorder="1" applyAlignment="1">
      <alignment horizontal="center"/>
    </xf>
    <xf numFmtId="4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wrapText="1"/>
    </xf>
    <xf numFmtId="10" fontId="26" fillId="7" borderId="1" xfId="2" applyNumberFormat="1" applyFont="1" applyFill="1" applyBorder="1" applyAlignment="1">
      <alignment horizontal="center"/>
    </xf>
    <xf numFmtId="2" fontId="26" fillId="2" borderId="1" xfId="0" applyNumberFormat="1" applyFont="1" applyFill="1" applyBorder="1"/>
    <xf numFmtId="4" fontId="26" fillId="2" borderId="1" xfId="0" applyNumberFormat="1" applyFont="1" applyFill="1" applyBorder="1"/>
    <xf numFmtId="0" fontId="1" fillId="0" borderId="0" xfId="0" applyFont="1"/>
    <xf numFmtId="0" fontId="28" fillId="0" borderId="1" xfId="0" applyFont="1" applyBorder="1" applyAlignment="1">
      <alignment horizontal="center"/>
    </xf>
    <xf numFmtId="4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4" fontId="28" fillId="2" borderId="1" xfId="44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49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center"/>
    </xf>
    <xf numFmtId="2" fontId="29" fillId="0" borderId="0" xfId="0" applyNumberFormat="1" applyFont="1"/>
    <xf numFmtId="0" fontId="28" fillId="2" borderId="1" xfId="0" applyFont="1" applyFill="1" applyBorder="1" applyAlignment="1">
      <alignment horizontal="left" wrapText="1"/>
    </xf>
    <xf numFmtId="4" fontId="28" fillId="0" borderId="1" xfId="0" applyNumberFormat="1" applyFont="1" applyBorder="1" applyAlignment="1">
      <alignment wrapText="1"/>
    </xf>
    <xf numFmtId="0" fontId="22" fillId="5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33" fillId="12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5" fillId="13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28,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76.454466515944091</c:v>
                </c:pt>
                <c:pt idx="1">
                  <c:v>4552.3300924383484</c:v>
                </c:pt>
                <c:pt idx="2">
                  <c:v>243.66597265449658</c:v>
                </c:pt>
                <c:pt idx="3">
                  <c:v>1901.0283025932881</c:v>
                </c:pt>
                <c:pt idx="4">
                  <c:v>480.11818681235258</c:v>
                </c:pt>
                <c:pt idx="5" formatCode="_(* #,##0.00_);_(* \(#,##0.00\);_(* &quot;-&quot;??_);_(@_)">
                  <c:v>80.347740959834056</c:v>
                </c:pt>
                <c:pt idx="6">
                  <c:v>8.1374101051800007</c:v>
                </c:pt>
                <c:pt idx="7">
                  <c:v>74.458988396700391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5,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78.401377862474703</c:v>
                </c:pt>
                <c:pt idx="1">
                  <c:v>4598.0782761163418</c:v>
                </c:pt>
                <c:pt idx="2">
                  <c:v>239.56943582111509</c:v>
                </c:pt>
                <c:pt idx="3">
                  <c:v>1910.1132735016395</c:v>
                </c:pt>
                <c:pt idx="4">
                  <c:v>480.96239040530361</c:v>
                </c:pt>
                <c:pt idx="5" formatCode="_(* #,##0.00_);_(* \(#,##0.00\);_(* &quot;-&quot;??_);_(@_)">
                  <c:v>82.072736373080204</c:v>
                </c:pt>
                <c:pt idx="6">
                  <c:v>8.2694178473099988</c:v>
                </c:pt>
                <c:pt idx="7">
                  <c:v>75.808834587932679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8342400"/>
        <c:axId val="128337696"/>
      </c:barChart>
      <c:catAx>
        <c:axId val="1283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28337696"/>
        <c:crosses val="autoZero"/>
        <c:auto val="1"/>
        <c:lblAlgn val="ctr"/>
        <c:lblOffset val="100"/>
        <c:noMultiLvlLbl val="0"/>
      </c:catAx>
      <c:valAx>
        <c:axId val="1283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283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12TH DECEMBER,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1"/>
          <c:y val="1.43638007281235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05-Dec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8269417847.3099995</c:v>
                </c:pt>
                <c:pt idx="1">
                  <c:v>78401377862.474701</c:v>
                </c:pt>
                <c:pt idx="2" formatCode="_(* #,##0.00_);_(* \(#,##0.00\);_(* &quot;-&quot;??_);_(@_)">
                  <c:v>75808834587.932678</c:v>
                </c:pt>
                <c:pt idx="3">
                  <c:v>82072736373.0802</c:v>
                </c:pt>
                <c:pt idx="4">
                  <c:v>480962390405.30359</c:v>
                </c:pt>
                <c:pt idx="5">
                  <c:v>239569435821.11508</c:v>
                </c:pt>
                <c:pt idx="6">
                  <c:v>1910113273501.6394</c:v>
                </c:pt>
                <c:pt idx="7">
                  <c:v>4598078276116.3418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45947</c:v>
                </c:pt>
                <c:pt idx="1">
                  <c:v>45954</c:v>
                </c:pt>
                <c:pt idx="2">
                  <c:v>45961</c:v>
                </c:pt>
                <c:pt idx="3">
                  <c:v>45968</c:v>
                </c:pt>
                <c:pt idx="4">
                  <c:v>45975</c:v>
                </c:pt>
                <c:pt idx="5">
                  <c:v>45982</c:v>
                </c:pt>
                <c:pt idx="6">
                  <c:v>45989</c:v>
                </c:pt>
                <c:pt idx="7">
                  <c:v>45996</c:v>
                </c:pt>
              </c:numCache>
            </c:numRef>
          </c:cat>
          <c:val>
            <c:numRef>
              <c:f>'8-Week Movement in NAV'!$B$3:$I$3</c:f>
              <c:numCache>
                <c:formatCode>_(* #,##0.00_);_(* \(#,##0.00\);_(* "-"??_);_(@_)</c:formatCode>
                <c:ptCount val="8"/>
                <c:pt idx="0">
                  <c:v>7020.2119881351573</c:v>
                </c:pt>
                <c:pt idx="1">
                  <c:v>7084.74766079442</c:v>
                </c:pt>
                <c:pt idx="2">
                  <c:v>7104.7215850315024</c:v>
                </c:pt>
                <c:pt idx="3">
                  <c:v>7157.322477516268</c:v>
                </c:pt>
                <c:pt idx="4">
                  <c:v>7224.9660672128502</c:v>
                </c:pt>
                <c:pt idx="5">
                  <c:v>7259.9310118544208</c:v>
                </c:pt>
                <c:pt idx="6">
                  <c:v>7416.5411604761439</c:v>
                </c:pt>
                <c:pt idx="7">
                  <c:v>7473.2757425151976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338088"/>
        <c:axId val="128340440"/>
      </c:lineChart>
      <c:dateAx>
        <c:axId val="1283380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0440"/>
        <c:crosses val="autoZero"/>
        <c:auto val="1"/>
        <c:lblOffset val="100"/>
        <c:baseTimeUnit val="days"/>
      </c:dateAx>
      <c:valAx>
        <c:axId val="12834044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3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45947</c:v>
                </c:pt>
                <c:pt idx="1">
                  <c:v>45954</c:v>
                </c:pt>
                <c:pt idx="2">
                  <c:v>45961</c:v>
                </c:pt>
                <c:pt idx="3">
                  <c:v>45968</c:v>
                </c:pt>
                <c:pt idx="4">
                  <c:v>45975</c:v>
                </c:pt>
                <c:pt idx="5">
                  <c:v>45982</c:v>
                </c:pt>
                <c:pt idx="6">
                  <c:v>45989</c:v>
                </c:pt>
                <c:pt idx="7">
                  <c:v>45996</c:v>
                </c:pt>
              </c:numCache>
            </c:numRef>
          </c:cat>
          <c:val>
            <c:numRef>
              <c:f>'8-Week Movement in ETFs'!$B$3:$I$3</c:f>
              <c:numCache>
                <c:formatCode>_(* #,##0.00_);_(* \(#,##0.00\);_(* "-"??_);_(@_)</c:formatCode>
                <c:ptCount val="8"/>
                <c:pt idx="0">
                  <c:v>17.680301749159998</c:v>
                </c:pt>
                <c:pt idx="1">
                  <c:v>18.29339423531</c:v>
                </c:pt>
                <c:pt idx="2">
                  <c:v>17.97007204989</c:v>
                </c:pt>
                <c:pt idx="3">
                  <c:v>17.390304867240001</c:v>
                </c:pt>
                <c:pt idx="4">
                  <c:v>17.29912062779</c:v>
                </c:pt>
                <c:pt idx="5">
                  <c:v>16.915814556049998</c:v>
                </c:pt>
                <c:pt idx="6">
                  <c:v>16.97292700869</c:v>
                </c:pt>
                <c:pt idx="7">
                  <c:v>17.413222879320003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8343576"/>
        <c:axId val="128342008"/>
      </c:lineChart>
      <c:dateAx>
        <c:axId val="1283435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2008"/>
        <c:crosses val="autoZero"/>
        <c:auto val="1"/>
        <c:lblOffset val="100"/>
        <c:baseTimeUnit val="days"/>
      </c:dateAx>
      <c:valAx>
        <c:axId val="12834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4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5"/>
  <cols>
    <col min="1" max="1" width="6" customWidth="1"/>
    <col min="2" max="2" width="39.08984375" customWidth="1"/>
    <col min="3" max="3" width="36.08984375" customWidth="1"/>
    <col min="4" max="4" width="21" customWidth="1"/>
    <col min="8" max="8" width="11.453125" customWidth="1"/>
    <col min="11" max="11" width="20.54296875" customWidth="1"/>
    <col min="13" max="14" width="10.08984375" customWidth="1"/>
    <col min="15" max="15" width="10.54296875" customWidth="1"/>
    <col min="16" max="16" width="8.36328125" customWidth="1"/>
    <col min="17" max="17" width="9.08984375" customWidth="1"/>
    <col min="20" max="20" width="9.36328125" customWidth="1"/>
    <col min="24" max="24" width="18.90625" customWidth="1"/>
    <col min="25" max="25" width="11.36328125" customWidth="1"/>
    <col min="26" max="27" width="17.36328125" customWidth="1"/>
  </cols>
  <sheetData>
    <row r="1" spans="1:25" ht="26">
      <c r="A1" s="189" t="s">
        <v>332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49"/>
      <c r="B2" s="50"/>
      <c r="C2" s="51"/>
      <c r="D2" s="190" t="s">
        <v>330</v>
      </c>
      <c r="E2" s="190"/>
      <c r="F2" s="190"/>
      <c r="G2" s="190"/>
      <c r="H2" s="190"/>
      <c r="I2" s="190"/>
      <c r="J2" s="190"/>
      <c r="K2" s="190" t="s">
        <v>333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>
      <c r="A3" s="52" t="s">
        <v>2</v>
      </c>
      <c r="B3" s="53" t="s">
        <v>3</v>
      </c>
      <c r="C3" s="54" t="s">
        <v>4</v>
      </c>
      <c r="D3" s="55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81" t="s">
        <v>5</v>
      </c>
      <c r="L3" s="56" t="s">
        <v>6</v>
      </c>
      <c r="M3" s="56" t="s">
        <v>12</v>
      </c>
      <c r="N3" s="56" t="s">
        <v>8</v>
      </c>
      <c r="O3" s="56" t="s">
        <v>9</v>
      </c>
      <c r="P3" s="56" t="s">
        <v>10</v>
      </c>
      <c r="Q3" s="56" t="s">
        <v>11</v>
      </c>
      <c r="R3" s="55" t="s">
        <v>13</v>
      </c>
      <c r="S3" s="56" t="s">
        <v>14</v>
      </c>
      <c r="T3" s="56" t="s">
        <v>15</v>
      </c>
      <c r="U3" s="56" t="s">
        <v>16</v>
      </c>
      <c r="V3" s="56" t="s">
        <v>17</v>
      </c>
    </row>
    <row r="4" spans="1:25" ht="5.25" customHeight="1">
      <c r="A4" s="57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83">
        <v>1</v>
      </c>
      <c r="B6" s="179" t="s">
        <v>19</v>
      </c>
      <c r="C6" s="180" t="s">
        <v>20</v>
      </c>
      <c r="D6" s="176">
        <v>4018023544.1399999</v>
      </c>
      <c r="E6" s="174">
        <f t="shared" ref="E6:E24" si="0">(D6/$D$26)</f>
        <v>5.2554464470719535E-2</v>
      </c>
      <c r="F6" s="176">
        <v>580.1721</v>
      </c>
      <c r="G6" s="176">
        <v>585.39779999999996</v>
      </c>
      <c r="H6" s="62">
        <v>1695</v>
      </c>
      <c r="I6" s="83">
        <v>5.4000000000000003E-3</v>
      </c>
      <c r="J6" s="83">
        <v>0.45950000000000002</v>
      </c>
      <c r="K6" s="176">
        <v>4159200593.23</v>
      </c>
      <c r="L6" s="174">
        <f t="shared" ref="L6:L25" si="1">(K6/$K$26)</f>
        <v>5.3050095631300385E-2</v>
      </c>
      <c r="M6" s="176">
        <v>591.351</v>
      </c>
      <c r="N6" s="176">
        <v>596.726</v>
      </c>
      <c r="O6" s="62">
        <v>1695</v>
      </c>
      <c r="P6" s="83">
        <v>1.9300000000000001E-2</v>
      </c>
      <c r="Q6" s="83">
        <v>0.48759999999999998</v>
      </c>
      <c r="R6" s="88">
        <f>((K6-D6)/D6)</f>
        <v>3.513594371439082E-2</v>
      </c>
      <c r="S6" s="88">
        <f>((N6-G6)/G6)</f>
        <v>1.9351285570256737E-2</v>
      </c>
      <c r="T6" s="88">
        <f>((O6-H6)/H6)</f>
        <v>0</v>
      </c>
      <c r="U6" s="88">
        <f>P6-I6</f>
        <v>1.3900000000000001E-2</v>
      </c>
      <c r="V6" s="89">
        <f>Q6-J6</f>
        <v>2.8099999999999958E-2</v>
      </c>
      <c r="W6" s="177"/>
    </row>
    <row r="7" spans="1:25">
      <c r="A7" s="183">
        <v>2</v>
      </c>
      <c r="B7" s="179" t="s">
        <v>21</v>
      </c>
      <c r="C7" s="180" t="s">
        <v>22</v>
      </c>
      <c r="D7" s="58">
        <v>1122608827.0599999</v>
      </c>
      <c r="E7" s="59">
        <f t="shared" si="0"/>
        <v>1.4683364860388988E-2</v>
      </c>
      <c r="F7" s="58">
        <v>387.18630000000002</v>
      </c>
      <c r="G7" s="58">
        <v>391.16050000000001</v>
      </c>
      <c r="H7" s="60">
        <v>618</v>
      </c>
      <c r="I7" s="82">
        <v>4.3779999999999999E-3</v>
      </c>
      <c r="J7" s="82">
        <v>0.50360000000000005</v>
      </c>
      <c r="K7" s="58">
        <v>959267355.97000003</v>
      </c>
      <c r="L7" s="59">
        <f t="shared" si="1"/>
        <v>1.2235337976491543E-2</v>
      </c>
      <c r="M7" s="58">
        <v>394.46660000000003</v>
      </c>
      <c r="N7" s="58">
        <v>399.00630000000001</v>
      </c>
      <c r="O7" s="60">
        <v>622</v>
      </c>
      <c r="P7" s="82">
        <v>9.1599999999999997E-3</v>
      </c>
      <c r="Q7" s="82">
        <v>0.53180000000000005</v>
      </c>
      <c r="R7" s="87">
        <f t="shared" ref="R7:R26" si="2">((K7-D7)/D7)</f>
        <v>-0.14550168068584929</v>
      </c>
      <c r="S7" s="87">
        <f t="shared" ref="S7:S26" si="3">((N7-G7)/G7)</f>
        <v>2.0057751229993818E-2</v>
      </c>
      <c r="T7" s="87">
        <f t="shared" ref="T7:T26" si="4">((O7-H7)/H7)</f>
        <v>6.4724919093851136E-3</v>
      </c>
      <c r="U7" s="88">
        <f t="shared" ref="U7:U26" si="5">P7-I7</f>
        <v>4.7819999999999998E-3</v>
      </c>
      <c r="V7" s="89">
        <f t="shared" ref="V7:V26" si="6">Q7-J7</f>
        <v>2.8200000000000003E-2</v>
      </c>
    </row>
    <row r="8" spans="1:25">
      <c r="A8" s="183">
        <v>3</v>
      </c>
      <c r="B8" s="179" t="s">
        <v>23</v>
      </c>
      <c r="C8" s="180" t="s">
        <v>24</v>
      </c>
      <c r="D8" s="58">
        <v>6775168634.0799999</v>
      </c>
      <c r="E8" s="59">
        <f t="shared" si="0"/>
        <v>8.8617041525848358E-2</v>
      </c>
      <c r="F8" s="58">
        <v>49.7729</v>
      </c>
      <c r="G8" s="61">
        <v>51.273600000000002</v>
      </c>
      <c r="H8" s="62">
        <v>8265</v>
      </c>
      <c r="I8" s="83">
        <v>0.218</v>
      </c>
      <c r="J8" s="83">
        <v>0.44400000000000001</v>
      </c>
      <c r="K8" s="58">
        <v>7049601562.4700003</v>
      </c>
      <c r="L8" s="59">
        <f t="shared" si="1"/>
        <v>8.991680700861962E-2</v>
      </c>
      <c r="M8" s="58">
        <v>51.231999999999999</v>
      </c>
      <c r="N8" s="61">
        <v>52.776600000000002</v>
      </c>
      <c r="O8" s="62">
        <v>8335</v>
      </c>
      <c r="P8" s="83">
        <v>1.5285</v>
      </c>
      <c r="Q8" s="83">
        <v>0.47910000000000003</v>
      </c>
      <c r="R8" s="87">
        <f t="shared" si="2"/>
        <v>4.0505697084728814E-2</v>
      </c>
      <c r="S8" s="87">
        <f t="shared" si="3"/>
        <v>2.9313330836921926E-2</v>
      </c>
      <c r="T8" s="87">
        <f t="shared" si="4"/>
        <v>8.4694494857834243E-3</v>
      </c>
      <c r="U8" s="88">
        <f t="shared" si="5"/>
        <v>1.3105</v>
      </c>
      <c r="V8" s="89">
        <f t="shared" si="6"/>
        <v>3.510000000000002E-2</v>
      </c>
      <c r="X8" s="90"/>
      <c r="Y8" s="90"/>
    </row>
    <row r="9" spans="1:25">
      <c r="A9" s="183">
        <v>4</v>
      </c>
      <c r="B9" s="179" t="s">
        <v>25</v>
      </c>
      <c r="C9" s="180" t="s">
        <v>26</v>
      </c>
      <c r="D9" s="58">
        <v>1105369092.0899999</v>
      </c>
      <c r="E9" s="59">
        <f t="shared" si="0"/>
        <v>1.4457874633910135E-2</v>
      </c>
      <c r="F9" s="58">
        <v>237.97919999999999</v>
      </c>
      <c r="G9" s="58">
        <v>237.97919999999999</v>
      </c>
      <c r="H9" s="60">
        <v>2252</v>
      </c>
      <c r="I9" s="82">
        <v>-2E-3</v>
      </c>
      <c r="J9" s="82">
        <v>0.2412</v>
      </c>
      <c r="K9" s="58">
        <v>821091865.73000002</v>
      </c>
      <c r="L9" s="59">
        <f t="shared" si="1"/>
        <v>1.0472926472928733E-2</v>
      </c>
      <c r="M9" s="58">
        <v>243.47710000000001</v>
      </c>
      <c r="N9" s="58">
        <v>243.47710000000001</v>
      </c>
      <c r="O9" s="60">
        <v>2261</v>
      </c>
      <c r="P9" s="82">
        <v>2.3099999999999999E-2</v>
      </c>
      <c r="Q9" s="82">
        <v>0.26629999999999998</v>
      </c>
      <c r="R9" s="87">
        <f t="shared" si="2"/>
        <v>-0.25717855546557461</v>
      </c>
      <c r="S9" s="87">
        <f t="shared" si="3"/>
        <v>2.3102439204770904E-2</v>
      </c>
      <c r="T9" s="87">
        <f t="shared" si="4"/>
        <v>3.9964476021314387E-3</v>
      </c>
      <c r="U9" s="88">
        <f t="shared" si="5"/>
        <v>2.5099999999999997E-2</v>
      </c>
      <c r="V9" s="89">
        <f t="shared" si="6"/>
        <v>2.5099999999999983E-2</v>
      </c>
    </row>
    <row r="10" spans="1:25">
      <c r="A10" s="183">
        <v>5</v>
      </c>
      <c r="B10" s="179" t="s">
        <v>27</v>
      </c>
      <c r="C10" s="180" t="s">
        <v>28</v>
      </c>
      <c r="D10" s="58">
        <v>2235055865.1399999</v>
      </c>
      <c r="E10" s="59">
        <f t="shared" si="0"/>
        <v>2.9233816766923527E-2</v>
      </c>
      <c r="F10" s="58">
        <v>1.6497999999999999</v>
      </c>
      <c r="G10" s="58">
        <v>1.6694</v>
      </c>
      <c r="H10" s="60">
        <v>945</v>
      </c>
      <c r="I10" s="82">
        <v>5.1000000000000004E-3</v>
      </c>
      <c r="J10" s="82">
        <v>0.3962</v>
      </c>
      <c r="K10" s="58">
        <v>2258292336.7399998</v>
      </c>
      <c r="L10" s="59">
        <f t="shared" si="1"/>
        <v>2.8804242964980947E-2</v>
      </c>
      <c r="M10" s="58">
        <v>1.6467000000000001</v>
      </c>
      <c r="N10" s="58">
        <v>1.6668000000000001</v>
      </c>
      <c r="O10" s="60">
        <v>990</v>
      </c>
      <c r="P10" s="82">
        <v>-1.6999999999999999E-3</v>
      </c>
      <c r="Q10" s="82">
        <v>0.39560000000000001</v>
      </c>
      <c r="R10" s="87">
        <f t="shared" si="2"/>
        <v>1.0396371724938703E-2</v>
      </c>
      <c r="S10" s="87">
        <f t="shared" si="3"/>
        <v>-1.5574457889061554E-3</v>
      </c>
      <c r="T10" s="87">
        <f t="shared" si="4"/>
        <v>4.7619047619047616E-2</v>
      </c>
      <c r="U10" s="88">
        <f t="shared" si="5"/>
        <v>-6.8000000000000005E-3</v>
      </c>
      <c r="V10" s="89">
        <f t="shared" si="6"/>
        <v>-5.9999999999998943E-4</v>
      </c>
    </row>
    <row r="11" spans="1:25">
      <c r="A11" s="183">
        <v>6</v>
      </c>
      <c r="B11" s="179" t="s">
        <v>29</v>
      </c>
      <c r="C11" s="180" t="s">
        <v>30</v>
      </c>
      <c r="D11" s="63">
        <v>246076633.80000001</v>
      </c>
      <c r="E11" s="59">
        <f t="shared" si="0"/>
        <v>3.2186037652709577E-3</v>
      </c>
      <c r="F11" s="58">
        <v>206.78440000000001</v>
      </c>
      <c r="G11" s="58">
        <v>208.20920000000001</v>
      </c>
      <c r="H11" s="62">
        <v>104</v>
      </c>
      <c r="I11" s="83">
        <v>1.3489999999999999E-3</v>
      </c>
      <c r="J11" s="83">
        <v>0.25979999999999998</v>
      </c>
      <c r="K11" s="63">
        <v>249438229.08000001</v>
      </c>
      <c r="L11" s="59">
        <f t="shared" si="1"/>
        <v>3.1815541496929326E-3</v>
      </c>
      <c r="M11" s="58">
        <v>209.94149999999999</v>
      </c>
      <c r="N11" s="58">
        <v>211.39169999999999</v>
      </c>
      <c r="O11" s="62">
        <v>105</v>
      </c>
      <c r="P11" s="83">
        <v>2.9910000000000002E-3</v>
      </c>
      <c r="Q11" s="83">
        <v>0.2737</v>
      </c>
      <c r="R11" s="87">
        <f t="shared" si="2"/>
        <v>1.3660765868295136E-2</v>
      </c>
      <c r="S11" s="87">
        <f t="shared" si="3"/>
        <v>1.5285107478439839E-2</v>
      </c>
      <c r="T11" s="87">
        <f t="shared" si="4"/>
        <v>9.6153846153846159E-3</v>
      </c>
      <c r="U11" s="88">
        <f t="shared" si="5"/>
        <v>1.6420000000000002E-3</v>
      </c>
      <c r="V11" s="89">
        <f t="shared" si="6"/>
        <v>1.3900000000000023E-2</v>
      </c>
    </row>
    <row r="12" spans="1:25">
      <c r="A12" s="183">
        <v>7</v>
      </c>
      <c r="B12" s="179" t="s">
        <v>31</v>
      </c>
      <c r="C12" s="180" t="s">
        <v>32</v>
      </c>
      <c r="D12" s="58">
        <v>2623047588.21</v>
      </c>
      <c r="E12" s="59">
        <f t="shared" si="0"/>
        <v>3.4308624567578147E-2</v>
      </c>
      <c r="F12" s="58">
        <v>429.67</v>
      </c>
      <c r="G12" s="58">
        <v>435.88</v>
      </c>
      <c r="H12" s="62">
        <v>1850</v>
      </c>
      <c r="I12" s="83">
        <v>5.7000000000000002E-3</v>
      </c>
      <c r="J12" s="83">
        <v>0.49769999999999998</v>
      </c>
      <c r="K12" s="58">
        <v>2645039084.48</v>
      </c>
      <c r="L12" s="59">
        <f t="shared" si="1"/>
        <v>3.3737150501611232E-2</v>
      </c>
      <c r="M12" s="58">
        <v>434.87</v>
      </c>
      <c r="N12" s="58">
        <v>441.19</v>
      </c>
      <c r="O12" s="62">
        <v>1855</v>
      </c>
      <c r="P12" s="83">
        <v>1.21E-2</v>
      </c>
      <c r="Q12" s="83">
        <v>0.51380000000000003</v>
      </c>
      <c r="R12" s="87">
        <f t="shared" si="2"/>
        <v>8.3839486438777311E-3</v>
      </c>
      <c r="S12" s="87">
        <f t="shared" si="3"/>
        <v>1.2182251995962196E-2</v>
      </c>
      <c r="T12" s="87">
        <f t="shared" si="4"/>
        <v>2.7027027027027029E-3</v>
      </c>
      <c r="U12" s="88">
        <f t="shared" si="5"/>
        <v>6.3999999999999994E-3</v>
      </c>
      <c r="V12" s="89">
        <f t="shared" si="6"/>
        <v>1.6100000000000059E-2</v>
      </c>
    </row>
    <row r="13" spans="1:25">
      <c r="A13" s="183">
        <v>8</v>
      </c>
      <c r="B13" s="179" t="s">
        <v>33</v>
      </c>
      <c r="C13" s="180" t="s">
        <v>34</v>
      </c>
      <c r="D13" s="64">
        <v>487223356.20999998</v>
      </c>
      <c r="E13" s="59">
        <f t="shared" si="0"/>
        <v>6.3727258643338077E-3</v>
      </c>
      <c r="F13" s="58">
        <v>242.46</v>
      </c>
      <c r="G13" s="58">
        <v>253.04</v>
      </c>
      <c r="H13" s="60">
        <v>2469</v>
      </c>
      <c r="I13" s="82">
        <v>-8.0000000000000004E-4</v>
      </c>
      <c r="J13" s="82">
        <v>0.14480000000000001</v>
      </c>
      <c r="K13" s="64">
        <v>491806246.19999999</v>
      </c>
      <c r="L13" s="59">
        <f t="shared" si="1"/>
        <v>6.2729286092737604E-3</v>
      </c>
      <c r="M13" s="58">
        <v>246.13</v>
      </c>
      <c r="N13" s="58">
        <v>256.64</v>
      </c>
      <c r="O13" s="60">
        <v>2469</v>
      </c>
      <c r="P13" s="82">
        <v>-8.0000000000000004E-4</v>
      </c>
      <c r="Q13" s="82">
        <v>0.14480000000000001</v>
      </c>
      <c r="R13" s="87">
        <f t="shared" si="2"/>
        <v>9.4061377222333341E-3</v>
      </c>
      <c r="S13" s="87">
        <f t="shared" si="3"/>
        <v>1.422699968384443E-2</v>
      </c>
      <c r="T13" s="87">
        <f t="shared" si="4"/>
        <v>0</v>
      </c>
      <c r="U13" s="88">
        <f t="shared" si="5"/>
        <v>0</v>
      </c>
      <c r="V13" s="89">
        <f t="shared" si="6"/>
        <v>0</v>
      </c>
    </row>
    <row r="14" spans="1:25">
      <c r="A14" s="183">
        <v>9</v>
      </c>
      <c r="B14" s="179" t="s">
        <v>35</v>
      </c>
      <c r="C14" s="180" t="s">
        <v>36</v>
      </c>
      <c r="D14" s="63">
        <v>86949080.614099994</v>
      </c>
      <c r="E14" s="59">
        <f t="shared" si="0"/>
        <v>1.137266200084822E-3</v>
      </c>
      <c r="F14" s="58">
        <v>309.3972</v>
      </c>
      <c r="G14" s="58">
        <v>317.37959999999998</v>
      </c>
      <c r="H14" s="60">
        <v>29</v>
      </c>
      <c r="I14" s="82">
        <v>4.8999999999999998E-3</v>
      </c>
      <c r="J14" s="82">
        <v>0.39600000000000002</v>
      </c>
      <c r="K14" s="63">
        <v>87973464.794699997</v>
      </c>
      <c r="L14" s="59">
        <f t="shared" si="1"/>
        <v>1.1220907998455826E-3</v>
      </c>
      <c r="M14" s="58">
        <v>312.9461</v>
      </c>
      <c r="N14" s="58">
        <v>321.06729999999999</v>
      </c>
      <c r="O14" s="60">
        <v>29</v>
      </c>
      <c r="P14" s="82">
        <v>1.1599999999999999E-2</v>
      </c>
      <c r="Q14" s="82">
        <v>0.41220000000000001</v>
      </c>
      <c r="R14" s="87">
        <f t="shared" si="2"/>
        <v>1.1781426248156146E-2</v>
      </c>
      <c r="S14" s="87">
        <f t="shared" si="3"/>
        <v>1.1619209300156679E-2</v>
      </c>
      <c r="T14" s="87">
        <f t="shared" si="4"/>
        <v>0</v>
      </c>
      <c r="U14" s="88">
        <f t="shared" si="5"/>
        <v>6.6999999999999994E-3</v>
      </c>
      <c r="V14" s="89">
        <f t="shared" si="6"/>
        <v>1.6199999999999992E-2</v>
      </c>
    </row>
    <row r="15" spans="1:25" ht="14.25" customHeight="1">
      <c r="A15" s="183">
        <v>10</v>
      </c>
      <c r="B15" s="179" t="s">
        <v>37</v>
      </c>
      <c r="C15" s="180" t="s">
        <v>38</v>
      </c>
      <c r="D15" s="64">
        <v>2651029792.9400001</v>
      </c>
      <c r="E15" s="59">
        <f t="shared" si="0"/>
        <v>3.4674622867025627E-2</v>
      </c>
      <c r="F15" s="58">
        <v>3.779153</v>
      </c>
      <c r="G15" s="58">
        <v>3.8118829999999999</v>
      </c>
      <c r="H15" s="60">
        <v>2619</v>
      </c>
      <c r="I15" s="82">
        <v>2.0000000000000001E-4</v>
      </c>
      <c r="J15" s="82">
        <v>0.80420000000000003</v>
      </c>
      <c r="K15" s="64">
        <v>2744747931.3499999</v>
      </c>
      <c r="L15" s="59">
        <f t="shared" si="1"/>
        <v>3.5008924666663548E-2</v>
      </c>
      <c r="M15" s="58">
        <v>3.8298009999999998</v>
      </c>
      <c r="N15" s="58">
        <v>3.8634870000000001</v>
      </c>
      <c r="O15" s="60">
        <v>2722</v>
      </c>
      <c r="P15" s="82">
        <v>1.34E-2</v>
      </c>
      <c r="Q15" s="82">
        <v>0.82840000000000003</v>
      </c>
      <c r="R15" s="87">
        <f t="shared" si="2"/>
        <v>3.5351597579017076E-2</v>
      </c>
      <c r="S15" s="87">
        <f t="shared" si="3"/>
        <v>1.3537666292485945E-2</v>
      </c>
      <c r="T15" s="87">
        <f t="shared" si="4"/>
        <v>3.9327987781596026E-2</v>
      </c>
      <c r="U15" s="88">
        <f t="shared" si="5"/>
        <v>1.32E-2</v>
      </c>
      <c r="V15" s="89">
        <f t="shared" si="6"/>
        <v>2.4199999999999999E-2</v>
      </c>
    </row>
    <row r="16" spans="1:25" ht="14.25" customHeight="1">
      <c r="A16" s="185">
        <v>11</v>
      </c>
      <c r="B16" s="179" t="s">
        <v>39</v>
      </c>
      <c r="C16" s="180" t="s">
        <v>40</v>
      </c>
      <c r="D16" s="64">
        <v>118209929.76000001</v>
      </c>
      <c r="E16" s="59">
        <f t="shared" si="0"/>
        <v>1.5461481211872438E-3</v>
      </c>
      <c r="F16" s="58">
        <v>25.75</v>
      </c>
      <c r="G16" s="58">
        <v>26.18</v>
      </c>
      <c r="H16" s="60">
        <v>72</v>
      </c>
      <c r="I16" s="82">
        <v>1.38E-2</v>
      </c>
      <c r="J16" s="82">
        <v>1.57</v>
      </c>
      <c r="K16" s="64">
        <v>109253578.53</v>
      </c>
      <c r="L16" s="59">
        <f t="shared" si="1"/>
        <v>1.3935160517413829E-3</v>
      </c>
      <c r="M16" s="58">
        <v>26.51</v>
      </c>
      <c r="N16" s="58">
        <v>27</v>
      </c>
      <c r="O16" s="60">
        <v>75</v>
      </c>
      <c r="P16" s="82">
        <v>3.1300000000000001E-2</v>
      </c>
      <c r="Q16" s="82">
        <v>1.65</v>
      </c>
      <c r="R16" s="87">
        <f t="shared" ref="R16" si="7">((K16-D16)/D16)</f>
        <v>-7.5766488045327166E-2</v>
      </c>
      <c r="S16" s="87">
        <f t="shared" ref="S16" si="8">((N16-G16)/G16)</f>
        <v>3.1321619556913684E-2</v>
      </c>
      <c r="T16" s="87">
        <f t="shared" ref="T16" si="9">((O16-H16)/H16)</f>
        <v>4.1666666666666664E-2</v>
      </c>
      <c r="U16" s="88">
        <f t="shared" ref="U16" si="10">P16-I16</f>
        <v>1.7500000000000002E-2</v>
      </c>
      <c r="V16" s="89">
        <f t="shared" ref="V16" si="11">Q16-J16</f>
        <v>7.9999999999999849E-2</v>
      </c>
    </row>
    <row r="17" spans="1:22">
      <c r="A17" s="183">
        <v>12</v>
      </c>
      <c r="B17" s="179" t="s">
        <v>41</v>
      </c>
      <c r="C17" s="180" t="s">
        <v>42</v>
      </c>
      <c r="D17" s="65">
        <v>2499825071.8499999</v>
      </c>
      <c r="E17" s="59">
        <f t="shared" si="0"/>
        <v>3.2696913414845125E-2</v>
      </c>
      <c r="F17" s="58">
        <v>5.19</v>
      </c>
      <c r="G17" s="58">
        <v>5.3</v>
      </c>
      <c r="H17" s="60">
        <v>3701</v>
      </c>
      <c r="I17" s="82">
        <v>-7.4999999999999997E-3</v>
      </c>
      <c r="J17" s="82">
        <v>0.42649999999999999</v>
      </c>
      <c r="K17" s="65">
        <v>2588527810.02</v>
      </c>
      <c r="L17" s="59">
        <f t="shared" si="1"/>
        <v>3.3016356097217883E-2</v>
      </c>
      <c r="M17" s="58">
        <v>5.37</v>
      </c>
      <c r="N17" s="58">
        <v>5.49</v>
      </c>
      <c r="O17" s="60">
        <v>3697</v>
      </c>
      <c r="P17" s="82">
        <v>2.7300000000000001E-2</v>
      </c>
      <c r="Q17" s="82">
        <v>0.47660000000000002</v>
      </c>
      <c r="R17" s="87">
        <f t="shared" si="2"/>
        <v>3.5483578098668901E-2</v>
      </c>
      <c r="S17" s="87">
        <f t="shared" si="3"/>
        <v>3.584905660377366E-2</v>
      </c>
      <c r="T17" s="87">
        <f t="shared" si="4"/>
        <v>-1.0807889759524452E-3</v>
      </c>
      <c r="U17" s="88">
        <f t="shared" si="5"/>
        <v>3.4799999999999998E-2</v>
      </c>
      <c r="V17" s="89">
        <f t="shared" si="6"/>
        <v>5.0100000000000033E-2</v>
      </c>
    </row>
    <row r="18" spans="1:22">
      <c r="A18" s="183">
        <v>13</v>
      </c>
      <c r="B18" s="179" t="s">
        <v>43</v>
      </c>
      <c r="C18" s="180" t="s">
        <v>44</v>
      </c>
      <c r="D18" s="58">
        <v>3862828128.4699998</v>
      </c>
      <c r="E18" s="59">
        <f t="shared" si="0"/>
        <v>5.0524558008189509E-2</v>
      </c>
      <c r="F18" s="58">
        <v>31.746590000000001</v>
      </c>
      <c r="G18" s="58">
        <v>31.833182999999998</v>
      </c>
      <c r="H18" s="60">
        <v>1026</v>
      </c>
      <c r="I18" s="82">
        <v>6.3E-3</v>
      </c>
      <c r="J18" s="82">
        <v>0.35010000000000002</v>
      </c>
      <c r="K18" s="58">
        <v>3982109319.5100002</v>
      </c>
      <c r="L18" s="59">
        <f t="shared" si="1"/>
        <v>5.0791318061974518E-2</v>
      </c>
      <c r="M18" s="58">
        <v>32.838088999999997</v>
      </c>
      <c r="N18" s="58">
        <v>32.938464000000003</v>
      </c>
      <c r="O18" s="60">
        <v>1006</v>
      </c>
      <c r="P18" s="82">
        <v>3.44E-2</v>
      </c>
      <c r="Q18" s="82">
        <v>0.3952</v>
      </c>
      <c r="R18" s="87">
        <f t="shared" si="2"/>
        <v>3.0879238493907748E-2</v>
      </c>
      <c r="S18" s="87">
        <f t="shared" si="3"/>
        <v>3.4721033080480988E-2</v>
      </c>
      <c r="T18" s="87">
        <f t="shared" si="4"/>
        <v>-1.9493177387914229E-2</v>
      </c>
      <c r="U18" s="88">
        <f t="shared" si="5"/>
        <v>2.81E-2</v>
      </c>
      <c r="V18" s="89">
        <f t="shared" si="6"/>
        <v>4.5099999999999973E-2</v>
      </c>
    </row>
    <row r="19" spans="1:22">
      <c r="A19" s="183">
        <v>14</v>
      </c>
      <c r="B19" s="179" t="s">
        <v>45</v>
      </c>
      <c r="C19" s="180" t="s">
        <v>46</v>
      </c>
      <c r="D19" s="58">
        <v>170520139.00999999</v>
      </c>
      <c r="E19" s="59">
        <f t="shared" si="0"/>
        <v>2.2303489486051034E-3</v>
      </c>
      <c r="F19" s="58">
        <v>1.83</v>
      </c>
      <c r="G19" s="58">
        <v>1.91</v>
      </c>
      <c r="H19" s="60">
        <v>26</v>
      </c>
      <c r="I19" s="82">
        <v>5.4999999999999997E-3</v>
      </c>
      <c r="J19" s="82">
        <v>0.3155</v>
      </c>
      <c r="K19" s="58">
        <v>182023280.94999999</v>
      </c>
      <c r="L19" s="59">
        <f t="shared" si="1"/>
        <v>2.3216847192314705E-3</v>
      </c>
      <c r="M19" s="58">
        <v>1.96</v>
      </c>
      <c r="N19" s="58">
        <v>2.0299999999999998</v>
      </c>
      <c r="O19" s="60">
        <v>26</v>
      </c>
      <c r="P19" s="82">
        <v>8.7300000000000003E-2</v>
      </c>
      <c r="Q19" s="82">
        <v>0.40279999999999999</v>
      </c>
      <c r="R19" s="87">
        <f t="shared" si="2"/>
        <v>6.745914005691378E-2</v>
      </c>
      <c r="S19" s="87">
        <f t="shared" si="3"/>
        <v>6.2827225130889994E-2</v>
      </c>
      <c r="T19" s="87">
        <f t="shared" si="4"/>
        <v>0</v>
      </c>
      <c r="U19" s="88">
        <f t="shared" si="5"/>
        <v>8.1799999999999998E-2</v>
      </c>
      <c r="V19" s="89">
        <f t="shared" si="6"/>
        <v>8.7299999999999989E-2</v>
      </c>
    </row>
    <row r="20" spans="1:22">
      <c r="A20" s="183">
        <v>15</v>
      </c>
      <c r="B20" s="179" t="s">
        <v>47</v>
      </c>
      <c r="C20" s="180" t="s">
        <v>48</v>
      </c>
      <c r="D20" s="166">
        <v>7499891784.8400002</v>
      </c>
      <c r="E20" s="59">
        <f t="shared" si="0"/>
        <v>9.8096188837782886E-2</v>
      </c>
      <c r="F20" s="58">
        <v>48.08</v>
      </c>
      <c r="G20" s="58">
        <v>48.27</v>
      </c>
      <c r="H20" s="60">
        <v>8944</v>
      </c>
      <c r="I20" s="82">
        <v>6.4999999999999997E-3</v>
      </c>
      <c r="J20" s="82">
        <v>0.57920000000000005</v>
      </c>
      <c r="K20" s="166">
        <v>7667620026.4300003</v>
      </c>
      <c r="L20" s="59">
        <f t="shared" si="1"/>
        <v>9.7799557041968244E-2</v>
      </c>
      <c r="M20" s="58">
        <v>48.83</v>
      </c>
      <c r="N20" s="58">
        <v>49.03</v>
      </c>
      <c r="O20" s="60">
        <v>8944</v>
      </c>
      <c r="P20" s="82">
        <v>2.4199999999999999E-2</v>
      </c>
      <c r="Q20" s="82">
        <v>0.60340000000000005</v>
      </c>
      <c r="R20" s="87">
        <f t="shared" si="2"/>
        <v>2.2364088229784824E-2</v>
      </c>
      <c r="S20" s="87">
        <f t="shared" si="3"/>
        <v>1.5744769007665173E-2</v>
      </c>
      <c r="T20" s="87">
        <f t="shared" si="4"/>
        <v>0</v>
      </c>
      <c r="U20" s="88">
        <f t="shared" si="5"/>
        <v>1.77E-2</v>
      </c>
      <c r="V20" s="89">
        <f t="shared" si="6"/>
        <v>2.4199999999999999E-2</v>
      </c>
    </row>
    <row r="21" spans="1:22" ht="12.75" customHeight="1">
      <c r="A21" s="183">
        <v>16</v>
      </c>
      <c r="B21" s="179" t="s">
        <v>49</v>
      </c>
      <c r="C21" s="180" t="s">
        <v>50</v>
      </c>
      <c r="D21" s="58">
        <v>1496845102.8699999</v>
      </c>
      <c r="E21" s="59">
        <f t="shared" si="0"/>
        <v>1.9578255804817399E-2</v>
      </c>
      <c r="F21" s="58">
        <v>12146.96</v>
      </c>
      <c r="G21" s="58">
        <v>12311.6</v>
      </c>
      <c r="H21" s="60">
        <v>30</v>
      </c>
      <c r="I21" s="82">
        <v>-9.5999999999999992E-3</v>
      </c>
      <c r="J21" s="82">
        <v>0.10979999999999999</v>
      </c>
      <c r="K21" s="58">
        <v>1625033298.9200001</v>
      </c>
      <c r="L21" s="59">
        <f t="shared" si="1"/>
        <v>2.0727101273277378E-2</v>
      </c>
      <c r="M21" s="58">
        <v>12423.21</v>
      </c>
      <c r="N21" s="58">
        <v>12582.85</v>
      </c>
      <c r="O21" s="60">
        <v>31</v>
      </c>
      <c r="P21" s="82">
        <v>2.1999999999999999E-2</v>
      </c>
      <c r="Q21" s="82">
        <v>0.55130000000000001</v>
      </c>
      <c r="R21" s="87">
        <f t="shared" si="2"/>
        <v>8.5638918685852328E-2</v>
      </c>
      <c r="S21" s="87">
        <f t="shared" si="3"/>
        <v>2.2032067318626336E-2</v>
      </c>
      <c r="T21" s="87">
        <f t="shared" si="4"/>
        <v>3.3333333333333333E-2</v>
      </c>
      <c r="U21" s="88">
        <f t="shared" si="5"/>
        <v>3.1599999999999996E-2</v>
      </c>
      <c r="V21" s="89">
        <f t="shared" si="6"/>
        <v>0.4415</v>
      </c>
    </row>
    <row r="22" spans="1:22">
      <c r="A22" s="183">
        <v>17</v>
      </c>
      <c r="B22" s="179" t="s">
        <v>51</v>
      </c>
      <c r="C22" s="180" t="s">
        <v>50</v>
      </c>
      <c r="D22" s="58">
        <v>24399163776.099998</v>
      </c>
      <c r="E22" s="59">
        <f t="shared" si="0"/>
        <v>0.31913326830959848</v>
      </c>
      <c r="F22" s="58">
        <v>41073.82</v>
      </c>
      <c r="G22" s="58">
        <v>41629.29</v>
      </c>
      <c r="H22" s="60">
        <v>19775</v>
      </c>
      <c r="I22" s="82">
        <v>-1.3100000000000001E-2</v>
      </c>
      <c r="J22" s="82">
        <v>9.7799999999999998E-2</v>
      </c>
      <c r="K22" s="58">
        <v>24992681568.09</v>
      </c>
      <c r="L22" s="59">
        <f t="shared" si="1"/>
        <v>0.31877860121195983</v>
      </c>
      <c r="M22" s="58">
        <v>42003.040000000001</v>
      </c>
      <c r="N22" s="58">
        <v>42573.51</v>
      </c>
      <c r="O22" s="60">
        <v>19883</v>
      </c>
      <c r="P22" s="82">
        <v>2.2700000000000001E-2</v>
      </c>
      <c r="Q22" s="82">
        <v>0.65649999999999997</v>
      </c>
      <c r="R22" s="87">
        <f t="shared" si="2"/>
        <v>2.4325333336684973E-2</v>
      </c>
      <c r="S22" s="87">
        <f t="shared" si="3"/>
        <v>2.2681626326079573E-2</v>
      </c>
      <c r="T22" s="87">
        <f t="shared" si="4"/>
        <v>5.4614412136536027E-3</v>
      </c>
      <c r="U22" s="88">
        <f t="shared" si="5"/>
        <v>3.5799999999999998E-2</v>
      </c>
      <c r="V22" s="89">
        <f t="shared" si="6"/>
        <v>0.55869999999999997</v>
      </c>
    </row>
    <row r="23" spans="1:22">
      <c r="A23" s="185">
        <v>18</v>
      </c>
      <c r="B23" s="180" t="s">
        <v>52</v>
      </c>
      <c r="C23" s="180" t="s">
        <v>53</v>
      </c>
      <c r="D23" s="58">
        <v>6096433609.5799999</v>
      </c>
      <c r="E23" s="59">
        <f t="shared" si="0"/>
        <v>7.9739404215300194E-2</v>
      </c>
      <c r="F23" s="58">
        <v>1.8704000000000001</v>
      </c>
      <c r="G23" s="66">
        <v>1.8895</v>
      </c>
      <c r="H23" s="60">
        <v>6547</v>
      </c>
      <c r="I23" s="82">
        <v>2.5000000000000001E-3</v>
      </c>
      <c r="J23" s="82">
        <v>0.43909999999999999</v>
      </c>
      <c r="K23" s="58">
        <v>6272996977.4899998</v>
      </c>
      <c r="L23" s="59">
        <f t="shared" si="1"/>
        <v>8.0011310368723096E-2</v>
      </c>
      <c r="M23" s="58">
        <v>1.8875</v>
      </c>
      <c r="N23" s="66">
        <v>1.9069</v>
      </c>
      <c r="O23" s="60">
        <v>6622</v>
      </c>
      <c r="P23" s="82">
        <v>9.1000000000000004E-3</v>
      </c>
      <c r="Q23" s="82">
        <v>0.4506</v>
      </c>
      <c r="R23" s="87">
        <f t="shared" ref="R23:R24" si="12">((K23-D23)/D23)</f>
        <v>2.8961747017558975E-2</v>
      </c>
      <c r="S23" s="87">
        <f t="shared" ref="S23:S24" si="13">((N23-G23)/G23)</f>
        <v>9.2087853929611451E-3</v>
      </c>
      <c r="T23" s="87">
        <f t="shared" ref="T23:T24" si="14">((O23-H23)/H23)</f>
        <v>1.145562853215213E-2</v>
      </c>
      <c r="U23" s="88">
        <f t="shared" ref="U23:U24" si="15">P23-I23</f>
        <v>6.6E-3</v>
      </c>
      <c r="V23" s="89">
        <f t="shared" ref="V23:V24" si="16">Q23-J23</f>
        <v>1.150000000000001E-2</v>
      </c>
    </row>
    <row r="24" spans="1:22">
      <c r="A24" s="185">
        <v>19</v>
      </c>
      <c r="B24" s="179" t="s">
        <v>335</v>
      </c>
      <c r="C24" s="180" t="s">
        <v>126</v>
      </c>
      <c r="D24" s="58">
        <v>0</v>
      </c>
      <c r="E24" s="59">
        <f t="shared" si="0"/>
        <v>0</v>
      </c>
      <c r="F24" s="58">
        <v>0</v>
      </c>
      <c r="G24" s="66">
        <v>0</v>
      </c>
      <c r="H24" s="60">
        <v>0</v>
      </c>
      <c r="I24" s="82">
        <v>0</v>
      </c>
      <c r="J24" s="82">
        <v>0</v>
      </c>
      <c r="K24" s="58">
        <v>67946992.189999998</v>
      </c>
      <c r="L24" s="59">
        <f t="shared" si="1"/>
        <v>8.6665558747177969E-4</v>
      </c>
      <c r="M24" s="58">
        <v>1.02</v>
      </c>
      <c r="N24" s="66">
        <v>1.03</v>
      </c>
      <c r="O24" s="60">
        <v>33</v>
      </c>
      <c r="P24" s="82">
        <v>2.0400000000000001E-2</v>
      </c>
      <c r="Q24" s="82">
        <v>2.07E-2</v>
      </c>
      <c r="R24" s="87" t="e">
        <f t="shared" si="12"/>
        <v>#DIV/0!</v>
      </c>
      <c r="S24" s="87" t="e">
        <f t="shared" si="13"/>
        <v>#DIV/0!</v>
      </c>
      <c r="T24" s="87" t="e">
        <f t="shared" si="14"/>
        <v>#DIV/0!</v>
      </c>
      <c r="U24" s="88">
        <f t="shared" si="15"/>
        <v>2.0400000000000001E-2</v>
      </c>
      <c r="V24" s="89">
        <f t="shared" si="16"/>
        <v>2.07E-2</v>
      </c>
    </row>
    <row r="25" spans="1:22">
      <c r="A25" s="183">
        <v>20</v>
      </c>
      <c r="B25" s="180" t="s">
        <v>54</v>
      </c>
      <c r="C25" s="180" t="s">
        <v>55</v>
      </c>
      <c r="D25" s="58">
        <v>8960196559.1800003</v>
      </c>
      <c r="E25" s="59">
        <f>(D25/$D$26)</f>
        <v>0.11719650881759025</v>
      </c>
      <c r="F25" s="58">
        <v>199.71</v>
      </c>
      <c r="G25" s="66">
        <v>203.13</v>
      </c>
      <c r="H25" s="60">
        <v>77</v>
      </c>
      <c r="I25" s="82">
        <v>8.3999999999999995E-3</v>
      </c>
      <c r="J25" s="82">
        <v>0.64119999999999999</v>
      </c>
      <c r="K25" s="58">
        <v>9446726340.2999992</v>
      </c>
      <c r="L25" s="59">
        <f t="shared" si="1"/>
        <v>0.1204918408050261</v>
      </c>
      <c r="M25" s="58">
        <v>207.25</v>
      </c>
      <c r="N25" s="66">
        <v>210.75</v>
      </c>
      <c r="O25" s="60">
        <v>77</v>
      </c>
      <c r="P25" s="82">
        <v>3.7600000000000001E-2</v>
      </c>
      <c r="Q25" s="82">
        <v>0.70289999999999997</v>
      </c>
      <c r="R25" s="87">
        <f t="shared" si="2"/>
        <v>5.4299007606204132E-2</v>
      </c>
      <c r="S25" s="87">
        <f t="shared" si="3"/>
        <v>3.7512922758824424E-2</v>
      </c>
      <c r="T25" s="87">
        <f t="shared" si="4"/>
        <v>0</v>
      </c>
      <c r="U25" s="88">
        <f t="shared" si="5"/>
        <v>2.9200000000000004E-2</v>
      </c>
      <c r="V25" s="89">
        <f t="shared" si="6"/>
        <v>6.1699999999999977E-2</v>
      </c>
    </row>
    <row r="26" spans="1:22">
      <c r="A26" s="67"/>
      <c r="B26" s="68"/>
      <c r="C26" s="69" t="s">
        <v>56</v>
      </c>
      <c r="D26" s="70">
        <f>SUM(D6:D25)</f>
        <v>76454466515.944092</v>
      </c>
      <c r="E26" s="71">
        <f>(D26/$D$231)</f>
        <v>1.0308641840131808E-2</v>
      </c>
      <c r="F26" s="72"/>
      <c r="G26" s="73"/>
      <c r="H26" s="74">
        <f>SUM(H6:H25)</f>
        <v>61044</v>
      </c>
      <c r="I26" s="84"/>
      <c r="J26" s="60">
        <v>0</v>
      </c>
      <c r="K26" s="70">
        <f>SUM(K6:K25)</f>
        <v>78401377862.474701</v>
      </c>
      <c r="L26" s="71">
        <f>(K26/$K$231)</f>
        <v>1.0490898578310455E-2</v>
      </c>
      <c r="M26" s="72"/>
      <c r="N26" s="73"/>
      <c r="O26" s="74">
        <f>SUM(O6:O25)</f>
        <v>61477</v>
      </c>
      <c r="P26" s="84"/>
      <c r="Q26" s="74"/>
      <c r="R26" s="87">
        <f t="shared" si="2"/>
        <v>2.5464978506188295E-2</v>
      </c>
      <c r="S26" s="87" t="e">
        <f t="shared" si="3"/>
        <v>#DIV/0!</v>
      </c>
      <c r="T26" s="87">
        <f t="shared" si="4"/>
        <v>7.0932442172858918E-3</v>
      </c>
      <c r="U26" s="88">
        <f t="shared" si="5"/>
        <v>0</v>
      </c>
      <c r="V26" s="89">
        <f t="shared" si="6"/>
        <v>0</v>
      </c>
    </row>
    <row r="27" spans="1:22" ht="4.5" customHeight="1">
      <c r="A27" s="67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78">
        <v>21</v>
      </c>
      <c r="B29" s="179" t="s">
        <v>58</v>
      </c>
      <c r="C29" s="180" t="s">
        <v>20</v>
      </c>
      <c r="D29" s="76">
        <v>5525709837.6199999</v>
      </c>
      <c r="E29" s="59">
        <f t="shared" ref="E29:E34" si="17">(D29/$K$72)</f>
        <v>1.2017433166203425E-3</v>
      </c>
      <c r="F29" s="66">
        <v>100</v>
      </c>
      <c r="G29" s="66">
        <v>100</v>
      </c>
      <c r="H29" s="60">
        <v>879</v>
      </c>
      <c r="I29" s="82">
        <v>0.16259999999999999</v>
      </c>
      <c r="J29" s="82">
        <v>0.16259999999999999</v>
      </c>
      <c r="K29" s="76">
        <v>5617936712.5600004</v>
      </c>
      <c r="L29" s="59">
        <f t="shared" ref="L29:L34" si="18">(K29/$K$72)</f>
        <v>1.2218010166858354E-3</v>
      </c>
      <c r="M29" s="66">
        <v>100</v>
      </c>
      <c r="N29" s="66">
        <v>100</v>
      </c>
      <c r="O29" s="60">
        <v>879</v>
      </c>
      <c r="P29" s="82">
        <v>0.14860000000000001</v>
      </c>
      <c r="Q29" s="82">
        <v>0.14860000000000001</v>
      </c>
      <c r="R29" s="87">
        <f>((K29-D29)/D29)</f>
        <v>1.6690502695618184E-2</v>
      </c>
      <c r="S29" s="87">
        <f>((N29-G29)/G29)</f>
        <v>0</v>
      </c>
      <c r="T29" s="87">
        <f>((O29-H29)/H29)</f>
        <v>0</v>
      </c>
      <c r="U29" s="87">
        <f>P29-I29</f>
        <v>-1.3999999999999985E-2</v>
      </c>
      <c r="V29" s="134">
        <f>Q29-J29</f>
        <v>-1.3999999999999985E-2</v>
      </c>
    </row>
    <row r="30" spans="1:22">
      <c r="A30" s="178">
        <v>22</v>
      </c>
      <c r="B30" s="179" t="s">
        <v>59</v>
      </c>
      <c r="C30" s="180" t="s">
        <v>60</v>
      </c>
      <c r="D30" s="76">
        <v>31432911048.98</v>
      </c>
      <c r="E30" s="59">
        <f t="shared" si="17"/>
        <v>6.8360974218840539E-3</v>
      </c>
      <c r="F30" s="66">
        <v>100</v>
      </c>
      <c r="G30" s="66">
        <v>100</v>
      </c>
      <c r="H30" s="60">
        <v>3702</v>
      </c>
      <c r="I30" s="82">
        <v>0.18424299999999999</v>
      </c>
      <c r="J30" s="82">
        <v>0.18424299999999999</v>
      </c>
      <c r="K30" s="76">
        <v>30844847004.889999</v>
      </c>
      <c r="L30" s="59">
        <f t="shared" si="18"/>
        <v>6.7082039827608964E-3</v>
      </c>
      <c r="M30" s="66">
        <v>100</v>
      </c>
      <c r="N30" s="66">
        <v>100</v>
      </c>
      <c r="O30" s="60">
        <v>3774</v>
      </c>
      <c r="P30" s="82">
        <v>0.187803</v>
      </c>
      <c r="Q30" s="82">
        <v>0.187803</v>
      </c>
      <c r="R30" s="87">
        <f t="shared" ref="R30:R72" si="19">((K30-D30)/D30)</f>
        <v>-1.8708545421506E-2</v>
      </c>
      <c r="S30" s="87">
        <f t="shared" ref="S30:S72" si="20">((N30-G30)/G30)</f>
        <v>0</v>
      </c>
      <c r="T30" s="87">
        <f t="shared" ref="T30:T72" si="21">((O30-H30)/H30)</f>
        <v>1.9448946515397084E-2</v>
      </c>
      <c r="U30" s="88">
        <f t="shared" ref="U30:U72" si="22">P30-I30</f>
        <v>3.5600000000000076E-3</v>
      </c>
      <c r="V30" s="89">
        <f t="shared" ref="V30:V72" si="23">Q30-J30</f>
        <v>3.5600000000000076E-3</v>
      </c>
    </row>
    <row r="31" spans="1:22">
      <c r="A31" s="178">
        <v>23</v>
      </c>
      <c r="B31" s="179" t="s">
        <v>61</v>
      </c>
      <c r="C31" s="180" t="s">
        <v>22</v>
      </c>
      <c r="D31" s="76">
        <v>2556482323.4299998</v>
      </c>
      <c r="E31" s="59">
        <f t="shared" si="17"/>
        <v>5.5598930029291977E-4</v>
      </c>
      <c r="F31" s="66">
        <v>100</v>
      </c>
      <c r="G31" s="66">
        <v>100</v>
      </c>
      <c r="H31" s="60">
        <v>2286</v>
      </c>
      <c r="I31" s="82">
        <v>0.1913</v>
      </c>
      <c r="J31" s="82">
        <v>0.1913</v>
      </c>
      <c r="K31" s="76">
        <v>2536101752.2399998</v>
      </c>
      <c r="L31" s="59">
        <f t="shared" si="18"/>
        <v>5.5155688962782478E-4</v>
      </c>
      <c r="M31" s="66">
        <v>100</v>
      </c>
      <c r="N31" s="66">
        <v>100</v>
      </c>
      <c r="O31" s="60">
        <v>2296</v>
      </c>
      <c r="P31" s="82">
        <v>0.1807</v>
      </c>
      <c r="Q31" s="82">
        <v>0.1807</v>
      </c>
      <c r="R31" s="87">
        <f t="shared" si="19"/>
        <v>-7.9721150438684454E-3</v>
      </c>
      <c r="S31" s="87">
        <f t="shared" si="20"/>
        <v>0</v>
      </c>
      <c r="T31" s="87">
        <f t="shared" si="21"/>
        <v>4.3744531933508314E-3</v>
      </c>
      <c r="U31" s="88">
        <f t="shared" si="22"/>
        <v>-1.0599999999999998E-2</v>
      </c>
      <c r="V31" s="89">
        <f t="shared" si="23"/>
        <v>-1.0599999999999998E-2</v>
      </c>
    </row>
    <row r="32" spans="1:22">
      <c r="A32" s="178">
        <v>24</v>
      </c>
      <c r="B32" s="179" t="s">
        <v>62</v>
      </c>
      <c r="C32" s="180" t="s">
        <v>24</v>
      </c>
      <c r="D32" s="76">
        <v>307255413597.04999</v>
      </c>
      <c r="E32" s="59">
        <f t="shared" si="17"/>
        <v>6.6822571332249267E-2</v>
      </c>
      <c r="F32" s="66">
        <v>1</v>
      </c>
      <c r="G32" s="66">
        <v>1</v>
      </c>
      <c r="H32" s="60">
        <v>77261</v>
      </c>
      <c r="I32" s="82">
        <v>0.18060000000000001</v>
      </c>
      <c r="J32" s="82">
        <v>0.18060000000000001</v>
      </c>
      <c r="K32" s="76">
        <v>312284614485.56</v>
      </c>
      <c r="L32" s="59">
        <f t="shared" si="18"/>
        <v>6.791633280965452E-2</v>
      </c>
      <c r="M32" s="66">
        <v>1</v>
      </c>
      <c r="N32" s="66">
        <v>1</v>
      </c>
      <c r="O32" s="60">
        <v>77597</v>
      </c>
      <c r="P32" s="82">
        <v>0.1817</v>
      </c>
      <c r="Q32" s="82">
        <v>0.1817</v>
      </c>
      <c r="R32" s="87">
        <f t="shared" si="19"/>
        <v>1.6368144110572299E-2</v>
      </c>
      <c r="S32" s="87">
        <f t="shared" si="20"/>
        <v>0</v>
      </c>
      <c r="T32" s="87">
        <f t="shared" si="21"/>
        <v>4.34889530293421E-3</v>
      </c>
      <c r="U32" s="88">
        <f t="shared" si="22"/>
        <v>1.0999999999999899E-3</v>
      </c>
      <c r="V32" s="89">
        <f t="shared" si="23"/>
        <v>1.0999999999999899E-3</v>
      </c>
    </row>
    <row r="33" spans="1:22">
      <c r="A33" s="178">
        <v>25</v>
      </c>
      <c r="B33" s="179" t="s">
        <v>63</v>
      </c>
      <c r="C33" s="180" t="s">
        <v>64</v>
      </c>
      <c r="D33" s="76">
        <v>1646466667.0699999</v>
      </c>
      <c r="E33" s="59">
        <f t="shared" si="17"/>
        <v>3.5807712879143264E-4</v>
      </c>
      <c r="F33" s="66">
        <v>1</v>
      </c>
      <c r="G33" s="66">
        <v>1</v>
      </c>
      <c r="H33" s="60">
        <v>300</v>
      </c>
      <c r="I33" s="82">
        <v>0.1641</v>
      </c>
      <c r="J33" s="82">
        <v>0.1641</v>
      </c>
      <c r="K33" s="76">
        <v>1570958257.01</v>
      </c>
      <c r="L33" s="59">
        <f t="shared" si="18"/>
        <v>3.4165539659687411E-4</v>
      </c>
      <c r="M33" s="66">
        <v>1</v>
      </c>
      <c r="N33" s="66">
        <v>1</v>
      </c>
      <c r="O33" s="60">
        <v>300</v>
      </c>
      <c r="P33" s="82">
        <v>0.16639999999999999</v>
      </c>
      <c r="Q33" s="82">
        <v>0.16639999999999999</v>
      </c>
      <c r="R33" s="87">
        <f t="shared" si="19"/>
        <v>-4.5860879889158233E-2</v>
      </c>
      <c r="S33" s="87">
        <f t="shared" si="20"/>
        <v>0</v>
      </c>
      <c r="T33" s="87">
        <f t="shared" si="21"/>
        <v>0</v>
      </c>
      <c r="U33" s="88">
        <f t="shared" si="22"/>
        <v>2.2999999999999965E-3</v>
      </c>
      <c r="V33" s="89">
        <f t="shared" si="23"/>
        <v>2.2999999999999965E-3</v>
      </c>
    </row>
    <row r="34" spans="1:22">
      <c r="A34" s="178">
        <v>26</v>
      </c>
      <c r="B34" s="179" t="s">
        <v>65</v>
      </c>
      <c r="C34" s="180" t="s">
        <v>26</v>
      </c>
      <c r="D34" s="76">
        <v>165193607897.44</v>
      </c>
      <c r="E34" s="59">
        <f t="shared" si="17"/>
        <v>3.5926662831187575E-2</v>
      </c>
      <c r="F34" s="66">
        <v>1</v>
      </c>
      <c r="G34" s="66">
        <v>1</v>
      </c>
      <c r="H34" s="60">
        <v>36992</v>
      </c>
      <c r="I34" s="82">
        <v>0.1638</v>
      </c>
      <c r="J34" s="82">
        <v>0.1638</v>
      </c>
      <c r="K34" s="76">
        <v>162177499629.73999</v>
      </c>
      <c r="L34" s="59">
        <f t="shared" si="18"/>
        <v>3.5270713087276841E-2</v>
      </c>
      <c r="M34" s="66">
        <v>1</v>
      </c>
      <c r="N34" s="66">
        <v>1</v>
      </c>
      <c r="O34" s="60">
        <v>37075</v>
      </c>
      <c r="P34" s="82">
        <v>0.16489999999999999</v>
      </c>
      <c r="Q34" s="82">
        <v>0.16489999999999999</v>
      </c>
      <c r="R34" s="87">
        <f t="shared" si="19"/>
        <v>-1.8258020428808329E-2</v>
      </c>
      <c r="S34" s="87">
        <f t="shared" si="20"/>
        <v>0</v>
      </c>
      <c r="T34" s="87">
        <f t="shared" si="21"/>
        <v>2.2437283737024223E-3</v>
      </c>
      <c r="U34" s="88">
        <f t="shared" si="22"/>
        <v>1.0999999999999899E-3</v>
      </c>
      <c r="V34" s="89">
        <f t="shared" si="23"/>
        <v>1.0999999999999899E-3</v>
      </c>
    </row>
    <row r="35" spans="1:22">
      <c r="A35" s="178">
        <v>27</v>
      </c>
      <c r="B35" s="179" t="s">
        <v>66</v>
      </c>
      <c r="C35" s="180" t="s">
        <v>28</v>
      </c>
      <c r="D35" s="58">
        <v>14799561930</v>
      </c>
      <c r="E35" s="59">
        <f t="shared" ref="E35" si="24">(D35/$D$26)</f>
        <v>0.19357354258581669</v>
      </c>
      <c r="F35" s="58">
        <v>1</v>
      </c>
      <c r="G35" s="58">
        <v>1</v>
      </c>
      <c r="H35" s="60">
        <v>1316</v>
      </c>
      <c r="I35" s="82">
        <v>0.1951</v>
      </c>
      <c r="J35" s="82">
        <v>0.1951</v>
      </c>
      <c r="K35" s="58">
        <v>15615570396.360001</v>
      </c>
      <c r="L35" s="59">
        <f t="shared" ref="L35" si="25">(K35/$K$26)</f>
        <v>0.19917469338040922</v>
      </c>
      <c r="M35" s="58">
        <v>1</v>
      </c>
      <c r="N35" s="58">
        <v>1</v>
      </c>
      <c r="O35" s="60">
        <v>1348</v>
      </c>
      <c r="P35" s="82">
        <v>0.18640000000000001</v>
      </c>
      <c r="Q35" s="82">
        <v>0.18640000000000001</v>
      </c>
      <c r="R35" s="87">
        <f t="shared" si="19"/>
        <v>5.5137339214472315E-2</v>
      </c>
      <c r="S35" s="87">
        <f t="shared" si="20"/>
        <v>0</v>
      </c>
      <c r="T35" s="87">
        <f t="shared" si="21"/>
        <v>2.4316109422492401E-2</v>
      </c>
      <c r="U35" s="88">
        <f t="shared" si="22"/>
        <v>-8.6999999999999855E-3</v>
      </c>
      <c r="V35" s="89">
        <f t="shared" si="23"/>
        <v>-8.6999999999999855E-3</v>
      </c>
    </row>
    <row r="36" spans="1:22" ht="15" customHeight="1">
      <c r="A36" s="178">
        <v>28</v>
      </c>
      <c r="B36" s="179" t="s">
        <v>67</v>
      </c>
      <c r="C36" s="180" t="s">
        <v>48</v>
      </c>
      <c r="D36" s="76">
        <v>36561784202</v>
      </c>
      <c r="E36" s="59">
        <f t="shared" ref="E36:E50" si="26">(D36/$K$72)</f>
        <v>7.9515358387680698E-3</v>
      </c>
      <c r="F36" s="66">
        <v>100</v>
      </c>
      <c r="G36" s="66">
        <v>100</v>
      </c>
      <c r="H36" s="60">
        <v>2083</v>
      </c>
      <c r="I36" s="82">
        <v>0.18260000000000001</v>
      </c>
      <c r="J36" s="82">
        <v>0.18260000000000001</v>
      </c>
      <c r="K36" s="76">
        <v>36541707941.900002</v>
      </c>
      <c r="L36" s="59">
        <f t="shared" ref="L36:L50" si="27">(K36/$K$72)</f>
        <v>7.9471696103364502E-3</v>
      </c>
      <c r="M36" s="66">
        <v>100</v>
      </c>
      <c r="N36" s="66">
        <v>100</v>
      </c>
      <c r="O36" s="60">
        <v>2083</v>
      </c>
      <c r="P36" s="82">
        <v>0.1827</v>
      </c>
      <c r="Q36" s="82">
        <v>0.1827</v>
      </c>
      <c r="R36" s="87">
        <f t="shared" si="19"/>
        <v>-5.4910504337204265E-4</v>
      </c>
      <c r="S36" s="87">
        <f t="shared" si="20"/>
        <v>0</v>
      </c>
      <c r="T36" s="87">
        <f t="shared" si="21"/>
        <v>0</v>
      </c>
      <c r="U36" s="88">
        <f t="shared" si="22"/>
        <v>9.9999999999988987E-5</v>
      </c>
      <c r="V36" s="89">
        <f t="shared" si="23"/>
        <v>9.9999999999988987E-5</v>
      </c>
    </row>
    <row r="37" spans="1:22" ht="15" customHeight="1">
      <c r="A37" s="178">
        <v>29</v>
      </c>
      <c r="B37" s="179" t="s">
        <v>68</v>
      </c>
      <c r="C37" s="180" t="s">
        <v>69</v>
      </c>
      <c r="D37" s="76">
        <v>2232564108.23</v>
      </c>
      <c r="E37" s="59">
        <f t="shared" si="26"/>
        <v>4.8554286685951824E-4</v>
      </c>
      <c r="F37" s="66">
        <v>1</v>
      </c>
      <c r="G37" s="66">
        <v>1</v>
      </c>
      <c r="H37" s="60">
        <v>563</v>
      </c>
      <c r="I37" s="82">
        <v>0.1628</v>
      </c>
      <c r="J37" s="82">
        <v>0.1628</v>
      </c>
      <c r="K37" s="76">
        <v>2067972034.0599999</v>
      </c>
      <c r="L37" s="59">
        <f t="shared" si="27"/>
        <v>4.4974702688329693E-4</v>
      </c>
      <c r="M37" s="66">
        <v>1</v>
      </c>
      <c r="N37" s="66">
        <v>1</v>
      </c>
      <c r="O37" s="60">
        <v>568</v>
      </c>
      <c r="P37" s="82">
        <v>0.16439999999999999</v>
      </c>
      <c r="Q37" s="82">
        <v>0.16439999999999999</v>
      </c>
      <c r="R37" s="87">
        <f t="shared" si="19"/>
        <v>-7.372333612426045E-2</v>
      </c>
      <c r="S37" s="87">
        <f t="shared" si="20"/>
        <v>0</v>
      </c>
      <c r="T37" s="87">
        <f t="shared" si="21"/>
        <v>8.8809946714031966E-3</v>
      </c>
      <c r="U37" s="88">
        <f t="shared" si="22"/>
        <v>1.5999999999999903E-3</v>
      </c>
      <c r="V37" s="89">
        <f t="shared" si="23"/>
        <v>1.5999999999999903E-3</v>
      </c>
    </row>
    <row r="38" spans="1:22">
      <c r="A38" s="178">
        <v>30</v>
      </c>
      <c r="B38" s="179" t="s">
        <v>70</v>
      </c>
      <c r="C38" s="180" t="s">
        <v>71</v>
      </c>
      <c r="D38" s="76">
        <v>77740987537.869995</v>
      </c>
      <c r="E38" s="59">
        <f t="shared" si="26"/>
        <v>1.6907277969076265E-2</v>
      </c>
      <c r="F38" s="66">
        <v>100</v>
      </c>
      <c r="G38" s="66">
        <v>100</v>
      </c>
      <c r="H38" s="60">
        <v>5458</v>
      </c>
      <c r="I38" s="82">
        <v>0.17660000000000001</v>
      </c>
      <c r="J38" s="82">
        <v>0.17660000000000001</v>
      </c>
      <c r="K38" s="76">
        <v>83982605568.919998</v>
      </c>
      <c r="L38" s="59">
        <f t="shared" si="27"/>
        <v>1.8264718546691188E-2</v>
      </c>
      <c r="M38" s="66">
        <v>100</v>
      </c>
      <c r="N38" s="66">
        <v>100</v>
      </c>
      <c r="O38" s="60">
        <v>5478</v>
      </c>
      <c r="P38" s="82">
        <v>0.177353682116657</v>
      </c>
      <c r="Q38" s="82">
        <v>0.177353682116657</v>
      </c>
      <c r="R38" s="87">
        <f t="shared" si="19"/>
        <v>8.0287351997034018E-2</v>
      </c>
      <c r="S38" s="87">
        <f t="shared" si="20"/>
        <v>0</v>
      </c>
      <c r="T38" s="87">
        <f t="shared" si="21"/>
        <v>3.6643459142543058E-3</v>
      </c>
      <c r="U38" s="88">
        <f t="shared" si="22"/>
        <v>7.5368211665699514E-4</v>
      </c>
      <c r="V38" s="89">
        <f t="shared" si="23"/>
        <v>7.5368211665699514E-4</v>
      </c>
    </row>
    <row r="39" spans="1:22">
      <c r="A39" s="178">
        <v>31</v>
      </c>
      <c r="B39" s="179" t="s">
        <v>72</v>
      </c>
      <c r="C39" s="180" t="s">
        <v>73</v>
      </c>
      <c r="D39" s="76">
        <v>32954210348.459999</v>
      </c>
      <c r="E39" s="59">
        <f t="shared" si="26"/>
        <v>7.1669528810836157E-3</v>
      </c>
      <c r="F39" s="66">
        <v>100</v>
      </c>
      <c r="G39" s="66">
        <v>100</v>
      </c>
      <c r="H39" s="60">
        <v>5460</v>
      </c>
      <c r="I39" s="82">
        <v>0.17580000000000001</v>
      </c>
      <c r="J39" s="82">
        <v>0.17580000000000001</v>
      </c>
      <c r="K39" s="76">
        <v>33769393535.639999</v>
      </c>
      <c r="L39" s="59">
        <f t="shared" si="27"/>
        <v>7.3442406822535698E-3</v>
      </c>
      <c r="M39" s="66">
        <v>100</v>
      </c>
      <c r="N39" s="66">
        <v>100</v>
      </c>
      <c r="O39" s="60">
        <v>5495</v>
      </c>
      <c r="P39" s="82">
        <v>0.17349999999999999</v>
      </c>
      <c r="Q39" s="82">
        <v>0.17349999999999999</v>
      </c>
      <c r="R39" s="87">
        <f t="shared" si="19"/>
        <v>2.4736844808605621E-2</v>
      </c>
      <c r="S39" s="87">
        <f t="shared" si="20"/>
        <v>0</v>
      </c>
      <c r="T39" s="87">
        <f t="shared" si="21"/>
        <v>6.41025641025641E-3</v>
      </c>
      <c r="U39" s="88">
        <f t="shared" si="22"/>
        <v>-2.3000000000000242E-3</v>
      </c>
      <c r="V39" s="89">
        <f t="shared" si="23"/>
        <v>-2.3000000000000242E-3</v>
      </c>
    </row>
    <row r="40" spans="1:22">
      <c r="A40" s="178">
        <v>32</v>
      </c>
      <c r="B40" s="179" t="s">
        <v>74</v>
      </c>
      <c r="C40" s="180" t="s">
        <v>75</v>
      </c>
      <c r="D40" s="76">
        <v>62115550804.75</v>
      </c>
      <c r="E40" s="59">
        <f t="shared" si="26"/>
        <v>1.3509024221574243E-2</v>
      </c>
      <c r="F40" s="66">
        <v>1</v>
      </c>
      <c r="G40" s="66">
        <v>1</v>
      </c>
      <c r="H40" s="60">
        <v>13277</v>
      </c>
      <c r="I40" s="82">
        <v>0.17480000000000001</v>
      </c>
      <c r="J40" s="82">
        <v>0.17480000000000001</v>
      </c>
      <c r="K40" s="76">
        <v>61974065847.690002</v>
      </c>
      <c r="L40" s="59">
        <f t="shared" si="27"/>
        <v>1.3478253767361902E-2</v>
      </c>
      <c r="M40" s="66">
        <v>1</v>
      </c>
      <c r="N40" s="66">
        <v>1</v>
      </c>
      <c r="O40" s="60">
        <v>13534</v>
      </c>
      <c r="P40" s="82">
        <v>0.1739</v>
      </c>
      <c r="Q40" s="82">
        <v>0.1739</v>
      </c>
      <c r="R40" s="87">
        <f t="shared" si="19"/>
        <v>-2.277770304327369E-3</v>
      </c>
      <c r="S40" s="87">
        <f t="shared" si="20"/>
        <v>0</v>
      </c>
      <c r="T40" s="87">
        <f t="shared" si="21"/>
        <v>1.9356782405663929E-2</v>
      </c>
      <c r="U40" s="88">
        <f t="shared" si="22"/>
        <v>-9.000000000000119E-4</v>
      </c>
      <c r="V40" s="89">
        <f t="shared" si="23"/>
        <v>-9.000000000000119E-4</v>
      </c>
    </row>
    <row r="41" spans="1:22">
      <c r="A41" s="178">
        <v>33</v>
      </c>
      <c r="B41" s="179" t="s">
        <v>76</v>
      </c>
      <c r="C41" s="180" t="s">
        <v>77</v>
      </c>
      <c r="D41" s="76">
        <v>1015685266.96</v>
      </c>
      <c r="E41" s="59">
        <v>0</v>
      </c>
      <c r="F41" s="66">
        <v>1000</v>
      </c>
      <c r="G41" s="66">
        <v>1000</v>
      </c>
      <c r="H41" s="60">
        <v>55</v>
      </c>
      <c r="I41" s="82">
        <v>0.19020000000000001</v>
      </c>
      <c r="J41" s="82">
        <v>0.19020000000000001</v>
      </c>
      <c r="K41" s="76">
        <v>1072529976.5700001</v>
      </c>
      <c r="L41" s="59">
        <f t="shared" si="27"/>
        <v>2.3325613705643287E-4</v>
      </c>
      <c r="M41" s="66">
        <v>1000</v>
      </c>
      <c r="N41" s="66">
        <v>1000</v>
      </c>
      <c r="O41" s="60">
        <v>56</v>
      </c>
      <c r="P41" s="82">
        <v>0.19309999999999999</v>
      </c>
      <c r="Q41" s="82">
        <v>0.19309999999999999</v>
      </c>
      <c r="R41" s="87">
        <f t="shared" si="19"/>
        <v>5.5966854555387267E-2</v>
      </c>
      <c r="S41" s="87">
        <f t="shared" si="20"/>
        <v>0</v>
      </c>
      <c r="T41" s="87">
        <f t="shared" si="21"/>
        <v>1.8181818181818181E-2</v>
      </c>
      <c r="U41" s="88">
        <f t="shared" si="22"/>
        <v>2.8999999999999859E-3</v>
      </c>
      <c r="V41" s="89">
        <f t="shared" si="23"/>
        <v>2.8999999999999859E-3</v>
      </c>
    </row>
    <row r="42" spans="1:22">
      <c r="A42" s="178">
        <v>34</v>
      </c>
      <c r="B42" s="179" t="s">
        <v>78</v>
      </c>
      <c r="C42" s="180" t="s">
        <v>79</v>
      </c>
      <c r="D42" s="76">
        <v>81008163470.399994</v>
      </c>
      <c r="E42" s="59">
        <f t="shared" si="26"/>
        <v>1.7617830451294888E-2</v>
      </c>
      <c r="F42" s="77">
        <v>100</v>
      </c>
      <c r="G42" s="77">
        <v>100</v>
      </c>
      <c r="H42" s="60">
        <v>4301</v>
      </c>
      <c r="I42" s="82">
        <v>0.19570000000000001</v>
      </c>
      <c r="J42" s="82">
        <v>0.19570000000000001</v>
      </c>
      <c r="K42" s="76">
        <v>82262784819.679993</v>
      </c>
      <c r="L42" s="59">
        <f t="shared" si="27"/>
        <v>1.7890688213590245E-2</v>
      </c>
      <c r="M42" s="77">
        <v>100</v>
      </c>
      <c r="N42" s="77">
        <v>100</v>
      </c>
      <c r="O42" s="60">
        <v>4546</v>
      </c>
      <c r="P42" s="82">
        <v>0.19550000000000001</v>
      </c>
      <c r="Q42" s="82">
        <v>0.19550000000000001</v>
      </c>
      <c r="R42" s="87">
        <f t="shared" si="19"/>
        <v>1.5487591565243071E-2</v>
      </c>
      <c r="S42" s="87">
        <f t="shared" si="20"/>
        <v>0</v>
      </c>
      <c r="T42" s="87">
        <f t="shared" si="21"/>
        <v>5.6963496861195069E-2</v>
      </c>
      <c r="U42" s="88">
        <f t="shared" si="22"/>
        <v>-2.0000000000000573E-4</v>
      </c>
      <c r="V42" s="89">
        <f t="shared" si="23"/>
        <v>-2.0000000000000573E-4</v>
      </c>
    </row>
    <row r="43" spans="1:22">
      <c r="A43" s="178">
        <v>35</v>
      </c>
      <c r="B43" s="179" t="s">
        <v>80</v>
      </c>
      <c r="C43" s="180" t="s">
        <v>79</v>
      </c>
      <c r="D43" s="76">
        <v>11016554343</v>
      </c>
      <c r="E43" s="59">
        <f t="shared" si="26"/>
        <v>2.3959040454406689E-3</v>
      </c>
      <c r="F43" s="77">
        <v>1000000</v>
      </c>
      <c r="G43" s="77">
        <v>1000000</v>
      </c>
      <c r="H43" s="60">
        <v>45</v>
      </c>
      <c r="I43" s="82">
        <v>0.20039999999999999</v>
      </c>
      <c r="J43" s="82">
        <v>0.20039999999999999</v>
      </c>
      <c r="K43" s="76">
        <v>11483011182.209999</v>
      </c>
      <c r="L43" s="59">
        <f t="shared" si="27"/>
        <v>2.4973500868516866E-3</v>
      </c>
      <c r="M43" s="77">
        <v>1000000</v>
      </c>
      <c r="N43" s="77">
        <v>1000000</v>
      </c>
      <c r="O43" s="60">
        <v>45</v>
      </c>
      <c r="P43" s="82">
        <v>0.1988</v>
      </c>
      <c r="Q43" s="82">
        <v>0.1988</v>
      </c>
      <c r="R43" s="87">
        <f t="shared" si="19"/>
        <v>4.2341445853838068E-2</v>
      </c>
      <c r="S43" s="87">
        <f t="shared" si="20"/>
        <v>0</v>
      </c>
      <c r="T43" s="87">
        <f t="shared" si="21"/>
        <v>0</v>
      </c>
      <c r="U43" s="88">
        <f t="shared" si="22"/>
        <v>-1.5999999999999903E-3</v>
      </c>
      <c r="V43" s="89">
        <f t="shared" si="23"/>
        <v>-1.5999999999999903E-3</v>
      </c>
    </row>
    <row r="44" spans="1:22">
      <c r="A44" s="178">
        <v>36</v>
      </c>
      <c r="B44" s="179" t="s">
        <v>81</v>
      </c>
      <c r="C44" s="180" t="s">
        <v>82</v>
      </c>
      <c r="D44" s="76">
        <v>7228877412.6000004</v>
      </c>
      <c r="E44" s="59">
        <f t="shared" si="26"/>
        <v>1.5721518813954817E-3</v>
      </c>
      <c r="F44" s="66">
        <v>1</v>
      </c>
      <c r="G44" s="66">
        <v>1</v>
      </c>
      <c r="H44" s="60">
        <v>1091</v>
      </c>
      <c r="I44" s="82">
        <v>0.1993</v>
      </c>
      <c r="J44" s="82">
        <v>0.1993</v>
      </c>
      <c r="K44" s="76">
        <v>6887628795.8400002</v>
      </c>
      <c r="L44" s="59">
        <f t="shared" si="27"/>
        <v>1.4979363947795758E-3</v>
      </c>
      <c r="M44" s="66">
        <v>1</v>
      </c>
      <c r="N44" s="66">
        <v>1</v>
      </c>
      <c r="O44" s="60">
        <v>1098</v>
      </c>
      <c r="P44" s="82">
        <v>0.1981</v>
      </c>
      <c r="Q44" s="82">
        <v>0.1981</v>
      </c>
      <c r="R44" s="87">
        <f t="shared" si="19"/>
        <v>-4.7206308432509968E-2</v>
      </c>
      <c r="S44" s="87">
        <f t="shared" si="20"/>
        <v>0</v>
      </c>
      <c r="T44" s="87">
        <f t="shared" si="21"/>
        <v>6.416131989000917E-3</v>
      </c>
      <c r="U44" s="88">
        <f t="shared" si="22"/>
        <v>-1.2000000000000066E-3</v>
      </c>
      <c r="V44" s="89">
        <f t="shared" si="23"/>
        <v>-1.2000000000000066E-3</v>
      </c>
    </row>
    <row r="45" spans="1:22">
      <c r="A45" s="178">
        <v>37</v>
      </c>
      <c r="B45" s="179" t="s">
        <v>83</v>
      </c>
      <c r="C45" s="180" t="s">
        <v>84</v>
      </c>
      <c r="D45" s="76">
        <v>680590327286.59998</v>
      </c>
      <c r="E45" s="59">
        <f t="shared" si="26"/>
        <v>0.14801625514332142</v>
      </c>
      <c r="F45" s="66">
        <v>100</v>
      </c>
      <c r="G45" s="66">
        <v>100</v>
      </c>
      <c r="H45" s="60">
        <v>33188</v>
      </c>
      <c r="I45" s="82">
        <v>0.17050000000000001</v>
      </c>
      <c r="J45" s="82">
        <v>0.17050000000000001</v>
      </c>
      <c r="K45" s="76">
        <v>677948476853.25</v>
      </c>
      <c r="L45" s="59">
        <f t="shared" si="27"/>
        <v>0.14744169980200145</v>
      </c>
      <c r="M45" s="66">
        <v>100</v>
      </c>
      <c r="N45" s="66">
        <v>100</v>
      </c>
      <c r="O45" s="60">
        <v>33183</v>
      </c>
      <c r="P45" s="82">
        <v>0.1694</v>
      </c>
      <c r="Q45" s="82">
        <v>0.1694</v>
      </c>
      <c r="R45" s="87">
        <f t="shared" si="19"/>
        <v>-3.8817043490503196E-3</v>
      </c>
      <c r="S45" s="87">
        <f t="shared" si="20"/>
        <v>0</v>
      </c>
      <c r="T45" s="87">
        <f t="shared" si="21"/>
        <v>-1.5065686392672049E-4</v>
      </c>
      <c r="U45" s="88">
        <f t="shared" si="22"/>
        <v>-1.1000000000000176E-3</v>
      </c>
      <c r="V45" s="89">
        <f t="shared" si="23"/>
        <v>-1.1000000000000176E-3</v>
      </c>
    </row>
    <row r="46" spans="1:22">
      <c r="A46" s="178">
        <v>38</v>
      </c>
      <c r="B46" s="179" t="s">
        <v>85</v>
      </c>
      <c r="C46" s="180" t="s">
        <v>86</v>
      </c>
      <c r="D46" s="76">
        <v>3466056713.5999999</v>
      </c>
      <c r="E46" s="59">
        <f t="shared" si="26"/>
        <v>7.5380550426982357E-4</v>
      </c>
      <c r="F46" s="66">
        <v>1</v>
      </c>
      <c r="G46" s="66">
        <v>1</v>
      </c>
      <c r="H46" s="78">
        <v>1750</v>
      </c>
      <c r="I46" s="85">
        <v>0.19589999999999999</v>
      </c>
      <c r="J46" s="85">
        <v>0.19589999999999999</v>
      </c>
      <c r="K46" s="76">
        <v>3814840601.9499998</v>
      </c>
      <c r="L46" s="59">
        <f t="shared" si="27"/>
        <v>8.2965977803494784E-4</v>
      </c>
      <c r="M46" s="66">
        <v>1</v>
      </c>
      <c r="N46" s="66">
        <v>1</v>
      </c>
      <c r="O46" s="78">
        <v>1768</v>
      </c>
      <c r="P46" s="85">
        <v>0.193</v>
      </c>
      <c r="Q46" s="85">
        <v>0.193</v>
      </c>
      <c r="R46" s="87">
        <f t="shared" si="19"/>
        <v>0.10062844239722134</v>
      </c>
      <c r="S46" s="87">
        <f t="shared" si="20"/>
        <v>0</v>
      </c>
      <c r="T46" s="87">
        <f t="shared" si="21"/>
        <v>1.0285714285714285E-2</v>
      </c>
      <c r="U46" s="88">
        <f t="shared" si="22"/>
        <v>-2.8999999999999859E-3</v>
      </c>
      <c r="V46" s="89">
        <f t="shared" si="23"/>
        <v>-2.8999999999999859E-3</v>
      </c>
    </row>
    <row r="47" spans="1:22">
      <c r="A47" s="178">
        <v>39</v>
      </c>
      <c r="B47" s="179" t="s">
        <v>87</v>
      </c>
      <c r="C47" s="180" t="s">
        <v>88</v>
      </c>
      <c r="D47" s="76">
        <v>3120143215</v>
      </c>
      <c r="E47" s="59">
        <f t="shared" si="26"/>
        <v>6.7857548907048078E-4</v>
      </c>
      <c r="F47" s="66">
        <v>1</v>
      </c>
      <c r="G47" s="66">
        <v>1</v>
      </c>
      <c r="H47" s="78">
        <v>470</v>
      </c>
      <c r="I47" s="85">
        <v>0.17499999999999999</v>
      </c>
      <c r="J47" s="85">
        <v>0.17499999999999999</v>
      </c>
      <c r="K47" s="76">
        <v>3138442774</v>
      </c>
      <c r="L47" s="59">
        <f t="shared" si="27"/>
        <v>6.8255531670739875E-4</v>
      </c>
      <c r="M47" s="66">
        <v>1</v>
      </c>
      <c r="N47" s="66">
        <v>1</v>
      </c>
      <c r="O47" s="78">
        <v>476</v>
      </c>
      <c r="P47" s="85">
        <v>0.1663</v>
      </c>
      <c r="Q47" s="85">
        <v>0.1663</v>
      </c>
      <c r="R47" s="87">
        <f t="shared" si="19"/>
        <v>5.8649740537631062E-3</v>
      </c>
      <c r="S47" s="87">
        <f t="shared" si="20"/>
        <v>0</v>
      </c>
      <c r="T47" s="87">
        <f t="shared" si="21"/>
        <v>1.276595744680851E-2</v>
      </c>
      <c r="U47" s="88">
        <f t="shared" si="22"/>
        <v>-8.6999999999999855E-3</v>
      </c>
      <c r="V47" s="89">
        <f t="shared" si="23"/>
        <v>-8.6999999999999855E-3</v>
      </c>
    </row>
    <row r="48" spans="1:22">
      <c r="A48" s="178">
        <v>40</v>
      </c>
      <c r="B48" s="179" t="s">
        <v>89</v>
      </c>
      <c r="C48" s="180" t="s">
        <v>90</v>
      </c>
      <c r="D48" s="76">
        <v>8198844</v>
      </c>
      <c r="E48" s="59">
        <f t="shared" si="26"/>
        <v>1.7831023109343322E-6</v>
      </c>
      <c r="F48" s="66">
        <v>1</v>
      </c>
      <c r="G48" s="66">
        <v>1</v>
      </c>
      <c r="H48" s="78">
        <v>21</v>
      </c>
      <c r="I48" s="85">
        <v>2E-3</v>
      </c>
      <c r="J48" s="85">
        <v>2E-3</v>
      </c>
      <c r="K48" s="76">
        <v>8551464.0500000007</v>
      </c>
      <c r="L48" s="59">
        <f t="shared" si="27"/>
        <v>1.8597908814250969E-6</v>
      </c>
      <c r="M48" s="66">
        <v>1</v>
      </c>
      <c r="N48" s="66">
        <v>1</v>
      </c>
      <c r="O48" s="78">
        <v>21</v>
      </c>
      <c r="P48" s="85">
        <v>2.0000000000000001E-4</v>
      </c>
      <c r="Q48" s="85">
        <v>2.0000000000000001E-4</v>
      </c>
      <c r="R48" s="87">
        <f t="shared" si="19"/>
        <v>4.3008508272629746E-2</v>
      </c>
      <c r="S48" s="87">
        <f t="shared" si="20"/>
        <v>0</v>
      </c>
      <c r="T48" s="87">
        <f t="shared" si="21"/>
        <v>0</v>
      </c>
      <c r="U48" s="88">
        <f t="shared" si="22"/>
        <v>-1.8E-3</v>
      </c>
      <c r="V48" s="89">
        <f t="shared" si="23"/>
        <v>-1.8E-3</v>
      </c>
    </row>
    <row r="49" spans="1:22">
      <c r="A49" s="178">
        <v>41</v>
      </c>
      <c r="B49" s="179" t="s">
        <v>91</v>
      </c>
      <c r="C49" s="180" t="s">
        <v>92</v>
      </c>
      <c r="D49" s="76">
        <v>1738741591.3399999</v>
      </c>
      <c r="E49" s="59">
        <f t="shared" si="26"/>
        <v>3.7814527872904915E-4</v>
      </c>
      <c r="F49" s="66">
        <v>10</v>
      </c>
      <c r="G49" s="66">
        <v>10</v>
      </c>
      <c r="H49" s="60">
        <v>512</v>
      </c>
      <c r="I49" s="82">
        <v>0.17330000000000001</v>
      </c>
      <c r="J49" s="82">
        <v>0.17330000000000001</v>
      </c>
      <c r="K49" s="76">
        <v>1744710074.1800001</v>
      </c>
      <c r="L49" s="59">
        <f t="shared" si="27"/>
        <v>3.7944331727506568E-4</v>
      </c>
      <c r="M49" s="66">
        <v>10</v>
      </c>
      <c r="N49" s="66">
        <v>10</v>
      </c>
      <c r="O49" s="60">
        <v>513</v>
      </c>
      <c r="P49" s="82">
        <v>0.17249999999999999</v>
      </c>
      <c r="Q49" s="82">
        <v>0.17249999999999999</v>
      </c>
      <c r="R49" s="87">
        <f t="shared" si="19"/>
        <v>3.4326451208890729E-3</v>
      </c>
      <c r="S49" s="87">
        <f t="shared" si="20"/>
        <v>0</v>
      </c>
      <c r="T49" s="87">
        <f t="shared" si="21"/>
        <v>1.953125E-3</v>
      </c>
      <c r="U49" s="88">
        <f t="shared" si="22"/>
        <v>-8.0000000000002292E-4</v>
      </c>
      <c r="V49" s="89">
        <f t="shared" si="23"/>
        <v>-8.0000000000002292E-4</v>
      </c>
    </row>
    <row r="50" spans="1:22">
      <c r="A50" s="178">
        <v>42</v>
      </c>
      <c r="B50" s="179" t="s">
        <v>93</v>
      </c>
      <c r="C50" s="180" t="s">
        <v>94</v>
      </c>
      <c r="D50" s="76">
        <v>9673083102.9200001</v>
      </c>
      <c r="E50" s="59">
        <f t="shared" si="26"/>
        <v>2.1037230168882946E-3</v>
      </c>
      <c r="F50" s="66">
        <v>100</v>
      </c>
      <c r="G50" s="66">
        <v>100</v>
      </c>
      <c r="H50" s="60">
        <v>997</v>
      </c>
      <c r="I50" s="82">
        <v>0.15229999999999999</v>
      </c>
      <c r="J50" s="82">
        <v>0.15229999999999999</v>
      </c>
      <c r="K50" s="76">
        <v>9525242263.7800007</v>
      </c>
      <c r="L50" s="59">
        <f t="shared" si="27"/>
        <v>2.0715702717060466E-3</v>
      </c>
      <c r="M50" s="66">
        <v>100</v>
      </c>
      <c r="N50" s="66">
        <v>100</v>
      </c>
      <c r="O50" s="60">
        <v>998</v>
      </c>
      <c r="P50" s="82">
        <v>0.17949999999999999</v>
      </c>
      <c r="Q50" s="82">
        <v>0.17949999999999999</v>
      </c>
      <c r="R50" s="87">
        <f t="shared" si="19"/>
        <v>-1.5283735037422648E-2</v>
      </c>
      <c r="S50" s="87">
        <f t="shared" si="20"/>
        <v>0</v>
      </c>
      <c r="T50" s="87">
        <f t="shared" si="21"/>
        <v>1.0030090270812437E-3</v>
      </c>
      <c r="U50" s="88">
        <f t="shared" si="22"/>
        <v>2.7200000000000002E-2</v>
      </c>
      <c r="V50" s="89">
        <f t="shared" si="23"/>
        <v>2.7200000000000002E-2</v>
      </c>
    </row>
    <row r="51" spans="1:22">
      <c r="A51" s="178">
        <v>43</v>
      </c>
      <c r="B51" s="179" t="s">
        <v>95</v>
      </c>
      <c r="C51" s="179" t="s">
        <v>96</v>
      </c>
      <c r="D51" s="79">
        <v>128413995.912726</v>
      </c>
      <c r="E51" s="59">
        <f>(D51/$D$197)</f>
        <v>1.5982278329009936E-3</v>
      </c>
      <c r="F51" s="58">
        <v>1</v>
      </c>
      <c r="G51" s="58">
        <v>1</v>
      </c>
      <c r="H51" s="60">
        <v>160</v>
      </c>
      <c r="I51" s="82">
        <v>0.16819999999999999</v>
      </c>
      <c r="J51" s="82">
        <v>0.16819999999999999</v>
      </c>
      <c r="K51" s="79">
        <v>118073307.73999999</v>
      </c>
      <c r="L51" s="86">
        <f>(K51/$K$197)</f>
        <v>1.4386422697455956E-3</v>
      </c>
      <c r="M51" s="58">
        <v>1</v>
      </c>
      <c r="N51" s="58">
        <v>1</v>
      </c>
      <c r="O51" s="60">
        <v>118</v>
      </c>
      <c r="P51" s="82">
        <v>0.16739999999999999</v>
      </c>
      <c r="Q51" s="82">
        <v>0.16739999999999999</v>
      </c>
      <c r="R51" s="88">
        <f t="shared" si="19"/>
        <v>-8.0526177066819471E-2</v>
      </c>
      <c r="S51" s="88">
        <f t="shared" si="20"/>
        <v>0</v>
      </c>
      <c r="T51" s="88">
        <f t="shared" si="21"/>
        <v>-0.26250000000000001</v>
      </c>
      <c r="U51" s="88">
        <f t="shared" si="22"/>
        <v>-7.9999999999999516E-4</v>
      </c>
      <c r="V51" s="89">
        <f t="shared" si="23"/>
        <v>-7.9999999999999516E-4</v>
      </c>
    </row>
    <row r="52" spans="1:22">
      <c r="A52" s="178">
        <v>44</v>
      </c>
      <c r="B52" s="179" t="s">
        <v>97</v>
      </c>
      <c r="C52" s="180" t="s">
        <v>38</v>
      </c>
      <c r="D52" s="76">
        <v>832257444.95000005</v>
      </c>
      <c r="E52" s="59">
        <f t="shared" ref="E52" si="28">(D52/$K$72)</f>
        <v>1.8100114764747907E-4</v>
      </c>
      <c r="F52" s="66">
        <v>100</v>
      </c>
      <c r="G52" s="66">
        <v>100</v>
      </c>
      <c r="H52" s="60">
        <v>4646</v>
      </c>
      <c r="I52" s="82">
        <v>0.1477</v>
      </c>
      <c r="J52" s="82">
        <v>0.1477</v>
      </c>
      <c r="K52" s="76">
        <v>894064208.94000006</v>
      </c>
      <c r="L52" s="59">
        <f t="shared" ref="L52" si="29">(K52/$K$72)</f>
        <v>1.9444301624528895E-4</v>
      </c>
      <c r="M52" s="66">
        <v>100</v>
      </c>
      <c r="N52" s="66">
        <v>100</v>
      </c>
      <c r="O52" s="60">
        <v>4761</v>
      </c>
      <c r="P52" s="82">
        <v>0.13350000000000001</v>
      </c>
      <c r="Q52" s="82">
        <v>0.13350000000000001</v>
      </c>
      <c r="R52" s="87">
        <f t="shared" ref="R52" si="30">((K52-D52)/D52)</f>
        <v>7.4263996513378394E-2</v>
      </c>
      <c r="S52" s="87">
        <f t="shared" ref="S52" si="31">((N52-G52)/G52)</f>
        <v>0</v>
      </c>
      <c r="T52" s="87">
        <f t="shared" ref="T52" si="32">((O52-H52)/H52)</f>
        <v>2.4752475247524754E-2</v>
      </c>
      <c r="U52" s="88">
        <f t="shared" ref="U52" si="33">P52-I52</f>
        <v>-1.419999999999999E-2</v>
      </c>
      <c r="V52" s="89">
        <f t="shared" ref="V52" si="34">Q52-J52</f>
        <v>-1.419999999999999E-2</v>
      </c>
    </row>
    <row r="53" spans="1:22">
      <c r="A53" s="178">
        <v>45</v>
      </c>
      <c r="B53" s="179" t="s">
        <v>98</v>
      </c>
      <c r="C53" s="180" t="s">
        <v>38</v>
      </c>
      <c r="D53" s="76">
        <v>230882407100.92001</v>
      </c>
      <c r="E53" s="59">
        <f t="shared" ref="E53:E71" si="35">(D53/$K$72)</f>
        <v>5.0212804836356414E-2</v>
      </c>
      <c r="F53" s="66">
        <v>100</v>
      </c>
      <c r="G53" s="66">
        <v>100</v>
      </c>
      <c r="H53" s="60">
        <v>22778</v>
      </c>
      <c r="I53" s="82">
        <v>0.18310000000000001</v>
      </c>
      <c r="J53" s="82">
        <v>0.18310000000000001</v>
      </c>
      <c r="K53" s="76">
        <v>237563117252.26001</v>
      </c>
      <c r="L53" s="59">
        <f t="shared" ref="L53:L71" si="36">(K53/$K$72)</f>
        <v>5.1665740117176104E-2</v>
      </c>
      <c r="M53" s="66">
        <v>100</v>
      </c>
      <c r="N53" s="66">
        <v>100</v>
      </c>
      <c r="O53" s="60">
        <v>23149</v>
      </c>
      <c r="P53" s="82">
        <v>0.18129999999999999</v>
      </c>
      <c r="Q53" s="82">
        <v>0.18129999999999999</v>
      </c>
      <c r="R53" s="87">
        <f t="shared" si="19"/>
        <v>2.8935553103532137E-2</v>
      </c>
      <c r="S53" s="87">
        <f t="shared" si="20"/>
        <v>0</v>
      </c>
      <c r="T53" s="87">
        <f t="shared" si="21"/>
        <v>1.6287645974185617E-2</v>
      </c>
      <c r="U53" s="88">
        <f t="shared" si="22"/>
        <v>-1.8000000000000238E-3</v>
      </c>
      <c r="V53" s="89">
        <f t="shared" si="23"/>
        <v>-1.8000000000000238E-3</v>
      </c>
    </row>
    <row r="54" spans="1:22">
      <c r="A54" s="178">
        <v>46</v>
      </c>
      <c r="B54" s="179" t="s">
        <v>99</v>
      </c>
      <c r="C54" s="180" t="s">
        <v>42</v>
      </c>
      <c r="D54" s="76">
        <v>42620818050.779999</v>
      </c>
      <c r="E54" s="59">
        <f t="shared" si="35"/>
        <v>9.2692676138559933E-3</v>
      </c>
      <c r="F54" s="66">
        <v>1</v>
      </c>
      <c r="G54" s="66">
        <v>1</v>
      </c>
      <c r="H54" s="60">
        <v>2769</v>
      </c>
      <c r="I54" s="82">
        <v>0.18890000000000001</v>
      </c>
      <c r="J54" s="82">
        <v>0.18890000000000001</v>
      </c>
      <c r="K54" s="76">
        <v>43488141582</v>
      </c>
      <c r="L54" s="59">
        <f t="shared" si="36"/>
        <v>9.4578950097237643E-3</v>
      </c>
      <c r="M54" s="66">
        <v>1</v>
      </c>
      <c r="N54" s="66">
        <v>1</v>
      </c>
      <c r="O54" s="60">
        <v>2790</v>
      </c>
      <c r="P54" s="82">
        <v>0.1714</v>
      </c>
      <c r="Q54" s="82">
        <v>0.1714</v>
      </c>
      <c r="R54" s="87">
        <f t="shared" si="19"/>
        <v>2.0349762648540444E-2</v>
      </c>
      <c r="S54" s="87">
        <f t="shared" si="20"/>
        <v>0</v>
      </c>
      <c r="T54" s="87">
        <f t="shared" si="21"/>
        <v>7.5839653304442039E-3</v>
      </c>
      <c r="U54" s="88">
        <f t="shared" si="22"/>
        <v>-1.7500000000000016E-2</v>
      </c>
      <c r="V54" s="89">
        <f t="shared" si="23"/>
        <v>-1.7500000000000016E-2</v>
      </c>
    </row>
    <row r="55" spans="1:22">
      <c r="A55" s="178">
        <v>47</v>
      </c>
      <c r="B55" s="179" t="s">
        <v>100</v>
      </c>
      <c r="C55" s="180" t="s">
        <v>101</v>
      </c>
      <c r="D55" s="76">
        <v>4918572537.9989996</v>
      </c>
      <c r="E55" s="59">
        <f t="shared" si="35"/>
        <v>1.069701784666736E-3</v>
      </c>
      <c r="F55" s="66">
        <v>100</v>
      </c>
      <c r="G55" s="66">
        <v>100</v>
      </c>
      <c r="H55" s="60">
        <v>577</v>
      </c>
      <c r="I55" s="82">
        <v>0.17319999999999999</v>
      </c>
      <c r="J55" s="82">
        <v>0.17319999999999999</v>
      </c>
      <c r="K55" s="76">
        <v>4898131833.8179998</v>
      </c>
      <c r="L55" s="59">
        <f t="shared" si="36"/>
        <v>1.06525629614881E-3</v>
      </c>
      <c r="M55" s="66">
        <v>100</v>
      </c>
      <c r="N55" s="66">
        <v>100</v>
      </c>
      <c r="O55" s="60">
        <v>816</v>
      </c>
      <c r="P55" s="82">
        <v>0.1741</v>
      </c>
      <c r="Q55" s="82">
        <v>0.1741</v>
      </c>
      <c r="R55" s="87">
        <f t="shared" si="19"/>
        <v>-4.1558204180344475E-3</v>
      </c>
      <c r="S55" s="87">
        <f t="shared" si="20"/>
        <v>0</v>
      </c>
      <c r="T55" s="87">
        <f t="shared" si="21"/>
        <v>0.41421143847487002</v>
      </c>
      <c r="U55" s="88">
        <f t="shared" si="22"/>
        <v>9.000000000000119E-4</v>
      </c>
      <c r="V55" s="89">
        <f t="shared" si="23"/>
        <v>9.000000000000119E-4</v>
      </c>
    </row>
    <row r="56" spans="1:22">
      <c r="A56" s="178">
        <v>48</v>
      </c>
      <c r="B56" s="179" t="s">
        <v>102</v>
      </c>
      <c r="C56" s="180" t="s">
        <v>44</v>
      </c>
      <c r="D56" s="80">
        <v>87725365401.800003</v>
      </c>
      <c r="E56" s="59">
        <f t="shared" si="35"/>
        <v>1.9078702043301265E-2</v>
      </c>
      <c r="F56" s="66">
        <v>10</v>
      </c>
      <c r="G56" s="66">
        <v>10</v>
      </c>
      <c r="H56" s="60">
        <v>7606</v>
      </c>
      <c r="I56" s="82">
        <v>0.2029</v>
      </c>
      <c r="J56" s="82">
        <v>0.2029</v>
      </c>
      <c r="K56" s="80">
        <v>88733685137.070007</v>
      </c>
      <c r="L56" s="59">
        <f t="shared" si="36"/>
        <v>1.9297993598320563E-2</v>
      </c>
      <c r="M56" s="66">
        <v>10</v>
      </c>
      <c r="N56" s="66">
        <v>10</v>
      </c>
      <c r="O56" s="60">
        <v>7860</v>
      </c>
      <c r="P56" s="82">
        <v>0.1888</v>
      </c>
      <c r="Q56" s="82">
        <v>0.1888</v>
      </c>
      <c r="R56" s="87">
        <f t="shared" si="19"/>
        <v>1.1494049989438003E-2</v>
      </c>
      <c r="S56" s="87">
        <f t="shared" si="20"/>
        <v>0</v>
      </c>
      <c r="T56" s="87">
        <f t="shared" si="21"/>
        <v>3.3394688403891662E-2</v>
      </c>
      <c r="U56" s="88">
        <f t="shared" si="22"/>
        <v>-1.4100000000000001E-2</v>
      </c>
      <c r="V56" s="89">
        <f t="shared" si="23"/>
        <v>-1.4100000000000001E-2</v>
      </c>
    </row>
    <row r="57" spans="1:22">
      <c r="A57" s="178">
        <v>49</v>
      </c>
      <c r="B57" s="179" t="s">
        <v>103</v>
      </c>
      <c r="C57" s="180" t="s">
        <v>104</v>
      </c>
      <c r="D57" s="76">
        <v>31611674089</v>
      </c>
      <c r="E57" s="59">
        <f t="shared" si="35"/>
        <v>6.8749751941369853E-3</v>
      </c>
      <c r="F57" s="66">
        <v>100</v>
      </c>
      <c r="G57" s="66">
        <v>100</v>
      </c>
      <c r="H57" s="60">
        <v>5265</v>
      </c>
      <c r="I57" s="82">
        <v>0.188</v>
      </c>
      <c r="J57" s="82">
        <v>0.188</v>
      </c>
      <c r="K57" s="76">
        <v>32019477516</v>
      </c>
      <c r="L57" s="59">
        <f t="shared" si="36"/>
        <v>6.9636651647097441E-3</v>
      </c>
      <c r="M57" s="66">
        <v>100</v>
      </c>
      <c r="N57" s="66">
        <v>100</v>
      </c>
      <c r="O57" s="60">
        <v>5309</v>
      </c>
      <c r="P57" s="82">
        <v>0.18740000000000001</v>
      </c>
      <c r="Q57" s="82">
        <v>0.18740000000000001</v>
      </c>
      <c r="R57" s="87">
        <f t="shared" si="19"/>
        <v>1.2900405902321525E-2</v>
      </c>
      <c r="S57" s="87">
        <f t="shared" si="20"/>
        <v>0</v>
      </c>
      <c r="T57" s="87">
        <f t="shared" si="21"/>
        <v>8.3570750237416912E-3</v>
      </c>
      <c r="U57" s="88">
        <f t="shared" si="22"/>
        <v>-5.9999999999998943E-4</v>
      </c>
      <c r="V57" s="89">
        <f t="shared" si="23"/>
        <v>-5.9999999999998943E-4</v>
      </c>
    </row>
    <row r="58" spans="1:22">
      <c r="A58" s="178">
        <v>50</v>
      </c>
      <c r="B58" s="179" t="s">
        <v>105</v>
      </c>
      <c r="C58" s="180" t="s">
        <v>106</v>
      </c>
      <c r="D58" s="76">
        <v>177941839.87</v>
      </c>
      <c r="E58" s="59">
        <f t="shared" si="35"/>
        <v>3.869917586968406E-5</v>
      </c>
      <c r="F58" s="66">
        <v>1</v>
      </c>
      <c r="G58" s="66">
        <v>1</v>
      </c>
      <c r="H58" s="60">
        <v>94</v>
      </c>
      <c r="I58" s="82">
        <v>0.18509999999999999</v>
      </c>
      <c r="J58" s="82">
        <v>0.18509999999999999</v>
      </c>
      <c r="K58" s="76">
        <v>177517988.33000001</v>
      </c>
      <c r="L58" s="59">
        <f t="shared" si="36"/>
        <v>3.8606995720815868E-5</v>
      </c>
      <c r="M58" s="66">
        <v>1</v>
      </c>
      <c r="N58" s="66">
        <v>1</v>
      </c>
      <c r="O58" s="60">
        <v>94</v>
      </c>
      <c r="P58" s="82">
        <v>0.1575</v>
      </c>
      <c r="Q58" s="82">
        <v>0.1575</v>
      </c>
      <c r="R58" s="87">
        <f t="shared" si="19"/>
        <v>-2.3819667162576679E-3</v>
      </c>
      <c r="S58" s="87">
        <f t="shared" si="20"/>
        <v>0</v>
      </c>
      <c r="T58" s="87">
        <f t="shared" si="21"/>
        <v>0</v>
      </c>
      <c r="U58" s="88">
        <f t="shared" si="22"/>
        <v>-2.7599999999999986E-2</v>
      </c>
      <c r="V58" s="89">
        <f t="shared" si="23"/>
        <v>-2.7599999999999986E-2</v>
      </c>
    </row>
    <row r="59" spans="1:22">
      <c r="A59" s="178">
        <v>51</v>
      </c>
      <c r="B59" s="179" t="s">
        <v>107</v>
      </c>
      <c r="C59" s="180" t="s">
        <v>46</v>
      </c>
      <c r="D59" s="80">
        <v>2322624221.3499999</v>
      </c>
      <c r="E59" s="59">
        <f t="shared" si="35"/>
        <v>5.0512933488199539E-4</v>
      </c>
      <c r="F59" s="66">
        <v>10</v>
      </c>
      <c r="G59" s="66">
        <v>10</v>
      </c>
      <c r="H59" s="60">
        <v>918</v>
      </c>
      <c r="I59" s="82">
        <v>0.17419999999999999</v>
      </c>
      <c r="J59" s="82">
        <v>0.17419999999999999</v>
      </c>
      <c r="K59" s="80">
        <v>2439565263.1399999</v>
      </c>
      <c r="L59" s="59">
        <f t="shared" si="36"/>
        <v>5.3056192536167978E-4</v>
      </c>
      <c r="M59" s="66">
        <v>10</v>
      </c>
      <c r="N59" s="66">
        <v>10</v>
      </c>
      <c r="O59" s="60">
        <v>920</v>
      </c>
      <c r="P59" s="82">
        <v>0.16500000000000001</v>
      </c>
      <c r="Q59" s="82">
        <v>0.16500000000000001</v>
      </c>
      <c r="R59" s="87">
        <f t="shared" si="19"/>
        <v>5.0348670574885013E-2</v>
      </c>
      <c r="S59" s="87">
        <f t="shared" si="20"/>
        <v>0</v>
      </c>
      <c r="T59" s="87">
        <f t="shared" si="21"/>
        <v>2.1786492374727671E-3</v>
      </c>
      <c r="U59" s="88">
        <f t="shared" si="22"/>
        <v>-9.199999999999986E-3</v>
      </c>
      <c r="V59" s="89">
        <f t="shared" si="23"/>
        <v>-9.199999999999986E-3</v>
      </c>
    </row>
    <row r="60" spans="1:22">
      <c r="A60" s="178">
        <v>52</v>
      </c>
      <c r="B60" s="179" t="s">
        <v>108</v>
      </c>
      <c r="C60" s="180" t="s">
        <v>109</v>
      </c>
      <c r="D60" s="80">
        <v>1079521472</v>
      </c>
      <c r="E60" s="59">
        <f t="shared" si="35"/>
        <v>2.3477666259126678E-4</v>
      </c>
      <c r="F60" s="66">
        <v>1</v>
      </c>
      <c r="G60" s="66">
        <v>1</v>
      </c>
      <c r="H60" s="60">
        <v>163</v>
      </c>
      <c r="I60" s="82">
        <v>0.22539999999999999</v>
      </c>
      <c r="J60" s="82">
        <v>0.22539999999999999</v>
      </c>
      <c r="K60" s="80">
        <v>1088626954</v>
      </c>
      <c r="L60" s="59">
        <f t="shared" si="36"/>
        <v>2.3675694249369826E-4</v>
      </c>
      <c r="M60" s="66">
        <v>1</v>
      </c>
      <c r="N60" s="66">
        <v>1</v>
      </c>
      <c r="O60" s="60">
        <v>166</v>
      </c>
      <c r="P60" s="82">
        <v>0.22720000000000001</v>
      </c>
      <c r="Q60" s="82">
        <v>0.22720000000000001</v>
      </c>
      <c r="R60" s="87">
        <f t="shared" si="19"/>
        <v>8.4347391285608444E-3</v>
      </c>
      <c r="S60" s="87">
        <f t="shared" si="20"/>
        <v>0</v>
      </c>
      <c r="T60" s="87">
        <f t="shared" si="21"/>
        <v>1.8404907975460124E-2</v>
      </c>
      <c r="U60" s="88">
        <f t="shared" si="22"/>
        <v>1.8000000000000238E-3</v>
      </c>
      <c r="V60" s="89">
        <f t="shared" si="23"/>
        <v>1.8000000000000238E-3</v>
      </c>
    </row>
    <row r="61" spans="1:22">
      <c r="A61" s="178">
        <v>53</v>
      </c>
      <c r="B61" s="179" t="s">
        <v>110</v>
      </c>
      <c r="C61" s="180" t="s">
        <v>111</v>
      </c>
      <c r="D61" s="80">
        <v>1889497653.5999999</v>
      </c>
      <c r="E61" s="59">
        <f t="shared" si="35"/>
        <v>4.1093203293527216E-4</v>
      </c>
      <c r="F61" s="66">
        <v>1</v>
      </c>
      <c r="G61" s="66">
        <v>1</v>
      </c>
      <c r="H61" s="60">
        <v>1652</v>
      </c>
      <c r="I61" s="82">
        <v>0.17280000000000001</v>
      </c>
      <c r="J61" s="82">
        <v>0.17280000000000001</v>
      </c>
      <c r="K61" s="80">
        <v>1909875977.78</v>
      </c>
      <c r="L61" s="59">
        <f t="shared" si="36"/>
        <v>4.1536395491577658E-4</v>
      </c>
      <c r="M61" s="66">
        <v>1</v>
      </c>
      <c r="N61" s="66">
        <v>1</v>
      </c>
      <c r="O61" s="60">
        <v>1709</v>
      </c>
      <c r="P61" s="82">
        <v>0.17100000000000001</v>
      </c>
      <c r="Q61" s="82">
        <v>0.17100000000000001</v>
      </c>
      <c r="R61" s="87">
        <f t="shared" si="19"/>
        <v>1.0785048682740564E-2</v>
      </c>
      <c r="S61" s="87">
        <f t="shared" si="20"/>
        <v>0</v>
      </c>
      <c r="T61" s="87">
        <f t="shared" si="21"/>
        <v>3.4503631961259079E-2</v>
      </c>
      <c r="U61" s="88">
        <f t="shared" si="22"/>
        <v>-1.799999999999996E-3</v>
      </c>
      <c r="V61" s="89">
        <f t="shared" si="23"/>
        <v>-1.799999999999996E-3</v>
      </c>
    </row>
    <row r="62" spans="1:22">
      <c r="A62" s="178">
        <v>54</v>
      </c>
      <c r="B62" s="179" t="s">
        <v>112</v>
      </c>
      <c r="C62" s="180" t="s">
        <v>113</v>
      </c>
      <c r="D62" s="80">
        <v>16548252155.3381</v>
      </c>
      <c r="E62" s="59">
        <f t="shared" si="35"/>
        <v>3.5989496397427993E-3</v>
      </c>
      <c r="F62" s="66">
        <v>100</v>
      </c>
      <c r="G62" s="66">
        <v>100</v>
      </c>
      <c r="H62" s="60">
        <v>153</v>
      </c>
      <c r="I62" s="82">
        <v>0.17180000000000001</v>
      </c>
      <c r="J62" s="82">
        <v>0.17180000000000001</v>
      </c>
      <c r="K62" s="80">
        <v>16523311742.7946</v>
      </c>
      <c r="L62" s="59">
        <f t="shared" si="36"/>
        <v>3.5935255449262653E-3</v>
      </c>
      <c r="M62" s="66">
        <v>100</v>
      </c>
      <c r="N62" s="66">
        <v>100</v>
      </c>
      <c r="O62" s="60">
        <v>151</v>
      </c>
      <c r="P62" s="82">
        <v>0.1668</v>
      </c>
      <c r="Q62" s="82">
        <v>0.1668</v>
      </c>
      <c r="R62" s="87">
        <f t="shared" si="19"/>
        <v>-1.5071327357950412E-3</v>
      </c>
      <c r="S62" s="87">
        <f t="shared" si="20"/>
        <v>0</v>
      </c>
      <c r="T62" s="87">
        <f t="shared" si="21"/>
        <v>-1.3071895424836602E-2</v>
      </c>
      <c r="U62" s="88">
        <f t="shared" si="22"/>
        <v>-5.0000000000000044E-3</v>
      </c>
      <c r="V62" s="89">
        <f t="shared" si="23"/>
        <v>-5.0000000000000044E-3</v>
      </c>
    </row>
    <row r="63" spans="1:22">
      <c r="A63" s="178">
        <v>55</v>
      </c>
      <c r="B63" s="179" t="s">
        <v>114</v>
      </c>
      <c r="C63" s="180" t="s">
        <v>77</v>
      </c>
      <c r="D63" s="80">
        <v>70619131.900000006</v>
      </c>
      <c r="E63" s="59">
        <f t="shared" si="35"/>
        <v>1.535840141452459E-5</v>
      </c>
      <c r="F63" s="66">
        <v>1000</v>
      </c>
      <c r="G63" s="66">
        <v>1000</v>
      </c>
      <c r="H63" s="60">
        <v>23</v>
      </c>
      <c r="I63" s="82">
        <v>0.24340000000000001</v>
      </c>
      <c r="J63" s="82">
        <v>0.24340000000000001</v>
      </c>
      <c r="K63" s="80">
        <v>70892657.640000001</v>
      </c>
      <c r="L63" s="59">
        <f t="shared" si="36"/>
        <v>1.5417888383552664E-5</v>
      </c>
      <c r="M63" s="66">
        <v>1000</v>
      </c>
      <c r="N63" s="66">
        <v>1000</v>
      </c>
      <c r="O63" s="60">
        <v>23</v>
      </c>
      <c r="P63" s="82">
        <v>0.24329999999999999</v>
      </c>
      <c r="Q63" s="82">
        <v>0.24329999999999999</v>
      </c>
      <c r="R63" s="87">
        <f t="shared" si="19"/>
        <v>3.8732526532232071E-3</v>
      </c>
      <c r="S63" s="87">
        <f t="shared" si="20"/>
        <v>0</v>
      </c>
      <c r="T63" s="87">
        <f t="shared" si="21"/>
        <v>0</v>
      </c>
      <c r="U63" s="88">
        <f t="shared" si="22"/>
        <v>-1.0000000000001674E-4</v>
      </c>
      <c r="V63" s="89">
        <f t="shared" si="23"/>
        <v>-1.0000000000001674E-4</v>
      </c>
    </row>
    <row r="64" spans="1:22">
      <c r="A64" s="178">
        <v>56</v>
      </c>
      <c r="B64" s="179" t="s">
        <v>115</v>
      </c>
      <c r="C64" s="180" t="s">
        <v>50</v>
      </c>
      <c r="D64" s="76">
        <v>2231681546271.0898</v>
      </c>
      <c r="E64" s="59">
        <f t="shared" si="35"/>
        <v>0.48535092537746594</v>
      </c>
      <c r="F64" s="66">
        <v>100</v>
      </c>
      <c r="G64" s="66">
        <v>100</v>
      </c>
      <c r="H64" s="60">
        <v>253781</v>
      </c>
      <c r="I64" s="82">
        <v>0.17019999999999999</v>
      </c>
      <c r="J64" s="82">
        <v>0.17019999999999999</v>
      </c>
      <c r="K64" s="76">
        <v>2253046807482.6099</v>
      </c>
      <c r="L64" s="59">
        <f t="shared" si="36"/>
        <v>0.48999748855636982</v>
      </c>
      <c r="M64" s="66">
        <v>100</v>
      </c>
      <c r="N64" s="66">
        <v>100</v>
      </c>
      <c r="O64" s="60">
        <v>256752</v>
      </c>
      <c r="P64" s="82">
        <v>0.16300000000000001</v>
      </c>
      <c r="Q64" s="82">
        <v>0.16300000000000001</v>
      </c>
      <c r="R64" s="87">
        <f t="shared" si="19"/>
        <v>9.5736155757613229E-3</v>
      </c>
      <c r="S64" s="87">
        <f t="shared" si="20"/>
        <v>0</v>
      </c>
      <c r="T64" s="87">
        <f t="shared" si="21"/>
        <v>1.1706944176277972E-2</v>
      </c>
      <c r="U64" s="88">
        <f t="shared" si="22"/>
        <v>-7.1999999999999842E-3</v>
      </c>
      <c r="V64" s="89">
        <f t="shared" si="23"/>
        <v>-7.1999999999999842E-3</v>
      </c>
    </row>
    <row r="65" spans="1:22">
      <c r="A65" s="178">
        <v>57</v>
      </c>
      <c r="B65" s="179" t="s">
        <v>116</v>
      </c>
      <c r="C65" s="179" t="s">
        <v>117</v>
      </c>
      <c r="D65" s="76">
        <v>6979019754.0699997</v>
      </c>
      <c r="E65" s="59">
        <f t="shared" si="35"/>
        <v>1.5178122978725503E-3</v>
      </c>
      <c r="F65" s="66">
        <v>100</v>
      </c>
      <c r="G65" s="66">
        <v>100</v>
      </c>
      <c r="H65" s="60">
        <v>935</v>
      </c>
      <c r="I65" s="82">
        <v>0.20319999999999999</v>
      </c>
      <c r="J65" s="82">
        <v>0.20319999999999999</v>
      </c>
      <c r="K65" s="76">
        <v>6932058107.6400003</v>
      </c>
      <c r="L65" s="59">
        <f t="shared" si="36"/>
        <v>1.5075989775221921E-3</v>
      </c>
      <c r="M65" s="66">
        <v>100</v>
      </c>
      <c r="N65" s="66">
        <v>100</v>
      </c>
      <c r="O65" s="60">
        <v>949</v>
      </c>
      <c r="P65" s="82">
        <v>0.2409</v>
      </c>
      <c r="Q65" s="82">
        <v>0.2409</v>
      </c>
      <c r="R65" s="87">
        <f t="shared" si="19"/>
        <v>-6.7289745673255082E-3</v>
      </c>
      <c r="S65" s="87">
        <f t="shared" si="20"/>
        <v>0</v>
      </c>
      <c r="T65" s="87">
        <f t="shared" si="21"/>
        <v>1.4973262032085561E-2</v>
      </c>
      <c r="U65" s="88">
        <f t="shared" si="22"/>
        <v>3.7700000000000011E-2</v>
      </c>
      <c r="V65" s="89">
        <f t="shared" si="23"/>
        <v>3.7700000000000011E-2</v>
      </c>
    </row>
    <row r="66" spans="1:22">
      <c r="A66" s="178">
        <v>58</v>
      </c>
      <c r="B66" s="181" t="s">
        <v>118</v>
      </c>
      <c r="C66" s="180" t="s">
        <v>119</v>
      </c>
      <c r="D66" s="76">
        <v>9429667378.3600006</v>
      </c>
      <c r="E66" s="59">
        <f t="shared" si="35"/>
        <v>2.0507844390862669E-3</v>
      </c>
      <c r="F66" s="66">
        <v>1</v>
      </c>
      <c r="G66" s="66">
        <v>1</v>
      </c>
      <c r="H66" s="60">
        <v>605</v>
      </c>
      <c r="I66" s="82">
        <v>0.19916600000000001</v>
      </c>
      <c r="J66" s="82">
        <v>0.19916600000000001</v>
      </c>
      <c r="K66" s="76">
        <v>10766653567.440001</v>
      </c>
      <c r="L66" s="59">
        <f t="shared" si="36"/>
        <v>2.3415550847328769E-3</v>
      </c>
      <c r="M66" s="66">
        <v>1</v>
      </c>
      <c r="N66" s="66">
        <v>1</v>
      </c>
      <c r="O66" s="60">
        <v>612</v>
      </c>
      <c r="P66" s="82">
        <v>0.19092700000000001</v>
      </c>
      <c r="Q66" s="82">
        <v>0.19092700000000001</v>
      </c>
      <c r="R66" s="87">
        <f t="shared" si="19"/>
        <v>0.14178508482157379</v>
      </c>
      <c r="S66" s="87">
        <f t="shared" si="20"/>
        <v>0</v>
      </c>
      <c r="T66" s="87">
        <f t="shared" si="21"/>
        <v>1.1570247933884297E-2</v>
      </c>
      <c r="U66" s="88">
        <f t="shared" si="22"/>
        <v>-8.2389999999999963E-3</v>
      </c>
      <c r="V66" s="89">
        <f t="shared" si="23"/>
        <v>-8.2389999999999963E-3</v>
      </c>
    </row>
    <row r="67" spans="1:22">
      <c r="A67" s="178">
        <v>59</v>
      </c>
      <c r="B67" s="179" t="s">
        <v>120</v>
      </c>
      <c r="C67" s="180" t="s">
        <v>53</v>
      </c>
      <c r="D67" s="76">
        <v>203263199094.72</v>
      </c>
      <c r="E67" s="59">
        <f t="shared" si="35"/>
        <v>4.4206119793680734E-2</v>
      </c>
      <c r="F67" s="66">
        <v>1</v>
      </c>
      <c r="G67" s="66">
        <v>1</v>
      </c>
      <c r="H67" s="60">
        <v>75813</v>
      </c>
      <c r="I67" s="82">
        <v>0.16159999999999999</v>
      </c>
      <c r="J67" s="82">
        <v>0.16159999999999999</v>
      </c>
      <c r="K67" s="76">
        <v>207980634344.81</v>
      </c>
      <c r="L67" s="59">
        <f t="shared" si="36"/>
        <v>4.5232077806312582E-2</v>
      </c>
      <c r="M67" s="66">
        <v>1</v>
      </c>
      <c r="N67" s="66">
        <v>1</v>
      </c>
      <c r="O67" s="60">
        <v>76567</v>
      </c>
      <c r="P67" s="82">
        <v>0.158</v>
      </c>
      <c r="Q67" s="82">
        <v>0.158</v>
      </c>
      <c r="R67" s="87">
        <f t="shared" si="19"/>
        <v>2.3208506365639196E-2</v>
      </c>
      <c r="S67" s="87">
        <f t="shared" si="20"/>
        <v>0</v>
      </c>
      <c r="T67" s="87">
        <f t="shared" si="21"/>
        <v>9.9455238547478658E-3</v>
      </c>
      <c r="U67" s="88">
        <f t="shared" si="22"/>
        <v>-3.5999999999999921E-3</v>
      </c>
      <c r="V67" s="89">
        <f t="shared" si="23"/>
        <v>-3.5999999999999921E-3</v>
      </c>
    </row>
    <row r="68" spans="1:22">
      <c r="A68" s="178">
        <v>60</v>
      </c>
      <c r="B68" s="179" t="s">
        <v>121</v>
      </c>
      <c r="C68" s="180" t="s">
        <v>122</v>
      </c>
      <c r="D68" s="76">
        <v>2432385264.4200001</v>
      </c>
      <c r="E68" s="59">
        <f t="shared" si="35"/>
        <v>5.2900040372397858E-4</v>
      </c>
      <c r="F68" s="66">
        <v>1</v>
      </c>
      <c r="G68" s="66">
        <v>1</v>
      </c>
      <c r="H68" s="60">
        <v>153</v>
      </c>
      <c r="I68" s="82">
        <v>0.16500000000000001</v>
      </c>
      <c r="J68" s="82">
        <v>0.16500000000000001</v>
      </c>
      <c r="K68" s="76">
        <v>2505796991.0500002</v>
      </c>
      <c r="L68" s="59">
        <f t="shared" si="36"/>
        <v>5.449661446752191E-4</v>
      </c>
      <c r="M68" s="66">
        <v>1</v>
      </c>
      <c r="N68" s="66">
        <v>1</v>
      </c>
      <c r="O68" s="60">
        <v>153</v>
      </c>
      <c r="P68" s="82">
        <v>0.16120000000000001</v>
      </c>
      <c r="Q68" s="82">
        <v>0.16120000000000001</v>
      </c>
      <c r="R68" s="87">
        <f t="shared" si="19"/>
        <v>3.0180961751347015E-2</v>
      </c>
      <c r="S68" s="87">
        <f t="shared" si="20"/>
        <v>0</v>
      </c>
      <c r="T68" s="87">
        <f t="shared" si="21"/>
        <v>0</v>
      </c>
      <c r="U68" s="88">
        <f t="shared" si="22"/>
        <v>-3.7999999999999978E-3</v>
      </c>
      <c r="V68" s="89">
        <f t="shared" si="23"/>
        <v>-3.7999999999999978E-3</v>
      </c>
    </row>
    <row r="69" spans="1:22">
      <c r="A69" s="178">
        <v>61</v>
      </c>
      <c r="B69" s="179" t="s">
        <v>123</v>
      </c>
      <c r="C69" s="180" t="s">
        <v>124</v>
      </c>
      <c r="D69" s="76">
        <v>8050232853.5200005</v>
      </c>
      <c r="E69" s="59">
        <f t="shared" si="35"/>
        <v>1.7507820376471363E-3</v>
      </c>
      <c r="F69" s="66">
        <v>1</v>
      </c>
      <c r="G69" s="66">
        <v>1</v>
      </c>
      <c r="H69" s="60">
        <v>548</v>
      </c>
      <c r="I69" s="82">
        <v>0.1741</v>
      </c>
      <c r="J69" s="82">
        <v>0.1741</v>
      </c>
      <c r="K69" s="76">
        <v>8299063981.5799999</v>
      </c>
      <c r="L69" s="59">
        <f t="shared" si="36"/>
        <v>1.8048983691051055E-3</v>
      </c>
      <c r="M69" s="66">
        <v>1</v>
      </c>
      <c r="N69" s="66">
        <v>1</v>
      </c>
      <c r="O69" s="60">
        <v>561</v>
      </c>
      <c r="P69" s="82">
        <v>0.1721</v>
      </c>
      <c r="Q69" s="82">
        <v>0.1721</v>
      </c>
      <c r="R69" s="87">
        <f t="shared" si="19"/>
        <v>3.0909805043862419E-2</v>
      </c>
      <c r="S69" s="87">
        <f t="shared" si="20"/>
        <v>0</v>
      </c>
      <c r="T69" s="87">
        <f t="shared" si="21"/>
        <v>2.3722627737226276E-2</v>
      </c>
      <c r="U69" s="88">
        <f t="shared" si="22"/>
        <v>-2.0000000000000018E-3</v>
      </c>
      <c r="V69" s="89">
        <f t="shared" si="23"/>
        <v>-2.0000000000000018E-3</v>
      </c>
    </row>
    <row r="70" spans="1:22">
      <c r="A70" s="178">
        <v>62</v>
      </c>
      <c r="B70" s="179" t="s">
        <v>125</v>
      </c>
      <c r="C70" s="180" t="s">
        <v>126</v>
      </c>
      <c r="D70" s="76">
        <v>8724884758.2999992</v>
      </c>
      <c r="E70" s="59">
        <f t="shared" si="35"/>
        <v>1.8975067918307095E-3</v>
      </c>
      <c r="F70" s="66">
        <v>1</v>
      </c>
      <c r="G70" s="66">
        <v>1</v>
      </c>
      <c r="H70" s="60">
        <v>5150</v>
      </c>
      <c r="I70" s="82">
        <v>0.1983</v>
      </c>
      <c r="J70" s="82">
        <v>0.1983</v>
      </c>
      <c r="K70" s="76">
        <v>9213257470.6000004</v>
      </c>
      <c r="L70" s="59">
        <f t="shared" si="36"/>
        <v>2.0037191446818431E-3</v>
      </c>
      <c r="M70" s="66">
        <v>1</v>
      </c>
      <c r="N70" s="66">
        <v>1</v>
      </c>
      <c r="O70" s="60">
        <v>5215</v>
      </c>
      <c r="P70" s="82">
        <v>0.2001</v>
      </c>
      <c r="Q70" s="82">
        <v>0.2001</v>
      </c>
      <c r="R70" s="87">
        <f t="shared" si="19"/>
        <v>5.5974689159694779E-2</v>
      </c>
      <c r="S70" s="87">
        <f t="shared" si="20"/>
        <v>0</v>
      </c>
      <c r="T70" s="87">
        <f t="shared" si="21"/>
        <v>1.262135922330097E-2</v>
      </c>
      <c r="U70" s="88">
        <f t="shared" si="22"/>
        <v>1.799999999999996E-3</v>
      </c>
      <c r="V70" s="89">
        <f t="shared" si="23"/>
        <v>1.799999999999996E-3</v>
      </c>
    </row>
    <row r="71" spans="1:22">
      <c r="A71" s="178">
        <v>63</v>
      </c>
      <c r="B71" s="179" t="s">
        <v>127</v>
      </c>
      <c r="C71" s="180" t="s">
        <v>128</v>
      </c>
      <c r="D71" s="76">
        <v>122080110419.13</v>
      </c>
      <c r="E71" s="59">
        <f t="shared" si="35"/>
        <v>2.6550246230745356E-2</v>
      </c>
      <c r="F71" s="66">
        <v>1</v>
      </c>
      <c r="G71" s="66">
        <v>1</v>
      </c>
      <c r="H71" s="60">
        <v>6836</v>
      </c>
      <c r="I71" s="82">
        <v>0.18060000000000001</v>
      </c>
      <c r="J71" s="82">
        <v>0.18060000000000001</v>
      </c>
      <c r="K71" s="76">
        <v>122540030777.02</v>
      </c>
      <c r="L71" s="59">
        <f t="shared" si="36"/>
        <v>2.6650270704073473E-2</v>
      </c>
      <c r="M71" s="66">
        <v>1</v>
      </c>
      <c r="N71" s="66">
        <v>1</v>
      </c>
      <c r="O71" s="60">
        <v>6876</v>
      </c>
      <c r="P71" s="82">
        <v>0.1802</v>
      </c>
      <c r="Q71" s="82">
        <v>0.1802</v>
      </c>
      <c r="R71" s="87">
        <f t="shared" si="19"/>
        <v>3.7673651859503041E-3</v>
      </c>
      <c r="S71" s="87">
        <f t="shared" si="20"/>
        <v>0</v>
      </c>
      <c r="T71" s="87">
        <f t="shared" si="21"/>
        <v>5.8513750731421883E-3</v>
      </c>
      <c r="U71" s="88">
        <f t="shared" si="22"/>
        <v>-4.0000000000001146E-4</v>
      </c>
      <c r="V71" s="89">
        <f t="shared" si="23"/>
        <v>-4.0000000000001146E-4</v>
      </c>
    </row>
    <row r="72" spans="1:22">
      <c r="A72" s="67"/>
      <c r="B72" s="68"/>
      <c r="C72" s="69" t="s">
        <v>56</v>
      </c>
      <c r="D72" s="91">
        <f>SUM(D29:D71)</f>
        <v>4552330092438.3486</v>
      </c>
      <c r="E72" s="71">
        <f>(D72/$D$231)</f>
        <v>0.61380770280065267</v>
      </c>
      <c r="F72" s="72"/>
      <c r="G72" s="77"/>
      <c r="H72" s="74">
        <f>SUM(H29:H71)</f>
        <v>582632</v>
      </c>
      <c r="I72" s="95"/>
      <c r="J72" s="95"/>
      <c r="K72" s="91">
        <f>SUM(K29:K71)</f>
        <v>4598078276116.3418</v>
      </c>
      <c r="L72" s="71">
        <f>(K72/$K$231)</f>
        <v>0.61526945271911215</v>
      </c>
      <c r="M72" s="72"/>
      <c r="N72" s="77"/>
      <c r="O72" s="74">
        <f>SUM(O29:O71)</f>
        <v>588682</v>
      </c>
      <c r="P72" s="95"/>
      <c r="Q72" s="95"/>
      <c r="R72" s="87">
        <f t="shared" si="19"/>
        <v>1.0049399483131336E-2</v>
      </c>
      <c r="S72" s="87" t="e">
        <f t="shared" si="20"/>
        <v>#DIV/0!</v>
      </c>
      <c r="T72" s="87">
        <f t="shared" si="21"/>
        <v>1.0383913001688888E-2</v>
      </c>
      <c r="U72" s="88">
        <f t="shared" si="22"/>
        <v>0</v>
      </c>
      <c r="V72" s="89">
        <f t="shared" si="23"/>
        <v>0</v>
      </c>
    </row>
    <row r="73" spans="1:22" ht="3" customHeight="1">
      <c r="A73" s="67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ht="15" customHeight="1">
      <c r="A74" s="192" t="s">
        <v>129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>
      <c r="A75" s="178">
        <v>64</v>
      </c>
      <c r="B75" s="179" t="s">
        <v>130</v>
      </c>
      <c r="C75" s="180" t="s">
        <v>22</v>
      </c>
      <c r="D75" s="64">
        <v>748074188.76999998</v>
      </c>
      <c r="E75" s="59">
        <f>(D75/$D$114)</f>
        <v>3.0700806543502213E-3</v>
      </c>
      <c r="F75" s="92">
        <v>1.724</v>
      </c>
      <c r="G75" s="92">
        <v>1.724</v>
      </c>
      <c r="H75" s="60">
        <v>530</v>
      </c>
      <c r="I75" s="82">
        <v>-1.737E-3</v>
      </c>
      <c r="J75" s="82">
        <v>0.32240000000000002</v>
      </c>
      <c r="K75" s="64">
        <v>743861362.15999997</v>
      </c>
      <c r="L75" s="59">
        <f t="shared" ref="L75:L98" si="37">(K75/$K$114)</f>
        <v>3.1049927533971251E-3</v>
      </c>
      <c r="M75" s="92">
        <v>1.7235</v>
      </c>
      <c r="N75" s="92">
        <v>1.724</v>
      </c>
      <c r="O75" s="60">
        <v>532</v>
      </c>
      <c r="P75" s="82">
        <v>4.06E-4</v>
      </c>
      <c r="Q75" s="82">
        <v>0.32200000000000001</v>
      </c>
      <c r="R75" s="87">
        <f>((K75-D75)/D75)</f>
        <v>-5.6315625819503765E-3</v>
      </c>
      <c r="S75" s="87">
        <f>((N75-G75)/G75)</f>
        <v>0</v>
      </c>
      <c r="T75" s="87">
        <f>((O75-H75)/H75)</f>
        <v>3.7735849056603774E-3</v>
      </c>
      <c r="U75" s="88">
        <f>P75-I75</f>
        <v>2.1429999999999999E-3</v>
      </c>
      <c r="V75" s="89">
        <f>Q75-J75</f>
        <v>-4.0000000000001146E-4</v>
      </c>
    </row>
    <row r="76" spans="1:22">
      <c r="A76" s="178">
        <v>65</v>
      </c>
      <c r="B76" s="179" t="s">
        <v>131</v>
      </c>
      <c r="C76" s="180" t="s">
        <v>24</v>
      </c>
      <c r="D76" s="64">
        <v>1404312177.0699999</v>
      </c>
      <c r="E76" s="59">
        <f>(D76/$D$114)</f>
        <v>5.7632674836433917E-3</v>
      </c>
      <c r="F76" s="92">
        <v>1.3705000000000001</v>
      </c>
      <c r="G76" s="92">
        <v>1.3705000000000001</v>
      </c>
      <c r="H76" s="60">
        <v>1400</v>
      </c>
      <c r="I76" s="82">
        <v>1.14E-2</v>
      </c>
      <c r="J76" s="82">
        <v>0.1762</v>
      </c>
      <c r="K76" s="64">
        <v>1416187698.5599999</v>
      </c>
      <c r="L76" s="59">
        <f t="shared" si="37"/>
        <v>5.9113872089153223E-3</v>
      </c>
      <c r="M76" s="92">
        <v>1.3715999999999999</v>
      </c>
      <c r="N76" s="92">
        <v>1.3715999999999999</v>
      </c>
      <c r="O76" s="60">
        <v>1420</v>
      </c>
      <c r="P76" s="82">
        <v>4.19E-2</v>
      </c>
      <c r="Q76" s="82">
        <v>0.1736</v>
      </c>
      <c r="R76" s="87">
        <f t="shared" ref="R76:R114" si="38">((K76-D76)/D76)</f>
        <v>8.4564683578956506E-3</v>
      </c>
      <c r="S76" s="87">
        <f t="shared" ref="S76:S114" si="39">((N76-G76)/G76)</f>
        <v>8.0262677854788672E-4</v>
      </c>
      <c r="T76" s="87">
        <f t="shared" ref="T76:T114" si="40">((O76-H76)/H76)</f>
        <v>1.4285714285714285E-2</v>
      </c>
      <c r="U76" s="88">
        <f t="shared" ref="U76:U114" si="41">P76-I76</f>
        <v>3.0499999999999999E-2</v>
      </c>
      <c r="V76" s="89">
        <f t="shared" ref="V76:V114" si="42">Q76-J76</f>
        <v>-2.5999999999999912E-3</v>
      </c>
    </row>
    <row r="77" spans="1:22">
      <c r="A77" s="178">
        <v>66</v>
      </c>
      <c r="B77" s="179" t="s">
        <v>132</v>
      </c>
      <c r="C77" s="180" t="s">
        <v>24</v>
      </c>
      <c r="D77" s="64">
        <v>823714708.75</v>
      </c>
      <c r="E77" s="59">
        <f>(D77/$D$114)</f>
        <v>3.3805077490978888E-3</v>
      </c>
      <c r="F77" s="92">
        <v>1.1992</v>
      </c>
      <c r="G77" s="92">
        <v>1.1992</v>
      </c>
      <c r="H77" s="60">
        <v>542</v>
      </c>
      <c r="I77" s="82">
        <v>0.122</v>
      </c>
      <c r="J77" s="82">
        <v>0.12909999999999999</v>
      </c>
      <c r="K77" s="64">
        <v>824721728.83000004</v>
      </c>
      <c r="L77" s="59">
        <f t="shared" si="37"/>
        <v>3.4425164712823145E-3</v>
      </c>
      <c r="M77" s="92">
        <v>1.202</v>
      </c>
      <c r="N77" s="92">
        <v>1.202</v>
      </c>
      <c r="O77" s="60">
        <v>550</v>
      </c>
      <c r="P77" s="82">
        <v>0.1217</v>
      </c>
      <c r="Q77" s="82">
        <v>0.12920000000000001</v>
      </c>
      <c r="R77" s="87">
        <f t="shared" si="38"/>
        <v>1.2225350225058039E-3</v>
      </c>
      <c r="S77" s="87">
        <f t="shared" si="39"/>
        <v>2.3348899266176729E-3</v>
      </c>
      <c r="T77" s="87">
        <f t="shared" si="40"/>
        <v>1.4760147601476014E-2</v>
      </c>
      <c r="U77" s="88">
        <f t="shared" si="41"/>
        <v>-2.9999999999999472E-4</v>
      </c>
      <c r="V77" s="89">
        <f t="shared" si="42"/>
        <v>1.0000000000001674E-4</v>
      </c>
    </row>
    <row r="78" spans="1:22">
      <c r="A78" s="178">
        <v>67</v>
      </c>
      <c r="B78" s="179" t="s">
        <v>133</v>
      </c>
      <c r="C78" s="180" t="s">
        <v>64</v>
      </c>
      <c r="D78" s="64">
        <v>333207370.61000001</v>
      </c>
      <c r="E78" s="59">
        <f>(D78/$D$114)</f>
        <v>1.3674760040560429E-3</v>
      </c>
      <c r="F78" s="63">
        <v>1294.28</v>
      </c>
      <c r="G78" s="63">
        <v>1294.28</v>
      </c>
      <c r="H78" s="60">
        <v>109</v>
      </c>
      <c r="I78" s="82">
        <v>-8.9999999999999998E-4</v>
      </c>
      <c r="J78" s="82">
        <v>0.2263</v>
      </c>
      <c r="K78" s="64">
        <v>333238933.25</v>
      </c>
      <c r="L78" s="59">
        <f t="shared" si="37"/>
        <v>1.3909910173133576E-3</v>
      </c>
      <c r="M78" s="63">
        <v>1294.4000000000001</v>
      </c>
      <c r="N78" s="63">
        <v>1294.4000000000001</v>
      </c>
      <c r="O78" s="60">
        <v>109</v>
      </c>
      <c r="P78" s="82">
        <v>-5.9999999999999995E-4</v>
      </c>
      <c r="Q78" s="82">
        <v>0.2213</v>
      </c>
      <c r="R78" s="87">
        <f t="shared" si="38"/>
        <v>9.4723714971263178E-5</v>
      </c>
      <c r="S78" s="87">
        <f t="shared" si="39"/>
        <v>9.2715641128749763E-5</v>
      </c>
      <c r="T78" s="87">
        <f t="shared" si="40"/>
        <v>0</v>
      </c>
      <c r="U78" s="88">
        <f t="shared" si="41"/>
        <v>3.0000000000000003E-4</v>
      </c>
      <c r="V78" s="89">
        <f t="shared" si="42"/>
        <v>-5.0000000000000044E-3</v>
      </c>
    </row>
    <row r="79" spans="1:22" ht="15" customHeight="1">
      <c r="A79" s="178">
        <v>68</v>
      </c>
      <c r="B79" s="179" t="s">
        <v>134</v>
      </c>
      <c r="C79" s="180" t="s">
        <v>28</v>
      </c>
      <c r="D79" s="64">
        <v>1972307881.1300001</v>
      </c>
      <c r="E79" s="59">
        <f>(D79/$K$114)</f>
        <v>8.2327191462049001E-3</v>
      </c>
      <c r="F79" s="63">
        <v>1.0705</v>
      </c>
      <c r="G79" s="63">
        <v>1.0705</v>
      </c>
      <c r="H79" s="60">
        <v>1008</v>
      </c>
      <c r="I79" s="82">
        <v>1.8E-3</v>
      </c>
      <c r="J79" s="82">
        <v>0.12520000000000001</v>
      </c>
      <c r="K79" s="64">
        <v>1910464447.6700001</v>
      </c>
      <c r="L79" s="59">
        <f t="shared" si="37"/>
        <v>7.9745750584666875E-3</v>
      </c>
      <c r="M79" s="63">
        <v>1.0734999999999999</v>
      </c>
      <c r="N79" s="63">
        <v>1.0734999999999999</v>
      </c>
      <c r="O79" s="60">
        <v>1011</v>
      </c>
      <c r="P79" s="82">
        <v>2.8E-3</v>
      </c>
      <c r="Q79" s="82">
        <v>0.12740000000000001</v>
      </c>
      <c r="R79" s="87">
        <f t="shared" si="38"/>
        <v>-3.135587199731104E-2</v>
      </c>
      <c r="S79" s="87">
        <f t="shared" si="39"/>
        <v>2.8024287716019538E-3</v>
      </c>
      <c r="T79" s="87">
        <f t="shared" si="40"/>
        <v>2.976190476190476E-3</v>
      </c>
      <c r="U79" s="88">
        <f t="shared" si="41"/>
        <v>1E-3</v>
      </c>
      <c r="V79" s="89">
        <f t="shared" si="42"/>
        <v>2.2000000000000075E-3</v>
      </c>
    </row>
    <row r="80" spans="1:22">
      <c r="A80" s="178">
        <v>69</v>
      </c>
      <c r="B80" s="179" t="s">
        <v>135</v>
      </c>
      <c r="C80" s="180" t="s">
        <v>136</v>
      </c>
      <c r="D80" s="64">
        <v>474209895.69999999</v>
      </c>
      <c r="E80" s="59">
        <f t="shared" ref="E80:E98" si="43">(D80/$D$114)</f>
        <v>1.9461473858411924E-3</v>
      </c>
      <c r="F80" s="63">
        <v>2.7042999999999999</v>
      </c>
      <c r="G80" s="63">
        <v>2.7042999999999999</v>
      </c>
      <c r="H80" s="60">
        <v>1390</v>
      </c>
      <c r="I80" s="82">
        <v>0.14499999999999999</v>
      </c>
      <c r="J80" s="82">
        <v>0.1479</v>
      </c>
      <c r="K80" s="64">
        <v>475580539.49000001</v>
      </c>
      <c r="L80" s="59">
        <f t="shared" si="37"/>
        <v>1.9851469694369228E-3</v>
      </c>
      <c r="M80" s="63">
        <v>2.7121</v>
      </c>
      <c r="N80" s="63">
        <v>2.7121</v>
      </c>
      <c r="O80" s="60">
        <v>1390</v>
      </c>
      <c r="P80" s="82">
        <v>0.15040000000000001</v>
      </c>
      <c r="Q80" s="82">
        <v>0.14829999999999999</v>
      </c>
      <c r="R80" s="87">
        <f t="shared" si="38"/>
        <v>2.8903736561143667E-3</v>
      </c>
      <c r="S80" s="87">
        <f t="shared" si="39"/>
        <v>2.8842953814295861E-3</v>
      </c>
      <c r="T80" s="87">
        <f t="shared" si="40"/>
        <v>0</v>
      </c>
      <c r="U80" s="88">
        <f t="shared" si="41"/>
        <v>5.4000000000000159E-3</v>
      </c>
      <c r="V80" s="89">
        <f t="shared" si="42"/>
        <v>3.999999999999837E-4</v>
      </c>
    </row>
    <row r="81" spans="1:22">
      <c r="A81" s="178">
        <v>70</v>
      </c>
      <c r="B81" s="180" t="s">
        <v>137</v>
      </c>
      <c r="C81" s="180" t="s">
        <v>138</v>
      </c>
      <c r="D81" s="64">
        <v>1105705017.77</v>
      </c>
      <c r="E81" s="59">
        <f t="shared" si="43"/>
        <v>4.5377900152592165E-3</v>
      </c>
      <c r="F81" s="63">
        <v>1098.77</v>
      </c>
      <c r="G81" s="63">
        <v>1098.77</v>
      </c>
      <c r="H81" s="60">
        <v>257</v>
      </c>
      <c r="I81" s="82">
        <v>1.1199999999999999E-3</v>
      </c>
      <c r="J81" s="82">
        <v>9.5860000000000001E-2</v>
      </c>
      <c r="K81" s="64">
        <v>1065100196.6</v>
      </c>
      <c r="L81" s="59">
        <f t="shared" si="37"/>
        <v>4.4458934961774648E-3</v>
      </c>
      <c r="M81" s="63">
        <v>1101.55</v>
      </c>
      <c r="N81" s="63">
        <v>1101.55</v>
      </c>
      <c r="O81" s="60">
        <v>261</v>
      </c>
      <c r="P81" s="82">
        <v>2.0100000000000001E-3</v>
      </c>
      <c r="Q81" s="82">
        <v>9.8629999999999995E-2</v>
      </c>
      <c r="R81" s="87">
        <f t="shared" ref="R81" si="44">((K81-D81)/D81)</f>
        <v>-3.6723014291725184E-2</v>
      </c>
      <c r="S81" s="87">
        <f t="shared" ref="S81" si="45">((N81-G81)/G81)</f>
        <v>2.5301018411496242E-3</v>
      </c>
      <c r="T81" s="87">
        <f t="shared" ref="T81" si="46">((O81-H81)/H81)</f>
        <v>1.556420233463035E-2</v>
      </c>
      <c r="U81" s="88">
        <f t="shared" si="41"/>
        <v>8.9000000000000017E-4</v>
      </c>
      <c r="V81" s="89">
        <f t="shared" si="42"/>
        <v>2.7699999999999947E-3</v>
      </c>
    </row>
    <row r="82" spans="1:22">
      <c r="A82" s="178">
        <v>71</v>
      </c>
      <c r="B82" s="179" t="s">
        <v>139</v>
      </c>
      <c r="C82" s="180" t="s">
        <v>69</v>
      </c>
      <c r="D82" s="64">
        <v>233115822.19</v>
      </c>
      <c r="E82" s="59">
        <f t="shared" si="43"/>
        <v>9.5670240555312974E-4</v>
      </c>
      <c r="F82" s="63">
        <v>12.686999999999999</v>
      </c>
      <c r="G82" s="63">
        <v>12.75</v>
      </c>
      <c r="H82" s="60">
        <v>44</v>
      </c>
      <c r="I82" s="82">
        <v>-4.2000000000000002E-4</v>
      </c>
      <c r="J82" s="82">
        <v>0.28710000000000002</v>
      </c>
      <c r="K82" s="64">
        <v>232513671.16</v>
      </c>
      <c r="L82" s="59">
        <f t="shared" si="37"/>
        <v>9.7054814343519352E-4</v>
      </c>
      <c r="M82" s="63">
        <v>12.654</v>
      </c>
      <c r="N82" s="63">
        <v>12.720700000000001</v>
      </c>
      <c r="O82" s="60">
        <v>45</v>
      </c>
      <c r="P82" s="82">
        <v>-3.8800000000000002E-3</v>
      </c>
      <c r="Q82" s="82">
        <v>0.2772</v>
      </c>
      <c r="R82" s="87">
        <f t="shared" si="38"/>
        <v>-2.5830551712153656E-3</v>
      </c>
      <c r="S82" s="87">
        <f t="shared" si="39"/>
        <v>-2.2980392156862128E-3</v>
      </c>
      <c r="T82" s="87">
        <f t="shared" si="40"/>
        <v>2.2727272727272728E-2</v>
      </c>
      <c r="U82" s="88">
        <f t="shared" si="41"/>
        <v>-3.4600000000000004E-3</v>
      </c>
      <c r="V82" s="89">
        <f t="shared" si="42"/>
        <v>-9.9000000000000199E-3</v>
      </c>
    </row>
    <row r="83" spans="1:22">
      <c r="A83" s="178">
        <v>72</v>
      </c>
      <c r="B83" s="179" t="s">
        <v>140</v>
      </c>
      <c r="C83" s="180" t="s">
        <v>71</v>
      </c>
      <c r="D83" s="64">
        <v>2108427721.3006999</v>
      </c>
      <c r="E83" s="59">
        <f t="shared" si="43"/>
        <v>8.6529427902119153E-3</v>
      </c>
      <c r="F83" s="64">
        <v>4703.5050769969803</v>
      </c>
      <c r="G83" s="64">
        <v>4703.5050769969803</v>
      </c>
      <c r="H83" s="60">
        <v>1201</v>
      </c>
      <c r="I83" s="82">
        <v>-1.3653999999999999</v>
      </c>
      <c r="J83" s="82">
        <v>0.08</v>
      </c>
      <c r="K83" s="64">
        <v>2103986349.61287</v>
      </c>
      <c r="L83" s="59">
        <f t="shared" si="37"/>
        <v>8.7823655066913576E-3</v>
      </c>
      <c r="M83" s="64">
        <v>4713.5390433127104</v>
      </c>
      <c r="N83" s="64">
        <v>4713.5390433127104</v>
      </c>
      <c r="O83" s="60">
        <v>1163</v>
      </c>
      <c r="P83" s="82">
        <v>0.11123612361685843</v>
      </c>
      <c r="Q83" s="82">
        <v>8.0859520254972603E-2</v>
      </c>
      <c r="R83" s="87">
        <f t="shared" si="38"/>
        <v>-2.1064851514521286E-3</v>
      </c>
      <c r="S83" s="87">
        <f t="shared" si="39"/>
        <v>2.1332955214192028E-3</v>
      </c>
      <c r="T83" s="87">
        <f t="shared" si="40"/>
        <v>-3.1640299750208163E-2</v>
      </c>
      <c r="U83" s="88">
        <f t="shared" si="41"/>
        <v>1.4766361236168584</v>
      </c>
      <c r="V83" s="89">
        <f t="shared" si="42"/>
        <v>8.5952025497260109E-4</v>
      </c>
    </row>
    <row r="84" spans="1:22">
      <c r="A84" s="178">
        <v>73</v>
      </c>
      <c r="B84" s="179" t="s">
        <v>141</v>
      </c>
      <c r="C84" s="180" t="s">
        <v>73</v>
      </c>
      <c r="D84" s="64">
        <v>354240903.25999999</v>
      </c>
      <c r="E84" s="59">
        <f t="shared" si="43"/>
        <v>1.453797177344462E-3</v>
      </c>
      <c r="F84" s="92">
        <v>111.07</v>
      </c>
      <c r="G84" s="92">
        <v>111.07</v>
      </c>
      <c r="H84" s="60">
        <v>95</v>
      </c>
      <c r="I84" s="82">
        <v>2.0999999999999999E-3</v>
      </c>
      <c r="J84" s="82">
        <v>0.127</v>
      </c>
      <c r="K84" s="64">
        <v>369421902.49000001</v>
      </c>
      <c r="L84" s="59">
        <f t="shared" si="37"/>
        <v>1.5420243455673741E-3</v>
      </c>
      <c r="M84" s="92">
        <v>111.31</v>
      </c>
      <c r="N84" s="92">
        <v>111.31</v>
      </c>
      <c r="O84" s="60">
        <v>96</v>
      </c>
      <c r="P84" s="82">
        <v>2.2000000000000001E-3</v>
      </c>
      <c r="Q84" s="82">
        <v>0.1201</v>
      </c>
      <c r="R84" s="87">
        <f t="shared" si="38"/>
        <v>4.2855015020266354E-2</v>
      </c>
      <c r="S84" s="87">
        <f t="shared" si="39"/>
        <v>2.1607994958135332E-3</v>
      </c>
      <c r="T84" s="87">
        <f t="shared" si="40"/>
        <v>1.0526315789473684E-2</v>
      </c>
      <c r="U84" s="88">
        <f t="shared" si="41"/>
        <v>1.0000000000000026E-4</v>
      </c>
      <c r="V84" s="89">
        <f t="shared" si="42"/>
        <v>-6.9000000000000034E-3</v>
      </c>
    </row>
    <row r="85" spans="1:22" ht="13.5" customHeight="1">
      <c r="A85" s="178">
        <v>74</v>
      </c>
      <c r="B85" s="179" t="s">
        <v>142</v>
      </c>
      <c r="C85" s="180" t="s">
        <v>75</v>
      </c>
      <c r="D85" s="64">
        <v>606833876.77999997</v>
      </c>
      <c r="E85" s="59">
        <f t="shared" si="43"/>
        <v>2.4904334001549459E-3</v>
      </c>
      <c r="F85" s="92">
        <v>1.4991000000000001</v>
      </c>
      <c r="G85" s="92">
        <v>1.4991000000000001</v>
      </c>
      <c r="H85" s="60">
        <v>1535</v>
      </c>
      <c r="I85" s="82">
        <v>1.1000000000000001E-3</v>
      </c>
      <c r="J85" s="82">
        <v>0.1535</v>
      </c>
      <c r="K85" s="64">
        <v>645071299.83000004</v>
      </c>
      <c r="L85" s="59">
        <f t="shared" si="37"/>
        <v>2.6926277036093643E-3</v>
      </c>
      <c r="M85" s="92">
        <v>1.5049999999999999</v>
      </c>
      <c r="N85" s="92">
        <v>1.5049999999999999</v>
      </c>
      <c r="O85" s="60">
        <v>1603</v>
      </c>
      <c r="P85" s="82">
        <v>3.8999999999999998E-3</v>
      </c>
      <c r="Q85" s="82">
        <v>0.1578</v>
      </c>
      <c r="R85" s="87">
        <f t="shared" si="38"/>
        <v>6.3011352057166986E-2</v>
      </c>
      <c r="S85" s="87">
        <f t="shared" si="39"/>
        <v>3.9356947501833061E-3</v>
      </c>
      <c r="T85" s="87">
        <f t="shared" si="40"/>
        <v>4.4299674267100977E-2</v>
      </c>
      <c r="U85" s="88">
        <f t="shared" si="41"/>
        <v>2.7999999999999995E-3</v>
      </c>
      <c r="V85" s="89">
        <f t="shared" si="42"/>
        <v>4.2999999999999983E-3</v>
      </c>
    </row>
    <row r="86" spans="1:22" ht="13.5" customHeight="1">
      <c r="A86" s="178">
        <v>75</v>
      </c>
      <c r="B86" s="179" t="s">
        <v>143</v>
      </c>
      <c r="C86" s="180" t="s">
        <v>75</v>
      </c>
      <c r="D86" s="64">
        <v>55767159.579999998</v>
      </c>
      <c r="E86" s="59">
        <f t="shared" si="43"/>
        <v>2.2886724384399136E-4</v>
      </c>
      <c r="F86" s="92">
        <v>1.0488999999999999</v>
      </c>
      <c r="G86" s="92">
        <v>1.0488999999999999</v>
      </c>
      <c r="H86" s="60">
        <v>13</v>
      </c>
      <c r="I86" s="82">
        <v>-8.9999999999999998E-4</v>
      </c>
      <c r="J86" s="82">
        <v>5.8200000000000002E-2</v>
      </c>
      <c r="K86" s="64">
        <v>56090985.170000002</v>
      </c>
      <c r="L86" s="59">
        <f t="shared" si="37"/>
        <v>2.3413247594690156E-4</v>
      </c>
      <c r="M86" s="92">
        <v>1.0517000000000001</v>
      </c>
      <c r="N86" s="92">
        <v>1.0517000000000001</v>
      </c>
      <c r="O86" s="60">
        <v>13</v>
      </c>
      <c r="P86" s="82">
        <v>2.7000000000000001E-3</v>
      </c>
      <c r="Q86" s="82">
        <v>6.0999999999999999E-2</v>
      </c>
      <c r="R86" s="87">
        <f t="shared" ref="R86" si="47">((K86-D86)/D86)</f>
        <v>5.8067434748127009E-3</v>
      </c>
      <c r="S86" s="87">
        <f t="shared" ref="S86" si="48">((N86-G86)/G86)</f>
        <v>2.6694632472114939E-3</v>
      </c>
      <c r="T86" s="87">
        <f t="shared" ref="T86" si="49">((O86-H86)/H86)</f>
        <v>0</v>
      </c>
      <c r="U86" s="88">
        <f t="shared" ref="U86" si="50">P86-I86</f>
        <v>3.5999999999999999E-3</v>
      </c>
      <c r="V86" s="89">
        <f t="shared" ref="V86" si="51">Q86-J86</f>
        <v>2.7999999999999969E-3</v>
      </c>
    </row>
    <row r="87" spans="1:22">
      <c r="A87" s="178">
        <v>76</v>
      </c>
      <c r="B87" s="179" t="s">
        <v>144</v>
      </c>
      <c r="C87" s="180" t="s">
        <v>30</v>
      </c>
      <c r="D87" s="64">
        <v>193380825.08000001</v>
      </c>
      <c r="E87" s="59">
        <f t="shared" si="43"/>
        <v>7.9363081752166595E-4</v>
      </c>
      <c r="F87" s="92">
        <v>137.2646</v>
      </c>
      <c r="G87" s="92">
        <v>137.2646</v>
      </c>
      <c r="H87" s="60">
        <v>364</v>
      </c>
      <c r="I87" s="82">
        <v>3.078E-3</v>
      </c>
      <c r="J87" s="82">
        <v>0.17249999999999999</v>
      </c>
      <c r="K87" s="64">
        <v>188382221.02000001</v>
      </c>
      <c r="L87" s="59">
        <f t="shared" si="37"/>
        <v>7.863366225091575E-4</v>
      </c>
      <c r="M87" s="92">
        <v>137.85499999999999</v>
      </c>
      <c r="N87" s="92">
        <v>137.85499999999999</v>
      </c>
      <c r="O87" s="60">
        <v>374</v>
      </c>
      <c r="P87" s="82">
        <v>6.1899999999999998E-4</v>
      </c>
      <c r="Q87" s="82">
        <v>0.17549999999999999</v>
      </c>
      <c r="R87" s="87">
        <f t="shared" si="38"/>
        <v>-2.5848498980869081E-2</v>
      </c>
      <c r="S87" s="87">
        <f t="shared" si="39"/>
        <v>4.3011818050683734E-3</v>
      </c>
      <c r="T87" s="87">
        <f t="shared" si="40"/>
        <v>2.7472527472527472E-2</v>
      </c>
      <c r="U87" s="88">
        <f t="shared" si="41"/>
        <v>-2.4590000000000002E-3</v>
      </c>
      <c r="V87" s="89">
        <f t="shared" si="42"/>
        <v>3.0000000000000027E-3</v>
      </c>
    </row>
    <row r="88" spans="1:22">
      <c r="A88" s="178">
        <v>77</v>
      </c>
      <c r="B88" s="179" t="s">
        <v>145</v>
      </c>
      <c r="C88" s="180" t="s">
        <v>77</v>
      </c>
      <c r="D88" s="64">
        <v>2706262701.8099999</v>
      </c>
      <c r="E88" s="59">
        <f t="shared" si="43"/>
        <v>1.1106444910333519E-2</v>
      </c>
      <c r="F88" s="63">
        <v>1267.140764</v>
      </c>
      <c r="G88" s="63">
        <v>1267.140764</v>
      </c>
      <c r="H88" s="60">
        <v>391</v>
      </c>
      <c r="I88" s="82">
        <v>1.89E-2</v>
      </c>
      <c r="J88" s="82">
        <v>0.23019999999999999</v>
      </c>
      <c r="K88" s="64">
        <v>2737505911.5599999</v>
      </c>
      <c r="L88" s="59">
        <f t="shared" si="37"/>
        <v>1.142677446385138E-2</v>
      </c>
      <c r="M88" s="63">
        <v>1271.3699999999999</v>
      </c>
      <c r="N88" s="63">
        <v>1271.3699999999999</v>
      </c>
      <c r="O88" s="60">
        <v>318</v>
      </c>
      <c r="P88" s="82">
        <v>1.89E-2</v>
      </c>
      <c r="Q88" s="82">
        <v>0.2303</v>
      </c>
      <c r="R88" s="87">
        <f t="shared" si="38"/>
        <v>1.1544780826009222E-2</v>
      </c>
      <c r="S88" s="87">
        <f t="shared" si="39"/>
        <v>3.3376212968237368E-3</v>
      </c>
      <c r="T88" s="87">
        <f t="shared" si="40"/>
        <v>-0.1867007672634271</v>
      </c>
      <c r="U88" s="88">
        <f t="shared" si="41"/>
        <v>0</v>
      </c>
      <c r="V88" s="89">
        <f t="shared" si="42"/>
        <v>1.0000000000001674E-4</v>
      </c>
    </row>
    <row r="89" spans="1:22">
      <c r="A89" s="178">
        <v>78</v>
      </c>
      <c r="B89" s="179" t="s">
        <v>146</v>
      </c>
      <c r="C89" s="180" t="s">
        <v>79</v>
      </c>
      <c r="D89" s="64">
        <v>157803488.12</v>
      </c>
      <c r="E89" s="59">
        <f t="shared" si="43"/>
        <v>6.4762217884134228E-4</v>
      </c>
      <c r="F89" s="63">
        <v>1110.74</v>
      </c>
      <c r="G89" s="63">
        <v>1139.1199999999999</v>
      </c>
      <c r="H89" s="60">
        <v>70</v>
      </c>
      <c r="I89" s="82">
        <v>-1.0800000000000001E-2</v>
      </c>
      <c r="J89" s="82">
        <v>0.1129</v>
      </c>
      <c r="K89" s="64">
        <v>158356153.03</v>
      </c>
      <c r="L89" s="59">
        <f t="shared" si="37"/>
        <v>6.6100315546196596E-4</v>
      </c>
      <c r="M89" s="63">
        <v>1112.77</v>
      </c>
      <c r="N89" s="63">
        <v>1142</v>
      </c>
      <c r="O89" s="60">
        <v>72</v>
      </c>
      <c r="P89" s="82">
        <v>2.3999999999999998E-3</v>
      </c>
      <c r="Q89" s="82">
        <v>0.1153</v>
      </c>
      <c r="R89" s="87">
        <f t="shared" si="38"/>
        <v>3.5022350683384653E-3</v>
      </c>
      <c r="S89" s="87">
        <f t="shared" si="39"/>
        <v>2.5282674345109466E-3</v>
      </c>
      <c r="T89" s="87">
        <f t="shared" si="40"/>
        <v>2.8571428571428571E-2</v>
      </c>
      <c r="U89" s="88">
        <f t="shared" si="41"/>
        <v>1.32E-2</v>
      </c>
      <c r="V89" s="89">
        <f t="shared" si="42"/>
        <v>2.3999999999999994E-3</v>
      </c>
    </row>
    <row r="90" spans="1:22">
      <c r="A90" s="178">
        <v>79</v>
      </c>
      <c r="B90" s="179" t="s">
        <v>147</v>
      </c>
      <c r="C90" s="180" t="s">
        <v>82</v>
      </c>
      <c r="D90" s="64">
        <v>710110643.94000006</v>
      </c>
      <c r="E90" s="59">
        <f t="shared" si="43"/>
        <v>2.9142790690224662E-3</v>
      </c>
      <c r="F90" s="93">
        <v>1.17</v>
      </c>
      <c r="G90" s="93">
        <v>1.17</v>
      </c>
      <c r="H90" s="60">
        <v>59</v>
      </c>
      <c r="I90" s="82">
        <v>0.11257</v>
      </c>
      <c r="J90" s="82">
        <v>0.1119</v>
      </c>
      <c r="K90" s="64">
        <v>710211366.15999997</v>
      </c>
      <c r="L90" s="59">
        <f t="shared" si="37"/>
        <v>2.9645324484977712E-3</v>
      </c>
      <c r="M90" s="93">
        <v>1.18</v>
      </c>
      <c r="N90" s="93">
        <v>1.18</v>
      </c>
      <c r="O90" s="60">
        <v>57</v>
      </c>
      <c r="P90" s="82">
        <v>0.11257</v>
      </c>
      <c r="Q90" s="82">
        <v>0.1113</v>
      </c>
      <c r="R90" s="87">
        <f t="shared" si="38"/>
        <v>1.4184017780814986E-4</v>
      </c>
      <c r="S90" s="87">
        <f t="shared" si="39"/>
        <v>8.5470085470085548E-3</v>
      </c>
      <c r="T90" s="87">
        <f t="shared" si="40"/>
        <v>-3.3898305084745763E-2</v>
      </c>
      <c r="U90" s="88">
        <f t="shared" si="41"/>
        <v>0</v>
      </c>
      <c r="V90" s="89">
        <f t="shared" si="42"/>
        <v>-6.0000000000000331E-4</v>
      </c>
    </row>
    <row r="91" spans="1:22">
      <c r="A91" s="178">
        <v>80</v>
      </c>
      <c r="B91" s="179" t="s">
        <v>148</v>
      </c>
      <c r="C91" s="180" t="s">
        <v>32</v>
      </c>
      <c r="D91" s="93">
        <v>11497931444.549999</v>
      </c>
      <c r="E91" s="59">
        <f t="shared" si="43"/>
        <v>4.7187267550292553E-2</v>
      </c>
      <c r="F91" s="93">
        <v>1763.55</v>
      </c>
      <c r="G91" s="93">
        <v>1763.55</v>
      </c>
      <c r="H91" s="60">
        <v>2051</v>
      </c>
      <c r="I91" s="82">
        <v>1.6000000000000001E-3</v>
      </c>
      <c r="J91" s="82">
        <v>4.1700000000000001E-2</v>
      </c>
      <c r="K91" s="93">
        <v>11455756976.209999</v>
      </c>
      <c r="L91" s="59">
        <f t="shared" si="37"/>
        <v>4.7818107251226892E-2</v>
      </c>
      <c r="M91" s="93">
        <v>1656.88</v>
      </c>
      <c r="N91" s="93">
        <v>1656.88</v>
      </c>
      <c r="O91" s="60">
        <v>2044</v>
      </c>
      <c r="P91" s="82">
        <v>-6.0499999999999998E-2</v>
      </c>
      <c r="Q91" s="82">
        <v>4.3200000000000002E-2</v>
      </c>
      <c r="R91" s="87">
        <f t="shared" si="38"/>
        <v>-3.6680048531678089E-3</v>
      </c>
      <c r="S91" s="87">
        <f t="shared" si="39"/>
        <v>-6.0485951631651977E-2</v>
      </c>
      <c r="T91" s="87">
        <f t="shared" si="40"/>
        <v>-3.4129692832764505E-3</v>
      </c>
      <c r="U91" s="88">
        <f t="shared" si="41"/>
        <v>-6.2099999999999995E-2</v>
      </c>
      <c r="V91" s="89">
        <f t="shared" si="42"/>
        <v>1.5000000000000013E-3</v>
      </c>
    </row>
    <row r="92" spans="1:22">
      <c r="A92" s="178">
        <v>81</v>
      </c>
      <c r="B92" s="179" t="s">
        <v>149</v>
      </c>
      <c r="C92" s="180" t="s">
        <v>92</v>
      </c>
      <c r="D92" s="64">
        <v>23616328.550000001</v>
      </c>
      <c r="E92" s="59">
        <f t="shared" si="43"/>
        <v>9.6920913054554842E-5</v>
      </c>
      <c r="F92" s="92">
        <v>0.72140000000000004</v>
      </c>
      <c r="G92" s="92">
        <v>0.72140000000000004</v>
      </c>
      <c r="H92" s="60">
        <v>744</v>
      </c>
      <c r="I92" s="82">
        <v>2.2000000000000001E-3</v>
      </c>
      <c r="J92" s="82">
        <v>6.6E-3</v>
      </c>
      <c r="K92" s="64">
        <v>23672374.469999999</v>
      </c>
      <c r="L92" s="59">
        <f t="shared" si="37"/>
        <v>9.8812164368396324E-5</v>
      </c>
      <c r="M92" s="92">
        <v>0.72319999999999995</v>
      </c>
      <c r="N92" s="92">
        <v>0.72319999999999995</v>
      </c>
      <c r="O92" s="60">
        <v>744</v>
      </c>
      <c r="P92" s="82">
        <v>2.5000000000000001E-3</v>
      </c>
      <c r="Q92" s="82">
        <v>9.1000000000000004E-3</v>
      </c>
      <c r="R92" s="87">
        <f t="shared" si="38"/>
        <v>2.3731851410069438E-3</v>
      </c>
      <c r="S92" s="87">
        <f t="shared" si="39"/>
        <v>2.4951483227057289E-3</v>
      </c>
      <c r="T92" s="87">
        <f t="shared" si="40"/>
        <v>0</v>
      </c>
      <c r="U92" s="88">
        <f t="shared" si="41"/>
        <v>2.9999999999999992E-4</v>
      </c>
      <c r="V92" s="89">
        <f t="shared" si="42"/>
        <v>2.5000000000000005E-3</v>
      </c>
    </row>
    <row r="93" spans="1:22">
      <c r="A93" s="178">
        <v>82</v>
      </c>
      <c r="B93" s="179" t="s">
        <v>150</v>
      </c>
      <c r="C93" s="180" t="s">
        <v>38</v>
      </c>
      <c r="D93" s="64">
        <v>11446251616.219999</v>
      </c>
      <c r="E93" s="59">
        <f t="shared" si="43"/>
        <v>4.6975174627481048E-2</v>
      </c>
      <c r="F93" s="92">
        <v>1</v>
      </c>
      <c r="G93" s="92">
        <v>1</v>
      </c>
      <c r="H93" s="60">
        <v>4854</v>
      </c>
      <c r="I93" s="82">
        <v>0.06</v>
      </c>
      <c r="J93" s="82">
        <v>0.06</v>
      </c>
      <c r="K93" s="64">
        <v>11492495971.08</v>
      </c>
      <c r="L93" s="59">
        <f t="shared" si="37"/>
        <v>4.7971461516741101E-2</v>
      </c>
      <c r="M93" s="92">
        <v>1</v>
      </c>
      <c r="N93" s="92">
        <v>1</v>
      </c>
      <c r="O93" s="60">
        <v>4881</v>
      </c>
      <c r="P93" s="82">
        <v>0.06</v>
      </c>
      <c r="Q93" s="82">
        <v>0.06</v>
      </c>
      <c r="R93" s="87">
        <f t="shared" si="38"/>
        <v>4.0401309014096538E-3</v>
      </c>
      <c r="S93" s="87">
        <f t="shared" si="39"/>
        <v>0</v>
      </c>
      <c r="T93" s="87">
        <f t="shared" si="40"/>
        <v>5.5624227441285539E-3</v>
      </c>
      <c r="U93" s="88">
        <f t="shared" si="41"/>
        <v>0</v>
      </c>
      <c r="V93" s="89">
        <f t="shared" si="42"/>
        <v>0</v>
      </c>
    </row>
    <row r="94" spans="1:22">
      <c r="A94" s="178">
        <v>83</v>
      </c>
      <c r="B94" s="179" t="s">
        <v>151</v>
      </c>
      <c r="C94" s="180" t="s">
        <v>152</v>
      </c>
      <c r="D94" s="64">
        <v>1798780904.8299999</v>
      </c>
      <c r="E94" s="59">
        <f t="shared" si="43"/>
        <v>7.38215880220814E-3</v>
      </c>
      <c r="F94" s="64">
        <v>272.49</v>
      </c>
      <c r="G94" s="64">
        <v>272.49</v>
      </c>
      <c r="H94" s="60">
        <v>562</v>
      </c>
      <c r="I94" s="82">
        <v>3.0000000000000001E-3</v>
      </c>
      <c r="J94" s="82">
        <v>0.18720000000000001</v>
      </c>
      <c r="K94" s="64">
        <v>1802365228.51</v>
      </c>
      <c r="L94" s="59">
        <f t="shared" si="37"/>
        <v>7.5233521435339283E-3</v>
      </c>
      <c r="M94" s="64">
        <v>273.02</v>
      </c>
      <c r="N94" s="64">
        <v>273.02</v>
      </c>
      <c r="O94" s="60">
        <v>562</v>
      </c>
      <c r="P94" s="82">
        <v>3.0000000000000001E-3</v>
      </c>
      <c r="Q94" s="82">
        <v>0.18720000000000001</v>
      </c>
      <c r="R94" s="87">
        <f t="shared" si="38"/>
        <v>1.992640499115603E-3</v>
      </c>
      <c r="S94" s="87">
        <f t="shared" si="39"/>
        <v>1.9450255055230383E-3</v>
      </c>
      <c r="T94" s="87">
        <f t="shared" si="40"/>
        <v>0</v>
      </c>
      <c r="U94" s="88">
        <f t="shared" si="41"/>
        <v>0</v>
      </c>
      <c r="V94" s="89">
        <f t="shared" si="42"/>
        <v>0</v>
      </c>
    </row>
    <row r="95" spans="1:22">
      <c r="A95" s="178">
        <v>84</v>
      </c>
      <c r="B95" s="179" t="s">
        <v>153</v>
      </c>
      <c r="C95" s="180" t="s">
        <v>42</v>
      </c>
      <c r="D95" s="64">
        <v>1065837506.13</v>
      </c>
      <c r="E95" s="59">
        <f t="shared" si="43"/>
        <v>4.3741745903983576E-3</v>
      </c>
      <c r="F95" s="92">
        <v>3.6</v>
      </c>
      <c r="G95" s="92">
        <v>3.61</v>
      </c>
      <c r="H95" s="78">
        <v>786</v>
      </c>
      <c r="I95" s="85">
        <v>4.4999999999999997E-3</v>
      </c>
      <c r="J95" s="85">
        <v>-6.0000000000000001E-3</v>
      </c>
      <c r="K95" s="64">
        <v>1068769242.5599999</v>
      </c>
      <c r="L95" s="59">
        <f t="shared" si="37"/>
        <v>4.4612086633540465E-3</v>
      </c>
      <c r="M95" s="92">
        <v>3.61</v>
      </c>
      <c r="N95" s="92">
        <v>3.62</v>
      </c>
      <c r="O95" s="78">
        <v>787</v>
      </c>
      <c r="P95" s="85">
        <v>7.1999999999999998E-3</v>
      </c>
      <c r="Q95" s="85">
        <v>-3.0000000000000001E-3</v>
      </c>
      <c r="R95" s="87">
        <f t="shared" si="38"/>
        <v>2.7506410809701458E-3</v>
      </c>
      <c r="S95" s="87">
        <f t="shared" si="39"/>
        <v>2.770083102493139E-3</v>
      </c>
      <c r="T95" s="87">
        <f t="shared" si="40"/>
        <v>1.2722646310432571E-3</v>
      </c>
      <c r="U95" s="88">
        <f t="shared" si="41"/>
        <v>2.7000000000000001E-3</v>
      </c>
      <c r="V95" s="89">
        <f t="shared" si="42"/>
        <v>3.0000000000000001E-3</v>
      </c>
    </row>
    <row r="96" spans="1:22">
      <c r="A96" s="178">
        <v>85</v>
      </c>
      <c r="B96" s="179" t="s">
        <v>154</v>
      </c>
      <c r="C96" s="180" t="s">
        <v>44</v>
      </c>
      <c r="D96" s="64">
        <v>703348176.92999995</v>
      </c>
      <c r="E96" s="59">
        <f t="shared" si="43"/>
        <v>2.8865260473907228E-3</v>
      </c>
      <c r="F96" s="92">
        <v>112.21647</v>
      </c>
      <c r="G96" s="92">
        <v>112.21647</v>
      </c>
      <c r="H96" s="78">
        <v>271</v>
      </c>
      <c r="I96" s="85">
        <v>0.15010000000000001</v>
      </c>
      <c r="J96" s="85">
        <v>0.17080000000000001</v>
      </c>
      <c r="K96" s="64">
        <v>707412264.89999998</v>
      </c>
      <c r="L96" s="59">
        <f t="shared" si="37"/>
        <v>2.9528485654915517E-3</v>
      </c>
      <c r="M96" s="92">
        <v>112.48</v>
      </c>
      <c r="N96" s="92">
        <v>112.48</v>
      </c>
      <c r="O96" s="78">
        <v>277</v>
      </c>
      <c r="P96" s="85">
        <v>0.14940000000000001</v>
      </c>
      <c r="Q96" s="85">
        <v>0.1719</v>
      </c>
      <c r="R96" s="87">
        <f t="shared" si="38"/>
        <v>5.7782021810863426E-3</v>
      </c>
      <c r="S96" s="87">
        <f t="shared" si="39"/>
        <v>2.3484075020360463E-3</v>
      </c>
      <c r="T96" s="87">
        <f t="shared" si="40"/>
        <v>2.2140221402214021E-2</v>
      </c>
      <c r="U96" s="88">
        <f t="shared" si="41"/>
        <v>-7.0000000000000617E-4</v>
      </c>
      <c r="V96" s="89">
        <f t="shared" si="42"/>
        <v>1.0999999999999899E-3</v>
      </c>
    </row>
    <row r="97" spans="1:22">
      <c r="A97" s="178">
        <v>86</v>
      </c>
      <c r="B97" s="180" t="s">
        <v>155</v>
      </c>
      <c r="C97" s="187" t="s">
        <v>48</v>
      </c>
      <c r="D97" s="64">
        <v>1079029913.3499999</v>
      </c>
      <c r="E97" s="59">
        <f t="shared" si="43"/>
        <v>4.4283159507051816E-3</v>
      </c>
      <c r="F97" s="92">
        <v>113.41</v>
      </c>
      <c r="G97" s="92">
        <v>113.95</v>
      </c>
      <c r="H97" s="60">
        <v>289</v>
      </c>
      <c r="I97" s="82">
        <v>-4.0000000000000002E-4</v>
      </c>
      <c r="J97" s="82">
        <v>0.12479999999999999</v>
      </c>
      <c r="K97" s="64">
        <v>1077473175.0699999</v>
      </c>
      <c r="L97" s="59">
        <f t="shared" si="37"/>
        <v>4.4975402282724499E-3</v>
      </c>
      <c r="M97" s="92">
        <v>112.83</v>
      </c>
      <c r="N97" s="92">
        <v>113.4</v>
      </c>
      <c r="O97" s="60">
        <v>289</v>
      </c>
      <c r="P97" s="82">
        <v>-1.38E-2</v>
      </c>
      <c r="Q97" s="82">
        <v>0.1177</v>
      </c>
      <c r="R97" s="87">
        <f t="shared" si="38"/>
        <v>-1.4427202255837921E-3</v>
      </c>
      <c r="S97" s="87">
        <f t="shared" si="39"/>
        <v>-4.8266783677051086E-3</v>
      </c>
      <c r="T97" s="87">
        <f t="shared" si="40"/>
        <v>0</v>
      </c>
      <c r="U97" s="88">
        <f t="shared" si="41"/>
        <v>-1.34E-2</v>
      </c>
      <c r="V97" s="89">
        <f t="shared" si="42"/>
        <v>-7.0999999999999952E-3</v>
      </c>
    </row>
    <row r="98" spans="1:22">
      <c r="A98" s="178">
        <v>87</v>
      </c>
      <c r="B98" s="179" t="s">
        <v>156</v>
      </c>
      <c r="C98" s="180" t="s">
        <v>20</v>
      </c>
      <c r="D98" s="166">
        <v>1618922002.49</v>
      </c>
      <c r="E98" s="174">
        <f t="shared" si="43"/>
        <v>6.6440216697205082E-3</v>
      </c>
      <c r="F98" s="175">
        <v>387.71499999999997</v>
      </c>
      <c r="G98" s="175">
        <v>387.71499999999997</v>
      </c>
      <c r="H98" s="62">
        <v>97</v>
      </c>
      <c r="I98" s="83">
        <v>2.3999999999999998E-3</v>
      </c>
      <c r="J98" s="83">
        <v>0.1273</v>
      </c>
      <c r="K98" s="166">
        <v>1622295281.4000001</v>
      </c>
      <c r="L98" s="174">
        <f t="shared" si="37"/>
        <v>6.7717122421716491E-3</v>
      </c>
      <c r="M98" s="175">
        <v>388.08109999999999</v>
      </c>
      <c r="N98" s="175">
        <v>388.08100000000002</v>
      </c>
      <c r="O98" s="62">
        <v>97</v>
      </c>
      <c r="P98" s="83">
        <v>8.9999999999999998E-4</v>
      </c>
      <c r="Q98" s="83">
        <v>0.1283</v>
      </c>
      <c r="R98" s="88">
        <f t="shared" si="38"/>
        <v>2.0836574614538431E-3</v>
      </c>
      <c r="S98" s="88">
        <f t="shared" si="39"/>
        <v>9.4399236552633332E-4</v>
      </c>
      <c r="T98" s="88">
        <f t="shared" si="40"/>
        <v>0</v>
      </c>
      <c r="U98" s="88">
        <f t="shared" si="41"/>
        <v>-1.4999999999999998E-3</v>
      </c>
      <c r="V98" s="89">
        <f t="shared" si="42"/>
        <v>1.0000000000000009E-3</v>
      </c>
    </row>
    <row r="99" spans="1:22">
      <c r="A99" s="178">
        <v>88</v>
      </c>
      <c r="B99" s="179" t="s">
        <v>157</v>
      </c>
      <c r="C99" s="180" t="s">
        <v>104</v>
      </c>
      <c r="D99" s="76">
        <v>1794697888</v>
      </c>
      <c r="E99" s="59">
        <f>(D99/$K$72)</f>
        <v>3.9031477504899049E-4</v>
      </c>
      <c r="F99" s="92">
        <v>104.44</v>
      </c>
      <c r="G99" s="92">
        <v>104.44</v>
      </c>
      <c r="H99" s="60">
        <v>410</v>
      </c>
      <c r="I99" s="82">
        <v>1.1000000000000001E-3</v>
      </c>
      <c r="J99" s="82">
        <v>0.15329999999999999</v>
      </c>
      <c r="K99" s="76">
        <v>1778080235</v>
      </c>
      <c r="L99" s="59">
        <f t="shared" ref="L99:L113" si="52">(K99/$K$114)</f>
        <v>7.4219828122301908E-3</v>
      </c>
      <c r="M99" s="92">
        <v>103.66</v>
      </c>
      <c r="N99" s="92">
        <v>103.66</v>
      </c>
      <c r="O99" s="60">
        <v>410</v>
      </c>
      <c r="P99" s="82">
        <v>0</v>
      </c>
      <c r="Q99" s="82">
        <v>0.1419</v>
      </c>
      <c r="R99" s="87">
        <f t="shared" si="38"/>
        <v>-9.2593038143698979E-3</v>
      </c>
      <c r="S99" s="87">
        <f t="shared" si="39"/>
        <v>-7.4684029107621713E-3</v>
      </c>
      <c r="T99" s="87">
        <f t="shared" si="40"/>
        <v>0</v>
      </c>
      <c r="U99" s="88">
        <f t="shared" si="41"/>
        <v>-1.1000000000000001E-3</v>
      </c>
      <c r="V99" s="89">
        <f t="shared" si="42"/>
        <v>-1.1399999999999993E-2</v>
      </c>
    </row>
    <row r="100" spans="1:22">
      <c r="A100" s="178">
        <v>89</v>
      </c>
      <c r="B100" s="179" t="s">
        <v>158</v>
      </c>
      <c r="C100" s="180" t="s">
        <v>46</v>
      </c>
      <c r="D100" s="64">
        <v>58921705.590000004</v>
      </c>
      <c r="E100" s="59">
        <f t="shared" ref="E100:E113" si="53">(D100/$D$114)</f>
        <v>2.4181343397318498E-4</v>
      </c>
      <c r="F100" s="64">
        <v>12.028065</v>
      </c>
      <c r="G100" s="64">
        <v>12.7</v>
      </c>
      <c r="H100" s="60">
        <v>57</v>
      </c>
      <c r="I100" s="82">
        <v>4.5999999999999999E-3</v>
      </c>
      <c r="J100" s="82">
        <v>-8.6999999999999994E-3</v>
      </c>
      <c r="K100" s="64">
        <v>59073971.509999998</v>
      </c>
      <c r="L100" s="59">
        <f t="shared" si="52"/>
        <v>2.4658392381117489E-4</v>
      </c>
      <c r="M100" s="64">
        <v>12.06</v>
      </c>
      <c r="N100" s="64">
        <v>12.74</v>
      </c>
      <c r="O100" s="60">
        <v>57</v>
      </c>
      <c r="P100" s="82">
        <v>1.1999999999999999E-3</v>
      </c>
      <c r="Q100" s="82">
        <v>-6.4999999999999997E-3</v>
      </c>
      <c r="R100" s="87">
        <f t="shared" si="38"/>
        <v>2.5842076103417548E-3</v>
      </c>
      <c r="S100" s="87">
        <f t="shared" si="39"/>
        <v>3.1496062992126712E-3</v>
      </c>
      <c r="T100" s="87">
        <f t="shared" si="40"/>
        <v>0</v>
      </c>
      <c r="U100" s="88">
        <f t="shared" si="41"/>
        <v>-3.4000000000000002E-3</v>
      </c>
      <c r="V100" s="89">
        <f t="shared" si="42"/>
        <v>2.1999999999999997E-3</v>
      </c>
    </row>
    <row r="101" spans="1:22">
      <c r="A101" s="178">
        <v>90</v>
      </c>
      <c r="B101" s="179" t="s">
        <v>159</v>
      </c>
      <c r="C101" s="180" t="s">
        <v>160</v>
      </c>
      <c r="D101" s="64">
        <v>854916474.49000001</v>
      </c>
      <c r="E101" s="59">
        <f t="shared" si="53"/>
        <v>3.5085591360030362E-3</v>
      </c>
      <c r="F101" s="64">
        <v>153.88</v>
      </c>
      <c r="G101" s="64">
        <v>153.88</v>
      </c>
      <c r="H101" s="60">
        <v>173</v>
      </c>
      <c r="I101" s="82">
        <v>0.18010000000000001</v>
      </c>
      <c r="J101" s="82">
        <v>0.1928</v>
      </c>
      <c r="K101" s="64">
        <v>858758681.60000002</v>
      </c>
      <c r="L101" s="59">
        <f t="shared" si="52"/>
        <v>3.5845919937851733E-3</v>
      </c>
      <c r="M101" s="64">
        <v>154.51</v>
      </c>
      <c r="N101" s="64">
        <v>154.51</v>
      </c>
      <c r="O101" s="60">
        <v>173</v>
      </c>
      <c r="P101" s="82">
        <v>0.2641</v>
      </c>
      <c r="Q101" s="82">
        <v>0.19370000000000001</v>
      </c>
      <c r="R101" s="87">
        <f t="shared" si="38"/>
        <v>4.4942485314627733E-3</v>
      </c>
      <c r="S101" s="87">
        <f t="shared" si="39"/>
        <v>4.0940992981543765E-3</v>
      </c>
      <c r="T101" s="87">
        <f t="shared" si="40"/>
        <v>0</v>
      </c>
      <c r="U101" s="88">
        <f t="shared" si="41"/>
        <v>8.3999999999999991E-2</v>
      </c>
      <c r="V101" s="89">
        <f t="shared" si="42"/>
        <v>9.000000000000119E-4</v>
      </c>
    </row>
    <row r="102" spans="1:22">
      <c r="A102" s="178">
        <v>91</v>
      </c>
      <c r="B102" s="179" t="s">
        <v>161</v>
      </c>
      <c r="C102" s="180" t="s">
        <v>162</v>
      </c>
      <c r="D102" s="64">
        <v>9963132982.5258694</v>
      </c>
      <c r="E102" s="59">
        <f t="shared" si="53"/>
        <v>4.0888487112039157E-2</v>
      </c>
      <c r="F102" s="64">
        <v>1.1399999999999999</v>
      </c>
      <c r="G102" s="64">
        <v>1.1399999999999999</v>
      </c>
      <c r="H102" s="60">
        <v>5097</v>
      </c>
      <c r="I102" s="82">
        <v>0.1711</v>
      </c>
      <c r="J102" s="82">
        <v>0.1711</v>
      </c>
      <c r="K102" s="64">
        <v>10704274115.902201</v>
      </c>
      <c r="L102" s="59">
        <f t="shared" si="52"/>
        <v>4.4681301181904574E-2</v>
      </c>
      <c r="M102" s="64">
        <v>1.1399999999999999</v>
      </c>
      <c r="N102" s="64">
        <v>1.1399999999999999</v>
      </c>
      <c r="O102" s="60">
        <v>5109</v>
      </c>
      <c r="P102" s="82">
        <v>0.17130000000000001</v>
      </c>
      <c r="Q102" s="82">
        <v>0.17130000000000001</v>
      </c>
      <c r="R102" s="87">
        <f t="shared" si="38"/>
        <v>7.4388361038260076E-2</v>
      </c>
      <c r="S102" s="87">
        <f t="shared" si="39"/>
        <v>0</v>
      </c>
      <c r="T102" s="87">
        <f t="shared" si="40"/>
        <v>2.3543260741612712E-3</v>
      </c>
      <c r="U102" s="88">
        <f t="shared" si="41"/>
        <v>2.0000000000000573E-4</v>
      </c>
      <c r="V102" s="89">
        <f t="shared" si="42"/>
        <v>2.0000000000000573E-4</v>
      </c>
    </row>
    <row r="103" spans="1:22" ht="14.25" customHeight="1">
      <c r="A103" s="178">
        <v>92</v>
      </c>
      <c r="B103" s="179" t="s">
        <v>163</v>
      </c>
      <c r="C103" s="180" t="s">
        <v>50</v>
      </c>
      <c r="D103" s="64">
        <v>6905410281.6300001</v>
      </c>
      <c r="E103" s="59">
        <f t="shared" si="53"/>
        <v>2.8339657796295787E-2</v>
      </c>
      <c r="F103" s="64">
        <v>5176.09</v>
      </c>
      <c r="G103" s="64">
        <v>5176.09</v>
      </c>
      <c r="H103" s="60">
        <v>222</v>
      </c>
      <c r="I103" s="82">
        <v>1E-4</v>
      </c>
      <c r="J103" s="82">
        <v>4.0000000000000002E-4</v>
      </c>
      <c r="K103" s="64">
        <v>6904234872.3500004</v>
      </c>
      <c r="L103" s="59">
        <f t="shared" si="52"/>
        <v>2.8819347713058635E-2</v>
      </c>
      <c r="M103" s="64">
        <v>5176.09</v>
      </c>
      <c r="N103" s="64">
        <v>5176.09</v>
      </c>
      <c r="O103" s="60">
        <v>222</v>
      </c>
      <c r="P103" s="82">
        <v>0</v>
      </c>
      <c r="Q103" s="82">
        <v>1.6999999999999999E-3</v>
      </c>
      <c r="R103" s="87">
        <f t="shared" si="38"/>
        <v>-1.7021570508657472E-4</v>
      </c>
      <c r="S103" s="87">
        <f t="shared" si="39"/>
        <v>0</v>
      </c>
      <c r="T103" s="87">
        <f t="shared" si="40"/>
        <v>0</v>
      </c>
      <c r="U103" s="88">
        <f t="shared" si="41"/>
        <v>-1E-4</v>
      </c>
      <c r="V103" s="89">
        <f t="shared" si="42"/>
        <v>1.2999999999999999E-3</v>
      </c>
    </row>
    <row r="104" spans="1:22" ht="13.5" customHeight="1">
      <c r="A104" s="178">
        <v>93</v>
      </c>
      <c r="B104" s="179" t="s">
        <v>164</v>
      </c>
      <c r="C104" s="180" t="s">
        <v>50</v>
      </c>
      <c r="D104" s="64">
        <v>15769082668.110001</v>
      </c>
      <c r="E104" s="59">
        <f t="shared" si="53"/>
        <v>6.4715981867807179E-2</v>
      </c>
      <c r="F104" s="92">
        <v>259.23</v>
      </c>
      <c r="G104" s="92">
        <v>259.23</v>
      </c>
      <c r="H104" s="60">
        <v>6061</v>
      </c>
      <c r="I104" s="82">
        <v>1E-4</v>
      </c>
      <c r="J104" s="82">
        <v>5.9999999999999995E-4</v>
      </c>
      <c r="K104" s="64">
        <v>15758898486.440001</v>
      </c>
      <c r="L104" s="59">
        <f t="shared" si="52"/>
        <v>6.5780087649440669E-2</v>
      </c>
      <c r="M104" s="92">
        <v>259.24</v>
      </c>
      <c r="N104" s="92">
        <v>259.24</v>
      </c>
      <c r="O104" s="60">
        <v>6060</v>
      </c>
      <c r="P104" s="82">
        <v>0</v>
      </c>
      <c r="Q104" s="82">
        <v>1.5E-3</v>
      </c>
      <c r="R104" s="87">
        <f t="shared" si="38"/>
        <v>-6.4583222019602097E-4</v>
      </c>
      <c r="S104" s="87">
        <f t="shared" si="39"/>
        <v>3.8575782123947478E-5</v>
      </c>
      <c r="T104" s="87">
        <f t="shared" si="40"/>
        <v>-1.6498927569707968E-4</v>
      </c>
      <c r="U104" s="88">
        <f t="shared" si="41"/>
        <v>-1E-4</v>
      </c>
      <c r="V104" s="89">
        <f t="shared" si="42"/>
        <v>9.0000000000000008E-4</v>
      </c>
    </row>
    <row r="105" spans="1:22" ht="13.5" customHeight="1">
      <c r="A105" s="178">
        <v>94</v>
      </c>
      <c r="B105" s="179" t="s">
        <v>165</v>
      </c>
      <c r="C105" s="180" t="s">
        <v>50</v>
      </c>
      <c r="D105" s="64">
        <v>562932683.63999999</v>
      </c>
      <c r="E105" s="59">
        <f t="shared" si="53"/>
        <v>2.3102638317012941E-3</v>
      </c>
      <c r="F105" s="63">
        <v>9299.32</v>
      </c>
      <c r="G105" s="63">
        <v>9336.5300000000007</v>
      </c>
      <c r="H105" s="60">
        <v>15</v>
      </c>
      <c r="I105" s="82">
        <v>4.1000000000000003E-3</v>
      </c>
      <c r="J105" s="82">
        <v>7.4999999999999997E-2</v>
      </c>
      <c r="K105" s="64">
        <v>567251618.88</v>
      </c>
      <c r="L105" s="59">
        <f t="shared" si="52"/>
        <v>2.3677962797539961E-3</v>
      </c>
      <c r="M105" s="63">
        <v>9370.23</v>
      </c>
      <c r="N105" s="63">
        <v>9408.4599999999991</v>
      </c>
      <c r="O105" s="60">
        <v>15</v>
      </c>
      <c r="P105" s="82">
        <v>7.7000000000000002E-3</v>
      </c>
      <c r="Q105" s="82">
        <v>0.37890000000000001</v>
      </c>
      <c r="R105" s="87">
        <f t="shared" si="38"/>
        <v>7.6722055150061311E-3</v>
      </c>
      <c r="S105" s="87">
        <f t="shared" si="39"/>
        <v>7.7041470439230065E-3</v>
      </c>
      <c r="T105" s="87">
        <f t="shared" si="40"/>
        <v>0</v>
      </c>
      <c r="U105" s="88">
        <f t="shared" si="41"/>
        <v>3.5999999999999999E-3</v>
      </c>
      <c r="V105" s="89">
        <f t="shared" si="42"/>
        <v>0.3039</v>
      </c>
    </row>
    <row r="106" spans="1:22" ht="15" customHeight="1">
      <c r="A106" s="178">
        <v>95</v>
      </c>
      <c r="B106" s="179" t="s">
        <v>166</v>
      </c>
      <c r="C106" s="180" t="s">
        <v>50</v>
      </c>
      <c r="D106" s="64">
        <v>6379319565.2200003</v>
      </c>
      <c r="E106" s="59">
        <f t="shared" si="53"/>
        <v>2.6180592619165107E-2</v>
      </c>
      <c r="F106" s="92">
        <v>159.36000000000001</v>
      </c>
      <c r="G106" s="92">
        <v>159.36000000000001</v>
      </c>
      <c r="H106" s="60">
        <v>5208</v>
      </c>
      <c r="I106" s="82">
        <v>3.0000000000000001E-3</v>
      </c>
      <c r="J106" s="82">
        <v>2.7199999999999998E-2</v>
      </c>
      <c r="K106" s="64">
        <v>6419003171.3800001</v>
      </c>
      <c r="L106" s="59">
        <f t="shared" si="52"/>
        <v>2.6793915297997475E-2</v>
      </c>
      <c r="M106" s="92">
        <v>159.81</v>
      </c>
      <c r="N106" s="92">
        <v>159.81</v>
      </c>
      <c r="O106" s="60">
        <v>5247</v>
      </c>
      <c r="P106" s="82">
        <v>2.8E-3</v>
      </c>
      <c r="Q106" s="82">
        <v>0.15909999999999999</v>
      </c>
      <c r="R106" s="87">
        <f t="shared" si="38"/>
        <v>6.2206644069619198E-3</v>
      </c>
      <c r="S106" s="87">
        <f t="shared" si="39"/>
        <v>2.82379518072282E-3</v>
      </c>
      <c r="T106" s="87">
        <f t="shared" si="40"/>
        <v>7.4884792626728107E-3</v>
      </c>
      <c r="U106" s="88">
        <f t="shared" si="41"/>
        <v>-2.0000000000000009E-4</v>
      </c>
      <c r="V106" s="89">
        <f t="shared" si="42"/>
        <v>0.13189999999999999</v>
      </c>
    </row>
    <row r="107" spans="1:22" ht="15" customHeight="1">
      <c r="A107" s="178">
        <v>96</v>
      </c>
      <c r="B107" s="179" t="s">
        <v>167</v>
      </c>
      <c r="C107" s="180" t="s">
        <v>50</v>
      </c>
      <c r="D107" s="64">
        <v>6164415535.6300001</v>
      </c>
      <c r="E107" s="59">
        <f t="shared" si="53"/>
        <v>2.5298631025394602E-2</v>
      </c>
      <c r="F107" s="92">
        <v>381.45</v>
      </c>
      <c r="G107" s="92">
        <v>381.93</v>
      </c>
      <c r="H107" s="60">
        <v>10772</v>
      </c>
      <c r="I107" s="82">
        <v>-2.7000000000000001E-3</v>
      </c>
      <c r="J107" s="82">
        <v>1.6799999999999999E-2</v>
      </c>
      <c r="K107" s="64">
        <v>6194101234.8199997</v>
      </c>
      <c r="L107" s="59">
        <f t="shared" si="52"/>
        <v>2.5855139715923924E-2</v>
      </c>
      <c r="M107" s="92">
        <v>382.93</v>
      </c>
      <c r="N107" s="92">
        <v>383.43</v>
      </c>
      <c r="O107" s="60">
        <v>10817</v>
      </c>
      <c r="P107" s="82">
        <v>3.8999999999999998E-3</v>
      </c>
      <c r="Q107" s="82">
        <v>8.2400000000000001E-2</v>
      </c>
      <c r="R107" s="87">
        <f t="shared" si="38"/>
        <v>4.8156551125435633E-3</v>
      </c>
      <c r="S107" s="87">
        <f t="shared" si="39"/>
        <v>3.9274212552038333E-3</v>
      </c>
      <c r="T107" s="87">
        <f t="shared" si="40"/>
        <v>4.1774972150018571E-3</v>
      </c>
      <c r="U107" s="88">
        <f t="shared" si="41"/>
        <v>6.6E-3</v>
      </c>
      <c r="V107" s="89">
        <f t="shared" si="42"/>
        <v>6.5600000000000006E-2</v>
      </c>
    </row>
    <row r="108" spans="1:22" ht="15" customHeight="1">
      <c r="A108" s="178">
        <v>97</v>
      </c>
      <c r="B108" s="179" t="s">
        <v>168</v>
      </c>
      <c r="C108" s="180" t="s">
        <v>119</v>
      </c>
      <c r="D108" s="64">
        <v>93074516.209999993</v>
      </c>
      <c r="E108" s="59">
        <f t="shared" si="53"/>
        <v>3.8197584667258382E-4</v>
      </c>
      <c r="F108" s="92">
        <v>113.7299</v>
      </c>
      <c r="G108" s="92">
        <v>113.7299</v>
      </c>
      <c r="H108" s="60">
        <v>23</v>
      </c>
      <c r="I108" s="82">
        <v>-6.9999999999999994E-5</v>
      </c>
      <c r="J108" s="82">
        <v>0.29307</v>
      </c>
      <c r="K108" s="64">
        <v>93365660.5</v>
      </c>
      <c r="L108" s="59">
        <f t="shared" si="52"/>
        <v>3.8972275482468275E-4</v>
      </c>
      <c r="M108" s="92">
        <v>114.0857</v>
      </c>
      <c r="N108" s="92">
        <v>114.0857</v>
      </c>
      <c r="O108" s="60">
        <v>23</v>
      </c>
      <c r="P108" s="82">
        <v>0.17563999999999999</v>
      </c>
      <c r="Q108" s="82">
        <v>0.2888</v>
      </c>
      <c r="R108" s="87">
        <f t="shared" ref="R108" si="54">((K108-D108)/D108)</f>
        <v>3.1280773927753794E-3</v>
      </c>
      <c r="S108" s="87">
        <f t="shared" ref="S108" si="55">((N108-G108)/G108)</f>
        <v>3.1284648979731989E-3</v>
      </c>
      <c r="T108" s="87">
        <f t="shared" ref="T108" si="56">((O108-H108)/H108)</f>
        <v>0</v>
      </c>
      <c r="U108" s="88">
        <f t="shared" ref="U108" si="57">P108-I108</f>
        <v>0.17570999999999998</v>
      </c>
      <c r="V108" s="89">
        <f t="shared" ref="V108" si="58">Q108-J108</f>
        <v>-4.269999999999996E-3</v>
      </c>
    </row>
    <row r="109" spans="1:22">
      <c r="A109" s="178">
        <v>98</v>
      </c>
      <c r="B109" s="179" t="s">
        <v>169</v>
      </c>
      <c r="C109" s="180" t="s">
        <v>53</v>
      </c>
      <c r="D109" s="64">
        <v>85313509275.460007</v>
      </c>
      <c r="E109" s="59">
        <f t="shared" si="53"/>
        <v>0.35012483830243024</v>
      </c>
      <c r="F109" s="64">
        <v>1.9655</v>
      </c>
      <c r="G109" s="64">
        <v>1.9655</v>
      </c>
      <c r="H109" s="60">
        <v>6814</v>
      </c>
      <c r="I109" s="82">
        <v>1.5E-3</v>
      </c>
      <c r="J109" s="82">
        <v>8.48E-2</v>
      </c>
      <c r="K109" s="64">
        <v>84036990015.779999</v>
      </c>
      <c r="L109" s="59">
        <f t="shared" si="52"/>
        <v>0.35078343665896455</v>
      </c>
      <c r="M109" s="64">
        <v>1.9676</v>
      </c>
      <c r="N109" s="64">
        <v>1.9676</v>
      </c>
      <c r="O109" s="60">
        <v>6824</v>
      </c>
      <c r="P109" s="82">
        <v>1.1000000000000001E-3</v>
      </c>
      <c r="Q109" s="82">
        <v>8.4099999999999994E-2</v>
      </c>
      <c r="R109" s="87">
        <f t="shared" si="38"/>
        <v>-1.4962686103538261E-2</v>
      </c>
      <c r="S109" s="87">
        <f t="shared" si="39"/>
        <v>1.0684304248282832E-3</v>
      </c>
      <c r="T109" s="87">
        <f t="shared" si="40"/>
        <v>1.4675667742882301E-3</v>
      </c>
      <c r="U109" s="88">
        <f t="shared" si="41"/>
        <v>-3.9999999999999996E-4</v>
      </c>
      <c r="V109" s="89">
        <f t="shared" si="42"/>
        <v>-7.0000000000000617E-4</v>
      </c>
    </row>
    <row r="110" spans="1:22">
      <c r="A110" s="178">
        <v>99</v>
      </c>
      <c r="B110" s="179" t="s">
        <v>170</v>
      </c>
      <c r="C110" s="180" t="s">
        <v>53</v>
      </c>
      <c r="D110" s="64">
        <v>64122966086.150002</v>
      </c>
      <c r="E110" s="59">
        <f t="shared" si="53"/>
        <v>0.26315929708032082</v>
      </c>
      <c r="F110" s="64">
        <v>127.1512</v>
      </c>
      <c r="G110" s="64">
        <v>127.1512</v>
      </c>
      <c r="H110" s="60">
        <v>1107</v>
      </c>
      <c r="I110" s="82">
        <v>2.5999999999999999E-3</v>
      </c>
      <c r="J110" s="82">
        <v>0.20080000000000001</v>
      </c>
      <c r="K110" s="64">
        <v>60502783047.5</v>
      </c>
      <c r="L110" s="59">
        <f t="shared" si="52"/>
        <v>0.25254800488271395</v>
      </c>
      <c r="M110" s="64">
        <v>127.56789999999999</v>
      </c>
      <c r="N110" s="64">
        <v>127.56789999999999</v>
      </c>
      <c r="O110" s="60">
        <v>1124</v>
      </c>
      <c r="P110" s="82">
        <v>3.3E-3</v>
      </c>
      <c r="Q110" s="82">
        <v>0.20050000000000001</v>
      </c>
      <c r="R110" s="87">
        <f t="shared" ref="R110:R112" si="59">((K110-D110)/D110)</f>
        <v>-5.6456886816281089E-2</v>
      </c>
      <c r="S110" s="87">
        <f t="shared" ref="S110:S112" si="60">((N110-G110)/G110)</f>
        <v>3.2772006870559747E-3</v>
      </c>
      <c r="T110" s="87">
        <f t="shared" ref="T110:T112" si="61">((O110-H110)/H110)</f>
        <v>1.5356820234869015E-2</v>
      </c>
      <c r="U110" s="88">
        <f t="shared" ref="U110:U112" si="62">P110-I110</f>
        <v>7.000000000000001E-4</v>
      </c>
      <c r="V110" s="89">
        <f t="shared" ref="V110:V112" si="63">Q110-J110</f>
        <v>-2.9999999999999472E-4</v>
      </c>
    </row>
    <row r="111" spans="1:22">
      <c r="A111" s="178">
        <v>100</v>
      </c>
      <c r="B111" s="179" t="s">
        <v>171</v>
      </c>
      <c r="C111" s="179" t="s">
        <v>172</v>
      </c>
      <c r="D111" s="64">
        <v>108219505.5</v>
      </c>
      <c r="E111" s="59">
        <f t="shared" si="53"/>
        <v>4.4413056251169146E-4</v>
      </c>
      <c r="F111" s="64">
        <v>115.57769999999999</v>
      </c>
      <c r="G111" s="64">
        <v>115.57769999999999</v>
      </c>
      <c r="H111" s="94">
        <v>81</v>
      </c>
      <c r="I111" s="96">
        <v>-4.0000000000000002E-4</v>
      </c>
      <c r="J111" s="96">
        <v>4.6899999999999997E-2</v>
      </c>
      <c r="K111" s="64">
        <v>114887461.08</v>
      </c>
      <c r="L111" s="59">
        <f t="shared" si="52"/>
        <v>4.7955809006364946E-4</v>
      </c>
      <c r="M111" s="64">
        <v>116.005403998277</v>
      </c>
      <c r="N111" s="64">
        <v>116.005403998277</v>
      </c>
      <c r="O111" s="94">
        <v>87</v>
      </c>
      <c r="P111" s="96">
        <v>3.3E-3</v>
      </c>
      <c r="Q111" s="96">
        <v>5.0700000000000002E-2</v>
      </c>
      <c r="R111" s="87">
        <f t="shared" si="59"/>
        <v>6.1615099322367521E-2</v>
      </c>
      <c r="S111" s="87">
        <f t="shared" si="60"/>
        <v>3.700575442122577E-3</v>
      </c>
      <c r="T111" s="87">
        <f t="shared" si="61"/>
        <v>7.407407407407407E-2</v>
      </c>
      <c r="U111" s="88">
        <f t="shared" si="62"/>
        <v>3.7000000000000002E-3</v>
      </c>
      <c r="V111" s="89">
        <f t="shared" si="63"/>
        <v>3.8000000000000048E-3</v>
      </c>
    </row>
    <row r="112" spans="1:22">
      <c r="A112" s="178">
        <v>101</v>
      </c>
      <c r="B112" s="179" t="s">
        <v>173</v>
      </c>
      <c r="C112" s="180" t="s">
        <v>126</v>
      </c>
      <c r="D112" s="64">
        <v>361171137.29000002</v>
      </c>
      <c r="E112" s="59">
        <f t="shared" si="53"/>
        <v>1.4822387112792255E-3</v>
      </c>
      <c r="F112" s="64">
        <v>1.4</v>
      </c>
      <c r="G112" s="64">
        <v>1.4</v>
      </c>
      <c r="H112" s="60">
        <v>710</v>
      </c>
      <c r="I112" s="82">
        <v>-1.6000000000000001E-3</v>
      </c>
      <c r="J112" s="82">
        <v>0.29749999999999999</v>
      </c>
      <c r="K112" s="64">
        <v>359004611.29000002</v>
      </c>
      <c r="L112" s="59">
        <f t="shared" si="52"/>
        <v>1.4985409556086545E-3</v>
      </c>
      <c r="M112" s="64">
        <v>1.37</v>
      </c>
      <c r="N112" s="64">
        <v>1.37</v>
      </c>
      <c r="O112" s="60">
        <v>721</v>
      </c>
      <c r="P112" s="82">
        <v>-2.06E-2</v>
      </c>
      <c r="Q112" s="82">
        <v>0.2717</v>
      </c>
      <c r="R112" s="87">
        <f t="shared" si="59"/>
        <v>-5.9986133339896483E-3</v>
      </c>
      <c r="S112" s="87">
        <f t="shared" si="60"/>
        <v>-2.142857142857129E-2</v>
      </c>
      <c r="T112" s="87">
        <f t="shared" si="61"/>
        <v>1.5492957746478873E-2</v>
      </c>
      <c r="U112" s="88">
        <f t="shared" si="62"/>
        <v>-1.9E-2</v>
      </c>
      <c r="V112" s="89">
        <f t="shared" si="63"/>
        <v>-2.579999999999999E-2</v>
      </c>
    </row>
    <row r="113" spans="1:28">
      <c r="A113" s="178">
        <v>102</v>
      </c>
      <c r="B113" s="179" t="s">
        <v>174</v>
      </c>
      <c r="C113" s="180" t="s">
        <v>128</v>
      </c>
      <c r="D113" s="64">
        <v>1993010074.1400001</v>
      </c>
      <c r="E113" s="59">
        <f t="shared" si="53"/>
        <v>8.1792712065133777E-3</v>
      </c>
      <c r="F113" s="92">
        <v>30.274000000000001</v>
      </c>
      <c r="G113" s="92">
        <v>30.274000000000001</v>
      </c>
      <c r="H113" s="60">
        <v>1297</v>
      </c>
      <c r="I113" s="82">
        <v>0</v>
      </c>
      <c r="J113" s="82">
        <v>0.1094</v>
      </c>
      <c r="K113" s="64">
        <v>1997793356.29</v>
      </c>
      <c r="L113" s="59">
        <f t="shared" si="52"/>
        <v>8.3390994741989501E-3</v>
      </c>
      <c r="M113" s="92">
        <v>30.325700000000001</v>
      </c>
      <c r="N113" s="92">
        <v>30.325700000000001</v>
      </c>
      <c r="O113" s="60">
        <v>1299</v>
      </c>
      <c r="P113" s="82">
        <v>0</v>
      </c>
      <c r="Q113" s="82">
        <v>0.10920000000000001</v>
      </c>
      <c r="R113" s="87">
        <f t="shared" si="38"/>
        <v>2.4000290876923349E-3</v>
      </c>
      <c r="S113" s="87">
        <f t="shared" si="39"/>
        <v>1.7077360110986425E-3</v>
      </c>
      <c r="T113" s="87">
        <f t="shared" si="40"/>
        <v>1.5420200462606013E-3</v>
      </c>
      <c r="U113" s="88">
        <f t="shared" si="41"/>
        <v>0</v>
      </c>
      <c r="V113" s="89">
        <f t="shared" si="42"/>
        <v>-1.9999999999999185E-4</v>
      </c>
    </row>
    <row r="114" spans="1:28">
      <c r="A114" s="67"/>
      <c r="B114" s="68"/>
      <c r="C114" s="69" t="s">
        <v>56</v>
      </c>
      <c r="D114" s="91">
        <f>SUM(D75:D113)</f>
        <v>243665972654.49658</v>
      </c>
      <c r="E114" s="71">
        <f>(D114/$D$231)</f>
        <v>3.2854394977678947E-2</v>
      </c>
      <c r="F114" s="72"/>
      <c r="G114" s="77"/>
      <c r="H114" s="74">
        <f>SUM(H75:H113)</f>
        <v>56709</v>
      </c>
      <c r="I114" s="85"/>
      <c r="J114" s="85"/>
      <c r="K114" s="91">
        <f>SUM(K75:K113)</f>
        <v>239569435821.11508</v>
      </c>
      <c r="L114" s="71">
        <f>(K114/$K$231)</f>
        <v>3.2056817395110043E-2</v>
      </c>
      <c r="M114" s="72"/>
      <c r="N114" s="77"/>
      <c r="O114" s="74">
        <f>SUM(O75:O113)</f>
        <v>56883</v>
      </c>
      <c r="P114" s="85"/>
      <c r="Q114" s="85"/>
      <c r="R114" s="87">
        <f t="shared" si="38"/>
        <v>-1.681210055205426E-2</v>
      </c>
      <c r="S114" s="87" t="e">
        <f t="shared" si="39"/>
        <v>#DIV/0!</v>
      </c>
      <c r="T114" s="87">
        <f t="shared" si="40"/>
        <v>3.0682960376659791E-3</v>
      </c>
      <c r="U114" s="88">
        <f t="shared" si="41"/>
        <v>0</v>
      </c>
      <c r="V114" s="89">
        <f t="shared" si="42"/>
        <v>0</v>
      </c>
    </row>
    <row r="115" spans="1:28" ht="3.75" customHeight="1">
      <c r="A115" s="67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8" ht="15" customHeight="1">
      <c r="A116" s="192" t="s">
        <v>175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>
      <c r="A117" s="194" t="s">
        <v>176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Z117" s="97"/>
      <c r="AB117" s="99"/>
    </row>
    <row r="118" spans="1:28" ht="16.5" customHeight="1">
      <c r="A118" s="178">
        <v>103</v>
      </c>
      <c r="B118" s="179" t="s">
        <v>177</v>
      </c>
      <c r="C118" s="180" t="s">
        <v>20</v>
      </c>
      <c r="D118" s="64">
        <v>2824664790.5464659</v>
      </c>
      <c r="E118" s="59">
        <f t="shared" ref="E118:E123" si="64">(D118/$D$156)</f>
        <v>1.485861513315293E-3</v>
      </c>
      <c r="F118" s="64">
        <v>165682.93073093999</v>
      </c>
      <c r="G118" s="64">
        <v>165682.93073093999</v>
      </c>
      <c r="H118" s="60">
        <v>174</v>
      </c>
      <c r="I118" s="82">
        <v>8.9999999999999998E-4</v>
      </c>
      <c r="J118" s="82">
        <v>5.7599999999999998E-2</v>
      </c>
      <c r="K118" s="64">
        <v>2829007088</v>
      </c>
      <c r="L118" s="59">
        <f t="shared" ref="L118:L134" si="65">(K118/$K$156)</f>
        <v>1.4810677079971466E-3</v>
      </c>
      <c r="M118" s="186">
        <v>114.48</v>
      </c>
      <c r="N118" s="64">
        <v>114.5214</v>
      </c>
      <c r="O118" s="60">
        <v>174</v>
      </c>
      <c r="P118" s="82">
        <v>-4.0000000000000002E-4</v>
      </c>
      <c r="Q118" s="82">
        <v>5.7299999999999997E-2</v>
      </c>
      <c r="R118" s="87">
        <f>((K118-D118)/D118)</f>
        <v>1.5372788544916354E-3</v>
      </c>
      <c r="S118" s="87">
        <f>((N118-G118)/G118)</f>
        <v>-0.99930879180193899</v>
      </c>
      <c r="T118" s="87">
        <f>((O118-H118)/H118)</f>
        <v>0</v>
      </c>
      <c r="U118" s="87">
        <f>P118-I118</f>
        <v>-1.2999999999999999E-3</v>
      </c>
      <c r="V118" s="134">
        <f>Q118-J118</f>
        <v>-3.0000000000000165E-4</v>
      </c>
      <c r="X118" s="97"/>
      <c r="Y118" s="100"/>
      <c r="Z118" s="97"/>
      <c r="AA118" s="101"/>
    </row>
    <row r="119" spans="1:28" ht="16.5" customHeight="1">
      <c r="A119" s="178">
        <v>104</v>
      </c>
      <c r="B119" s="179" t="s">
        <v>178</v>
      </c>
      <c r="C119" s="180" t="s">
        <v>60</v>
      </c>
      <c r="D119" s="64">
        <v>5455346566.4583664</v>
      </c>
      <c r="E119" s="59">
        <f t="shared" si="64"/>
        <v>2.8696819289941418E-3</v>
      </c>
      <c r="F119" s="64">
        <v>144674.21</v>
      </c>
      <c r="G119" s="64">
        <v>144674.21</v>
      </c>
      <c r="H119" s="60">
        <v>95</v>
      </c>
      <c r="I119" s="82">
        <v>-1.2043E-2</v>
      </c>
      <c r="J119" s="82">
        <v>6.5386E-2</v>
      </c>
      <c r="K119" s="64">
        <f>3985960.05*W137</f>
        <v>5781350853.5734348</v>
      </c>
      <c r="L119" s="59">
        <f t="shared" si="65"/>
        <v>3.0267057633576898E-3</v>
      </c>
      <c r="M119" s="64">
        <f>100*W137</f>
        <v>145042.87</v>
      </c>
      <c r="N119" s="64">
        <f>100*W137</f>
        <v>145042.87</v>
      </c>
      <c r="O119" s="60">
        <v>96</v>
      </c>
      <c r="P119" s="82">
        <v>1.1528E-2</v>
      </c>
      <c r="Q119" s="82">
        <v>7.6912999999999995E-2</v>
      </c>
      <c r="R119" s="88">
        <f>((K119-D119)/D119)</f>
        <v>5.9758675850123261E-2</v>
      </c>
      <c r="S119" s="88">
        <f>((N119-G119)/G119)</f>
        <v>2.5482081429717396E-3</v>
      </c>
      <c r="T119" s="88">
        <f>((O119-H119)/H119)</f>
        <v>1.0526315789473684E-2</v>
      </c>
      <c r="U119" s="88">
        <f>P119-I119</f>
        <v>2.3571000000000002E-2</v>
      </c>
      <c r="V119" s="89">
        <f>Q119-J119</f>
        <v>1.1526999999999996E-2</v>
      </c>
      <c r="X119" s="97"/>
      <c r="Y119" s="100"/>
      <c r="Z119" s="97"/>
      <c r="AA119" s="101"/>
    </row>
    <row r="120" spans="1:28">
      <c r="A120" s="178">
        <v>105</v>
      </c>
      <c r="B120" s="179" t="s">
        <v>179</v>
      </c>
      <c r="C120" s="180" t="s">
        <v>24</v>
      </c>
      <c r="D120" s="64">
        <v>17208596691.079929</v>
      </c>
      <c r="E120" s="59">
        <f t="shared" si="64"/>
        <v>9.0522569640887618E-3</v>
      </c>
      <c r="F120" s="64">
        <v>1765.3147104199998</v>
      </c>
      <c r="G120" s="64">
        <v>1765.3147104199998</v>
      </c>
      <c r="H120" s="60">
        <v>323</v>
      </c>
      <c r="I120" s="82">
        <v>0.18440000000000001</v>
      </c>
      <c r="J120" s="82">
        <v>8.1600000000000006E-2</v>
      </c>
      <c r="K120" s="64">
        <f>11861386.35*W137</f>
        <v>17204095183.828243</v>
      </c>
      <c r="L120" s="59">
        <f t="shared" si="65"/>
        <v>9.0068455219357319E-3</v>
      </c>
      <c r="M120" s="64">
        <f>1.2245*W137</f>
        <v>1776.0499431499998</v>
      </c>
      <c r="N120" s="64">
        <f>1.2245*W137</f>
        <v>1776.0499431499998</v>
      </c>
      <c r="O120" s="60">
        <v>322</v>
      </c>
      <c r="P120" s="82">
        <v>0.18379999999999999</v>
      </c>
      <c r="Q120" s="82">
        <v>8.4000000000000005E-2</v>
      </c>
      <c r="R120" s="88">
        <f t="shared" ref="R120:R132" si="66">((K120-D120)/D120)</f>
        <v>-2.6158479581426017E-4</v>
      </c>
      <c r="S120" s="88">
        <f t="shared" ref="S120:S132" si="67">((N120-G120)/G120)</f>
        <v>6.0812005171847821E-3</v>
      </c>
      <c r="T120" s="88">
        <f t="shared" ref="T120:T132" si="68">((O120-H120)/H120)</f>
        <v>-3.0959752321981426E-3</v>
      </c>
      <c r="U120" s="88">
        <f t="shared" ref="U120:U132" si="69">P120-I120</f>
        <v>-6.0000000000001719E-4</v>
      </c>
      <c r="V120" s="89">
        <f t="shared" ref="V120:V132" si="70">Q120-J120</f>
        <v>2.3999999999999994E-3</v>
      </c>
    </row>
    <row r="121" spans="1:28">
      <c r="A121" s="178">
        <v>106</v>
      </c>
      <c r="B121" s="179" t="s">
        <v>180</v>
      </c>
      <c r="C121" s="180" t="s">
        <v>24</v>
      </c>
      <c r="D121" s="64">
        <v>4138867316.7147417</v>
      </c>
      <c r="E121" s="59">
        <f t="shared" si="64"/>
        <v>2.1771729074568247E-3</v>
      </c>
      <c r="F121" s="64">
        <v>1512.2795171299997</v>
      </c>
      <c r="G121" s="64">
        <v>1512.2795171299997</v>
      </c>
      <c r="H121" s="60">
        <v>97</v>
      </c>
      <c r="I121" s="82">
        <v>0.1</v>
      </c>
      <c r="J121" s="82">
        <v>4.9799999999999997E-2</v>
      </c>
      <c r="K121" s="64">
        <f>2878588.46*W137</f>
        <v>4175187317.8728018</v>
      </c>
      <c r="L121" s="59">
        <f t="shared" si="65"/>
        <v>2.1858323146557719E-3</v>
      </c>
      <c r="M121" s="64">
        <f>1.0473*W137</f>
        <v>1519.0339775099999</v>
      </c>
      <c r="N121" s="64">
        <f>1.0473*W137</f>
        <v>1519.0339775099999</v>
      </c>
      <c r="O121" s="60">
        <v>101</v>
      </c>
      <c r="P121" s="82">
        <v>9.98E-2</v>
      </c>
      <c r="Q121" s="82">
        <v>5.0900000000000001E-2</v>
      </c>
      <c r="R121" s="88">
        <f t="shared" si="66"/>
        <v>8.775348030941316E-3</v>
      </c>
      <c r="S121" s="88">
        <f t="shared" ref="S121" si="71">((N121-G121)/G121)</f>
        <v>4.4664100144785274E-3</v>
      </c>
      <c r="T121" s="88">
        <f t="shared" ref="T121" si="72">((O121-H121)/H121)</f>
        <v>4.1237113402061855E-2</v>
      </c>
      <c r="U121" s="88">
        <f t="shared" ref="U121" si="73">P121-I121</f>
        <v>-2.0000000000000573E-4</v>
      </c>
      <c r="V121" s="89">
        <f t="shared" ref="V121" si="74">Q121-J121</f>
        <v>1.1000000000000038E-3</v>
      </c>
    </row>
    <row r="122" spans="1:28">
      <c r="A122" s="178">
        <v>107</v>
      </c>
      <c r="B122" s="179" t="s">
        <v>181</v>
      </c>
      <c r="C122" s="180" t="s">
        <v>28</v>
      </c>
      <c r="D122" s="64">
        <v>38901029755.475624</v>
      </c>
      <c r="E122" s="59">
        <f t="shared" si="64"/>
        <v>2.0463151286284786E-2</v>
      </c>
      <c r="F122" s="64">
        <v>1595.1778394599999</v>
      </c>
      <c r="G122" s="64">
        <v>1595.1778394599999</v>
      </c>
      <c r="H122" s="60">
        <v>601</v>
      </c>
      <c r="I122" s="82">
        <v>1.5E-3</v>
      </c>
      <c r="J122" s="82">
        <v>9.1200000000000003E-2</v>
      </c>
      <c r="K122" s="64">
        <f>28286024.07*W137</f>
        <v>41026861120.018806</v>
      </c>
      <c r="L122" s="59">
        <f t="shared" si="65"/>
        <v>2.1478758191553707E-2</v>
      </c>
      <c r="M122" s="64">
        <f xml:space="preserve"> 1.1044*W137</f>
        <v>1601.85345628</v>
      </c>
      <c r="N122" s="64">
        <f xml:space="preserve"> 1.1044*W137</f>
        <v>1601.85345628</v>
      </c>
      <c r="O122" s="60">
        <v>611</v>
      </c>
      <c r="P122" s="82">
        <v>1.6000000000000001E-3</v>
      </c>
      <c r="Q122" s="82">
        <v>9.2399999999999996E-2</v>
      </c>
      <c r="R122" s="88">
        <f t="shared" si="66"/>
        <v>5.4647174583956994E-2</v>
      </c>
      <c r="S122" s="88">
        <f t="shared" ref="S122:T125" si="75">((N122-G122)/G122)</f>
        <v>4.1848730936859171E-3</v>
      </c>
      <c r="T122" s="88">
        <f t="shared" si="75"/>
        <v>1.6638935108153077E-2</v>
      </c>
      <c r="U122" s="88">
        <f t="shared" si="69"/>
        <v>1.0000000000000005E-4</v>
      </c>
      <c r="V122" s="89">
        <f t="shared" si="70"/>
        <v>1.1999999999999927E-3</v>
      </c>
    </row>
    <row r="123" spans="1:28">
      <c r="A123" s="178">
        <v>108</v>
      </c>
      <c r="B123" s="179" t="s">
        <v>182</v>
      </c>
      <c r="C123" s="180" t="s">
        <v>69</v>
      </c>
      <c r="D123" s="64">
        <v>1380398326.6931438</v>
      </c>
      <c r="E123" s="59">
        <f t="shared" si="64"/>
        <v>7.2613244358859532E-4</v>
      </c>
      <c r="F123" s="64">
        <v>1617.74701622</v>
      </c>
      <c r="G123" s="64">
        <v>1634.8185729999998</v>
      </c>
      <c r="H123" s="60">
        <v>63</v>
      </c>
      <c r="I123" s="82">
        <v>3.7799999999999999E-3</v>
      </c>
      <c r="J123" s="82">
        <v>0.1241</v>
      </c>
      <c r="K123" s="64">
        <f>960502 *W137</f>
        <v>1393139667.2073998</v>
      </c>
      <c r="L123" s="59">
        <f t="shared" si="65"/>
        <v>7.2934924149994614E-4</v>
      </c>
      <c r="M123" s="64">
        <f>1.1263*W137</f>
        <v>1633.61784481</v>
      </c>
      <c r="N123" s="64">
        <f>1.13*W137</f>
        <v>1638.9844309999999</v>
      </c>
      <c r="O123" s="60">
        <v>63</v>
      </c>
      <c r="P123" s="82">
        <v>9.9399999999999992E-3</v>
      </c>
      <c r="Q123" s="82">
        <v>0.12970000000000001</v>
      </c>
      <c r="R123" s="88">
        <f t="shared" si="66"/>
        <v>9.2301912193554422E-3</v>
      </c>
      <c r="S123" s="88">
        <f t="shared" si="75"/>
        <v>2.5482081429717596E-3</v>
      </c>
      <c r="T123" s="88">
        <f t="shared" si="75"/>
        <v>0</v>
      </c>
      <c r="U123" s="88">
        <f t="shared" si="69"/>
        <v>6.1599999999999988E-3</v>
      </c>
      <c r="V123" s="89">
        <f t="shared" si="70"/>
        <v>5.6000000000000077E-3</v>
      </c>
    </row>
    <row r="124" spans="1:28">
      <c r="A124" s="178">
        <v>109</v>
      </c>
      <c r="B124" s="179" t="s">
        <v>183</v>
      </c>
      <c r="C124" s="180" t="s">
        <v>30</v>
      </c>
      <c r="D124" s="64">
        <v>645426083.27197993</v>
      </c>
      <c r="E124" s="59">
        <v>0</v>
      </c>
      <c r="F124" s="64">
        <v>2036.8682025899998</v>
      </c>
      <c r="G124" s="64">
        <v>2036.8682025899998</v>
      </c>
      <c r="H124" s="60">
        <v>65</v>
      </c>
      <c r="I124" s="82">
        <v>-3.7100000000000002E-4</v>
      </c>
      <c r="J124" s="82">
        <v>0.1595</v>
      </c>
      <c r="K124" s="64">
        <f>442536*W137</f>
        <v>641866915.1832</v>
      </c>
      <c r="L124" s="59">
        <f t="shared" si="65"/>
        <v>3.3603604775046819E-4</v>
      </c>
      <c r="M124" s="64">
        <f>1.397*W137</f>
        <v>2026.2488939</v>
      </c>
      <c r="N124" s="64">
        <f>1.397*W137</f>
        <v>2026.2488939</v>
      </c>
      <c r="O124" s="60">
        <v>64</v>
      </c>
      <c r="P124" s="82">
        <v>-1.686E-3</v>
      </c>
      <c r="Q124" s="82">
        <v>0.1573</v>
      </c>
      <c r="R124" s="88">
        <f t="shared" si="66"/>
        <v>-5.5144472481446138E-3</v>
      </c>
      <c r="S124" s="88">
        <f t="shared" si="75"/>
        <v>-5.2135472862194577E-3</v>
      </c>
      <c r="T124" s="88">
        <f t="shared" si="75"/>
        <v>-1.5384615384615385E-2</v>
      </c>
      <c r="U124" s="88">
        <f t="shared" si="69"/>
        <v>-1.315E-3</v>
      </c>
      <c r="V124" s="89">
        <f t="shared" si="70"/>
        <v>-2.2000000000000075E-3</v>
      </c>
    </row>
    <row r="125" spans="1:28">
      <c r="A125" s="178">
        <v>110</v>
      </c>
      <c r="B125" s="179" t="s">
        <v>184</v>
      </c>
      <c r="C125" s="180" t="s">
        <v>79</v>
      </c>
      <c r="D125" s="64">
        <v>2107858043.4767959</v>
      </c>
      <c r="E125" s="59">
        <f t="shared" ref="E125:E134" si="76">(D125/$D$156)</f>
        <v>1.1087988751147793E-3</v>
      </c>
      <c r="F125" s="64">
        <v>158273.58574000001</v>
      </c>
      <c r="G125" s="64">
        <v>158939.08710599999</v>
      </c>
      <c r="H125" s="60">
        <v>86</v>
      </c>
      <c r="I125" s="82">
        <v>1.1000000000000001E-3</v>
      </c>
      <c r="J125" s="82">
        <v>5.7200000000000001E-2</v>
      </c>
      <c r="K125" s="64">
        <f>1458205.38*W137</f>
        <v>2115022933.6464057</v>
      </c>
      <c r="L125" s="59">
        <f t="shared" si="65"/>
        <v>1.1072761825109585E-3</v>
      </c>
      <c r="M125" s="64">
        <f>109.49*W137</f>
        <v>158807.43836299999</v>
      </c>
      <c r="N125" s="64">
        <f>109.99*W137</f>
        <v>159532.65271299999</v>
      </c>
      <c r="O125" s="60">
        <v>84</v>
      </c>
      <c r="P125" s="82">
        <v>1.1000000000000001E-3</v>
      </c>
      <c r="Q125" s="82">
        <v>5.8299999999999998E-2</v>
      </c>
      <c r="R125" s="88">
        <f t="shared" si="66"/>
        <v>3.3991331587926543E-3</v>
      </c>
      <c r="S125" s="88">
        <f t="shared" si="75"/>
        <v>3.7345477302517462E-3</v>
      </c>
      <c r="T125" s="88">
        <f t="shared" si="75"/>
        <v>-2.3255813953488372E-2</v>
      </c>
      <c r="U125" s="88">
        <f t="shared" si="69"/>
        <v>0</v>
      </c>
      <c r="V125" s="89">
        <f t="shared" si="70"/>
        <v>1.0999999999999968E-3</v>
      </c>
    </row>
    <row r="126" spans="1:28">
      <c r="A126" s="178">
        <v>111</v>
      </c>
      <c r="B126" s="179" t="s">
        <v>185</v>
      </c>
      <c r="C126" s="180" t="s">
        <v>82</v>
      </c>
      <c r="D126" s="64">
        <v>4852171452.4899998</v>
      </c>
      <c r="E126" s="59">
        <f t="shared" si="76"/>
        <v>2.552393063202115E-3</v>
      </c>
      <c r="F126" s="64">
        <v>1657.42</v>
      </c>
      <c r="G126" s="64">
        <v>1657.42</v>
      </c>
      <c r="H126" s="60">
        <v>54</v>
      </c>
      <c r="I126" s="82">
        <v>8.9999999999999993E-3</v>
      </c>
      <c r="J126" s="82">
        <v>9.0200000000000002E-2</v>
      </c>
      <c r="K126" s="64">
        <v>4898308539.7600002</v>
      </c>
      <c r="L126" s="59">
        <f t="shared" si="65"/>
        <v>2.5644073614442616E-3</v>
      </c>
      <c r="M126" s="64">
        <v>1668.46</v>
      </c>
      <c r="N126" s="64">
        <v>1668.46</v>
      </c>
      <c r="O126" s="60">
        <v>56</v>
      </c>
      <c r="P126" s="82">
        <v>8.9999999999999993E-3</v>
      </c>
      <c r="Q126" s="82">
        <v>8.9099999999999999E-2</v>
      </c>
      <c r="R126" s="88">
        <f t="shared" si="66"/>
        <v>9.5085443129434722E-3</v>
      </c>
      <c r="S126" s="88">
        <f t="shared" si="67"/>
        <v>6.6609549782191378E-3</v>
      </c>
      <c r="T126" s="88">
        <f t="shared" si="68"/>
        <v>3.7037037037037035E-2</v>
      </c>
      <c r="U126" s="88">
        <f t="shared" si="69"/>
        <v>0</v>
      </c>
      <c r="V126" s="89">
        <f t="shared" si="70"/>
        <v>-1.1000000000000038E-3</v>
      </c>
      <c r="X126" s="98"/>
    </row>
    <row r="127" spans="1:28">
      <c r="A127" s="178">
        <v>112</v>
      </c>
      <c r="B127" s="179" t="s">
        <v>186</v>
      </c>
      <c r="C127" s="180" t="s">
        <v>32</v>
      </c>
      <c r="D127" s="64">
        <v>58845521832.786331</v>
      </c>
      <c r="E127" s="59">
        <f t="shared" si="76"/>
        <v>3.0954574296717309E-2</v>
      </c>
      <c r="F127" s="64">
        <v>183808.583805</v>
      </c>
      <c r="G127" s="64">
        <v>183808.583805</v>
      </c>
      <c r="H127" s="60">
        <v>2534</v>
      </c>
      <c r="I127" s="82">
        <v>1.2999999999999999E-3</v>
      </c>
      <c r="J127" s="82">
        <v>7.3899999999999993E-2</v>
      </c>
      <c r="K127" s="64">
        <f>40738538.13*W137</f>
        <v>59088344899.796333</v>
      </c>
      <c r="L127" s="59">
        <f t="shared" si="65"/>
        <v>3.0934471646006087E-2</v>
      </c>
      <c r="M127" s="64">
        <f>127.23*W137</f>
        <v>184538.04350100001</v>
      </c>
      <c r="N127" s="64">
        <f>127.23*W137</f>
        <v>184538.04350100001</v>
      </c>
      <c r="O127" s="60">
        <v>2537</v>
      </c>
      <c r="P127" s="82">
        <v>1.4E-3</v>
      </c>
      <c r="Q127" s="82">
        <v>7.5300000000000006E-2</v>
      </c>
      <c r="R127" s="88">
        <f t="shared" si="66"/>
        <v>4.1264493787649785E-3</v>
      </c>
      <c r="S127" s="88">
        <f t="shared" si="67"/>
        <v>3.9685834083454941E-3</v>
      </c>
      <c r="T127" s="88">
        <f t="shared" si="68"/>
        <v>1.1838989739542227E-3</v>
      </c>
      <c r="U127" s="88">
        <f t="shared" si="69"/>
        <v>1.0000000000000005E-4</v>
      </c>
      <c r="V127" s="89">
        <f t="shared" si="70"/>
        <v>1.4000000000000123E-3</v>
      </c>
    </row>
    <row r="128" spans="1:28">
      <c r="A128" s="178">
        <v>113</v>
      </c>
      <c r="B128" s="184" t="s">
        <v>187</v>
      </c>
      <c r="C128" s="184" t="s">
        <v>32</v>
      </c>
      <c r="D128" s="64">
        <v>166996578142.16449</v>
      </c>
      <c r="E128" s="59">
        <f t="shared" si="76"/>
        <v>8.7845392893075858E-2</v>
      </c>
      <c r="F128" s="64">
        <v>179063.26971699999</v>
      </c>
      <c r="G128" s="64">
        <v>179063.26971699999</v>
      </c>
      <c r="H128" s="60">
        <v>990</v>
      </c>
      <c r="I128" s="82">
        <v>1.9E-3</v>
      </c>
      <c r="J128" s="82">
        <v>8.09E-2</v>
      </c>
      <c r="K128" s="64">
        <f xml:space="preserve"> 115084828.06*W137</f>
        <v>166922337552.78931</v>
      </c>
      <c r="L128" s="59">
        <f t="shared" si="65"/>
        <v>8.7388711375627245E-2</v>
      </c>
      <c r="M128" s="64">
        <f>123.98*W137</f>
        <v>179824.150226</v>
      </c>
      <c r="N128" s="64">
        <f>123.98*W137</f>
        <v>179824.150226</v>
      </c>
      <c r="O128" s="60">
        <v>990</v>
      </c>
      <c r="P128" s="82">
        <v>1.6999999999999999E-3</v>
      </c>
      <c r="Q128" s="82">
        <v>8.2699999999999996E-2</v>
      </c>
      <c r="R128" s="88">
        <f t="shared" si="66"/>
        <v>-4.4456353657727022E-4</v>
      </c>
      <c r="S128" s="88">
        <f t="shared" si="67"/>
        <v>4.2492271597773289E-3</v>
      </c>
      <c r="T128" s="88">
        <f t="shared" si="68"/>
        <v>0</v>
      </c>
      <c r="U128" s="88">
        <f t="shared" si="69"/>
        <v>-2.0000000000000009E-4</v>
      </c>
      <c r="V128" s="89">
        <f t="shared" si="70"/>
        <v>1.799999999999996E-3</v>
      </c>
      <c r="X128" s="97"/>
    </row>
    <row r="129" spans="1:23">
      <c r="A129" s="178">
        <v>114</v>
      </c>
      <c r="B129" s="179" t="s">
        <v>188</v>
      </c>
      <c r="C129" s="180" t="s">
        <v>88</v>
      </c>
      <c r="D129" s="64">
        <v>2261048269.36971</v>
      </c>
      <c r="E129" s="59">
        <f t="shared" si="76"/>
        <v>1.1893816974136054E-3</v>
      </c>
      <c r="F129" s="64">
        <v>1446.7420999999999</v>
      </c>
      <c r="G129" s="64">
        <v>1446.7420999999999</v>
      </c>
      <c r="H129" s="60">
        <v>16</v>
      </c>
      <c r="I129" s="82">
        <v>7.8E-2</v>
      </c>
      <c r="J129" s="82">
        <v>8.6599999999999996E-2</v>
      </c>
      <c r="K129" s="64">
        <f>1625454.21*W137</f>
        <v>2357605436.7198267</v>
      </c>
      <c r="L129" s="59">
        <f t="shared" si="65"/>
        <v>1.2342751968828739E-3</v>
      </c>
      <c r="M129" s="64">
        <f>1*W137</f>
        <v>1450.4286999999999</v>
      </c>
      <c r="N129" s="64">
        <f>1*W137</f>
        <v>1450.4286999999999</v>
      </c>
      <c r="O129" s="60">
        <v>16</v>
      </c>
      <c r="P129" s="82">
        <v>8.3299999999999999E-2</v>
      </c>
      <c r="Q129" s="82">
        <v>8.5300000000000001E-2</v>
      </c>
      <c r="R129" s="88">
        <f t="shared" ref="R129" si="77">((K129-D129)/D129)</f>
        <v>4.270460239976788E-2</v>
      </c>
      <c r="S129" s="88">
        <f t="shared" ref="S129" si="78">((N129-G129)/G129)</f>
        <v>2.5482081429717145E-3</v>
      </c>
      <c r="T129" s="88">
        <f t="shared" si="68"/>
        <v>0</v>
      </c>
      <c r="U129" s="88">
        <f t="shared" si="69"/>
        <v>5.2999999999999992E-3</v>
      </c>
      <c r="V129" s="89">
        <f t="shared" si="70"/>
        <v>-1.2999999999999956E-3</v>
      </c>
    </row>
    <row r="130" spans="1:23">
      <c r="A130" s="178">
        <v>115</v>
      </c>
      <c r="B130" s="179" t="s">
        <v>189</v>
      </c>
      <c r="C130" s="180" t="s">
        <v>36</v>
      </c>
      <c r="D130" s="64">
        <v>202998645.84015718</v>
      </c>
      <c r="E130" s="59">
        <f t="shared" si="76"/>
        <v>1.0678359999334915E-4</v>
      </c>
      <c r="F130" s="64">
        <v>194605.90944572</v>
      </c>
      <c r="G130" s="64">
        <v>194605.90944572</v>
      </c>
      <c r="H130" s="60">
        <v>9</v>
      </c>
      <c r="I130" s="82">
        <v>2.3999999999999998E-3</v>
      </c>
      <c r="J130" s="82">
        <v>0.18640000000000001</v>
      </c>
      <c r="K130" s="64">
        <f>140655.2935*W137</f>
        <v>204010474.49932343</v>
      </c>
      <c r="L130" s="59">
        <f t="shared" si="65"/>
        <v>1.068054326041771E-4</v>
      </c>
      <c r="M130" s="64">
        <f>134.84*W137</f>
        <v>195575.80590800001</v>
      </c>
      <c r="N130" s="64">
        <f>134.84*W137</f>
        <v>195575.80590800001</v>
      </c>
      <c r="O130" s="60">
        <v>9</v>
      </c>
      <c r="P130" s="82">
        <v>2.3999999999999998E-3</v>
      </c>
      <c r="Q130" s="82">
        <v>0.1893</v>
      </c>
      <c r="R130" s="88">
        <f t="shared" si="66"/>
        <v>4.9844108810606002E-3</v>
      </c>
      <c r="S130" s="88">
        <f t="shared" si="67"/>
        <v>4.983900360695564E-3</v>
      </c>
      <c r="T130" s="88">
        <f t="shared" si="68"/>
        <v>0</v>
      </c>
      <c r="U130" s="88">
        <f t="shared" si="69"/>
        <v>0</v>
      </c>
      <c r="V130" s="89">
        <f t="shared" si="70"/>
        <v>2.8999999999999859E-3</v>
      </c>
    </row>
    <row r="131" spans="1:23">
      <c r="A131" s="178">
        <v>116</v>
      </c>
      <c r="B131" s="179" t="s">
        <v>190</v>
      </c>
      <c r="C131" s="180" t="s">
        <v>42</v>
      </c>
      <c r="D131" s="64">
        <v>14903322456.095585</v>
      </c>
      <c r="E131" s="59">
        <f t="shared" si="76"/>
        <v>7.8396110335470625E-3</v>
      </c>
      <c r="F131" s="64">
        <v>2112.2434659999999</v>
      </c>
      <c r="G131" s="64">
        <v>2112.2434659999999</v>
      </c>
      <c r="H131" s="78">
        <v>113</v>
      </c>
      <c r="I131" s="85">
        <v>4.7000000000000002E-3</v>
      </c>
      <c r="J131" s="85">
        <v>5.7700000000000001E-2</v>
      </c>
      <c r="K131" s="64">
        <f xml:space="preserve"> 10366032.05*W137</f>
        <v>15035190390.439835</v>
      </c>
      <c r="L131" s="59">
        <f t="shared" si="65"/>
        <v>7.8713606145865735E-3</v>
      </c>
      <c r="M131" s="64">
        <f>1.47*W137</f>
        <v>2132.130189</v>
      </c>
      <c r="N131" s="64">
        <f>1.47*W137</f>
        <v>2132.130189</v>
      </c>
      <c r="O131" s="78">
        <v>113</v>
      </c>
      <c r="P131" s="85">
        <v>1.0999999999999999E-2</v>
      </c>
      <c r="Q131" s="85">
        <v>6.3600000000000004E-2</v>
      </c>
      <c r="R131" s="88">
        <f t="shared" si="66"/>
        <v>8.8482239267603461E-3</v>
      </c>
      <c r="S131" s="88">
        <f t="shared" si="67"/>
        <v>9.4149766918962159E-3</v>
      </c>
      <c r="T131" s="88">
        <f t="shared" si="68"/>
        <v>0</v>
      </c>
      <c r="U131" s="88">
        <f t="shared" si="69"/>
        <v>6.2999999999999992E-3</v>
      </c>
      <c r="V131" s="89">
        <f t="shared" si="70"/>
        <v>5.9000000000000025E-3</v>
      </c>
    </row>
    <row r="132" spans="1:23">
      <c r="A132" s="178">
        <v>117</v>
      </c>
      <c r="B132" s="179" t="s">
        <v>191</v>
      </c>
      <c r="C132" s="180" t="s">
        <v>104</v>
      </c>
      <c r="D132" s="64">
        <v>35648881290.937897</v>
      </c>
      <c r="E132" s="59">
        <f t="shared" si="76"/>
        <v>1.8752420067764099E-2</v>
      </c>
      <c r="F132" s="64">
        <v>152124.93181499999</v>
      </c>
      <c r="G132" s="64">
        <v>152124.93181499999</v>
      </c>
      <c r="H132" s="60">
        <v>827</v>
      </c>
      <c r="I132" s="85">
        <v>4.0000000000000001E-3</v>
      </c>
      <c r="J132" s="82">
        <v>9.5500000000000002E-2</v>
      </c>
      <c r="K132" s="64">
        <f>24812587*W137</f>
        <v>35988888306.046898</v>
      </c>
      <c r="L132" s="59">
        <f t="shared" si="65"/>
        <v>1.8841232509772415E-2</v>
      </c>
      <c r="M132" s="64">
        <f>105.56*W137</f>
        <v>153107.25357199999</v>
      </c>
      <c r="N132" s="64">
        <f>105.56*W137</f>
        <v>153107.25357199999</v>
      </c>
      <c r="O132" s="60">
        <v>829</v>
      </c>
      <c r="P132" s="85">
        <v>4.0000000000000001E-3</v>
      </c>
      <c r="Q132" s="82">
        <v>9.7900000000000001E-2</v>
      </c>
      <c r="R132" s="88">
        <f t="shared" si="66"/>
        <v>9.5376629727629749E-3</v>
      </c>
      <c r="S132" s="88">
        <f t="shared" si="67"/>
        <v>6.4573357258401604E-3</v>
      </c>
      <c r="T132" s="88">
        <f t="shared" si="68"/>
        <v>2.4183796856106408E-3</v>
      </c>
      <c r="U132" s="88">
        <f t="shared" si="69"/>
        <v>0</v>
      </c>
      <c r="V132" s="89">
        <f t="shared" si="70"/>
        <v>2.3999999999999994E-3</v>
      </c>
    </row>
    <row r="133" spans="1:23">
      <c r="A133" s="178">
        <v>118</v>
      </c>
      <c r="B133" s="179" t="s">
        <v>192</v>
      </c>
      <c r="C133" s="180" t="s">
        <v>46</v>
      </c>
      <c r="D133" s="64">
        <v>2810162792.4102759</v>
      </c>
      <c r="E133" s="59">
        <f t="shared" si="76"/>
        <v>1.4782330113532723E-3</v>
      </c>
      <c r="F133" s="64">
        <v>224746.17841018207</v>
      </c>
      <c r="G133" s="64">
        <v>233393.6901393072</v>
      </c>
      <c r="H133" s="60">
        <v>50</v>
      </c>
      <c r="I133" s="82">
        <v>1.6E-2</v>
      </c>
      <c r="J133" s="82">
        <v>0.1353</v>
      </c>
      <c r="K133" s="64">
        <f>1980200.93*W137</f>
        <v>2872140260.6386909</v>
      </c>
      <c r="L133" s="59">
        <f t="shared" si="65"/>
        <v>1.5036491816914363E-3</v>
      </c>
      <c r="M133" s="64">
        <f>157.44*W137</f>
        <v>228355.49452799998</v>
      </c>
      <c r="N133" s="64">
        <f>163.42*W137</f>
        <v>237029.05815399997</v>
      </c>
      <c r="O133" s="60">
        <v>49</v>
      </c>
      <c r="P133" s="82">
        <v>1.5900000000000001E-2</v>
      </c>
      <c r="Q133" s="82">
        <v>0.15029999999999999</v>
      </c>
      <c r="R133" s="88">
        <f t="shared" ref="R133:R134" si="79">((K133-D133)/D133)</f>
        <v>2.2054760811652821E-2</v>
      </c>
      <c r="S133" s="88">
        <f t="shared" ref="S133:S134" si="80">((N133-G133)/G133)</f>
        <v>1.5576119528008232E-2</v>
      </c>
      <c r="T133" s="88">
        <f t="shared" ref="T133:T134" si="81">((O133-H133)/H133)</f>
        <v>-0.02</v>
      </c>
      <c r="U133" s="88">
        <f t="shared" ref="U133:U134" si="82">P133-I133</f>
        <v>-9.9999999999999395E-5</v>
      </c>
      <c r="V133" s="89">
        <f t="shared" ref="V133:V134" si="83">Q133-J133</f>
        <v>1.4999999999999986E-2</v>
      </c>
    </row>
    <row r="134" spans="1:23">
      <c r="A134" s="178">
        <v>119</v>
      </c>
      <c r="B134" s="179" t="s">
        <v>193</v>
      </c>
      <c r="C134" s="180" t="s">
        <v>53</v>
      </c>
      <c r="D134" s="58">
        <v>160310346124.64999</v>
      </c>
      <c r="E134" s="59">
        <f t="shared" si="76"/>
        <v>8.4328226942209442E-2</v>
      </c>
      <c r="F134" s="64">
        <v>179715.66524999999</v>
      </c>
      <c r="G134" s="64">
        <v>179715.66524999999</v>
      </c>
      <c r="H134" s="60">
        <v>4088</v>
      </c>
      <c r="I134" s="82">
        <v>1.1000000000000001E-3</v>
      </c>
      <c r="J134" s="82">
        <v>7.9100000000000004E-2</v>
      </c>
      <c r="K134" s="58">
        <f>110984529.47*1453.21</f>
        <v>161283828071.09869</v>
      </c>
      <c r="L134" s="59">
        <f t="shared" si="65"/>
        <v>8.4436787235885505E-2</v>
      </c>
      <c r="M134" s="64">
        <f>124.2907*1453.21</f>
        <v>180620.488147</v>
      </c>
      <c r="N134" s="64">
        <f>124.2907*1453.21</f>
        <v>180620.488147</v>
      </c>
      <c r="O134" s="60">
        <v>4098</v>
      </c>
      <c r="P134" s="82">
        <v>1.1000000000000001E-3</v>
      </c>
      <c r="Q134" s="82">
        <v>7.8600000000000003E-2</v>
      </c>
      <c r="R134" s="88">
        <f t="shared" si="79"/>
        <v>6.0724835918685178E-3</v>
      </c>
      <c r="S134" s="88">
        <f t="shared" si="80"/>
        <v>5.0347469473032234E-3</v>
      </c>
      <c r="T134" s="88">
        <f t="shared" si="81"/>
        <v>2.446183953033268E-3</v>
      </c>
      <c r="U134" s="88">
        <f t="shared" si="82"/>
        <v>0</v>
      </c>
      <c r="V134" s="89">
        <f t="shared" si="83"/>
        <v>-5.0000000000000044E-4</v>
      </c>
    </row>
    <row r="135" spans="1:23" ht="6" customHeight="1">
      <c r="A135" s="102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3">
      <c r="A136" s="194" t="s">
        <v>194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23">
      <c r="A137" s="178">
        <v>120</v>
      </c>
      <c r="B137" s="179" t="s">
        <v>195</v>
      </c>
      <c r="C137" s="180" t="s">
        <v>64</v>
      </c>
      <c r="D137" s="58">
        <v>1542344105.5684688</v>
      </c>
      <c r="E137" s="59">
        <f>(D137/$D$156)</f>
        <v>8.1132095901175155E-4</v>
      </c>
      <c r="F137" s="64">
        <v>172596.33252999999</v>
      </c>
      <c r="G137" s="64">
        <v>172596.33252999999</v>
      </c>
      <c r="H137" s="60">
        <v>23</v>
      </c>
      <c r="I137" s="82">
        <v>2.12E-2</v>
      </c>
      <c r="J137" s="82">
        <v>0.16350000000000001</v>
      </c>
      <c r="K137" s="58">
        <f>1074941.18*W137</f>
        <v>1559125538.2838659</v>
      </c>
      <c r="L137" s="59">
        <f t="shared" ref="L137:L155" si="84">(K137/$K$156)</f>
        <v>8.1624768536666986E-4</v>
      </c>
      <c r="M137" s="64">
        <f>120.29*W137</f>
        <v>174472.06832300001</v>
      </c>
      <c r="N137" s="64">
        <f>120.29*W137</f>
        <v>174472.06832300001</v>
      </c>
      <c r="O137" s="60">
        <v>23</v>
      </c>
      <c r="P137" s="82">
        <v>8.0000000000000002E-3</v>
      </c>
      <c r="Q137" s="82">
        <v>0.16980000000000001</v>
      </c>
      <c r="R137" s="88">
        <f>((K137-D137)/D137)</f>
        <v>1.0880472557848504E-2</v>
      </c>
      <c r="S137" s="88">
        <f>((N137-G137)/G137)</f>
        <v>1.0867761588584138E-2</v>
      </c>
      <c r="T137" s="88">
        <f>((O137-H137)/H137)</f>
        <v>0</v>
      </c>
      <c r="U137" s="88">
        <f>P137-I137</f>
        <v>-1.32E-2</v>
      </c>
      <c r="V137" s="89">
        <f>Q137-J137</f>
        <v>6.3E-3</v>
      </c>
      <c r="W137" s="109">
        <v>1450.4286999999999</v>
      </c>
    </row>
    <row r="138" spans="1:23">
      <c r="A138" s="178">
        <v>121</v>
      </c>
      <c r="B138" s="180" t="s">
        <v>196</v>
      </c>
      <c r="C138" s="180" t="s">
        <v>26</v>
      </c>
      <c r="D138" s="64">
        <v>25362299578.010319</v>
      </c>
      <c r="E138" s="59">
        <f t="shared" ref="E138:E155" si="85">(D138/$D$156)</f>
        <v>1.3341358223553186E-2</v>
      </c>
      <c r="F138" s="58">
        <v>194630.21471299999</v>
      </c>
      <c r="G138" s="58">
        <v>194630.21471299999</v>
      </c>
      <c r="H138" s="60">
        <v>642</v>
      </c>
      <c r="I138" s="82">
        <v>5.0000000000000001E-4</v>
      </c>
      <c r="J138" s="82">
        <v>5.04E-2</v>
      </c>
      <c r="K138" s="64">
        <f>17917739.02*W137</f>
        <v>25988402913.717873</v>
      </c>
      <c r="L138" s="59">
        <f t="shared" si="84"/>
        <v>1.3605686780070202E-2</v>
      </c>
      <c r="M138" s="58">
        <f>133.25*W137</f>
        <v>193269.62427499998</v>
      </c>
      <c r="N138" s="58">
        <f>135.25*W137</f>
        <v>196170.48167499999</v>
      </c>
      <c r="O138" s="60">
        <v>644</v>
      </c>
      <c r="P138" s="82">
        <v>5.0000000000000001E-4</v>
      </c>
      <c r="Q138" s="82">
        <v>5.5800000000000002E-2</v>
      </c>
      <c r="R138" s="88">
        <f t="shared" ref="R138:R156" si="86">((K138-D138)/D138)</f>
        <v>2.4686378842808065E-2</v>
      </c>
      <c r="S138" s="88">
        <f t="shared" ref="S138:S156" si="87">((N138-G138)/G138)</f>
        <v>7.9138121707940275E-3</v>
      </c>
      <c r="T138" s="88">
        <f t="shared" ref="T138:T156" si="88">((O138-H138)/H138)</f>
        <v>3.1152647975077881E-3</v>
      </c>
      <c r="U138" s="88">
        <f t="shared" ref="U138:U156" si="89">P138-I138</f>
        <v>0</v>
      </c>
      <c r="V138" s="89">
        <f t="shared" ref="V138:V156" si="90">Q138-J138</f>
        <v>5.400000000000002E-3</v>
      </c>
    </row>
    <row r="139" spans="1:23">
      <c r="A139" s="178">
        <v>122</v>
      </c>
      <c r="B139" s="180" t="s">
        <v>197</v>
      </c>
      <c r="C139" s="180" t="s">
        <v>138</v>
      </c>
      <c r="D139" s="64">
        <v>387382612.13302934</v>
      </c>
      <c r="E139" s="59">
        <f t="shared" si="85"/>
        <v>2.0377529971783235E-4</v>
      </c>
      <c r="F139" s="58">
        <v>144674.21</v>
      </c>
      <c r="G139" s="58">
        <v>144674.21</v>
      </c>
      <c r="H139" s="60">
        <v>13</v>
      </c>
      <c r="I139" s="82">
        <v>1.5E-3</v>
      </c>
      <c r="J139" s="82">
        <v>1.5E-3</v>
      </c>
      <c r="K139" s="64">
        <f>268139.403038555*W137</f>
        <v>388917085.76798737</v>
      </c>
      <c r="L139" s="59">
        <f t="shared" si="84"/>
        <v>2.0360943571426032E-4</v>
      </c>
      <c r="M139" s="58">
        <f>100*W137</f>
        <v>145042.87</v>
      </c>
      <c r="N139" s="58">
        <f>100*W137</f>
        <v>145042.87</v>
      </c>
      <c r="O139" s="60">
        <v>13</v>
      </c>
      <c r="P139" s="82">
        <v>1.4E-3</v>
      </c>
      <c r="Q139" s="82">
        <v>1.4E-3</v>
      </c>
      <c r="R139" s="88">
        <v>0</v>
      </c>
      <c r="S139" s="88">
        <f t="shared" ref="S139" si="91">((N139-G139)/G139)</f>
        <v>2.5482081429717396E-3</v>
      </c>
      <c r="T139" s="88">
        <f t="shared" ref="T139" si="92">((O139-H139)/H139)</f>
        <v>0</v>
      </c>
      <c r="U139" s="88">
        <f t="shared" ref="U139" si="93">P139-I139</f>
        <v>-1.0000000000000005E-4</v>
      </c>
      <c r="V139" s="89">
        <f t="shared" ref="V139" si="94">Q139-J139</f>
        <v>-1.0000000000000005E-4</v>
      </c>
    </row>
    <row r="140" spans="1:23">
      <c r="A140" s="178">
        <v>123</v>
      </c>
      <c r="B140" s="179" t="s">
        <v>198</v>
      </c>
      <c r="C140" s="180" t="s">
        <v>73</v>
      </c>
      <c r="D140" s="58">
        <v>16282764892.110001</v>
      </c>
      <c r="E140" s="59">
        <f t="shared" si="85"/>
        <v>8.565240648915045E-3</v>
      </c>
      <c r="F140" s="58">
        <v>170104.19</v>
      </c>
      <c r="G140" s="58">
        <v>170104.19</v>
      </c>
      <c r="H140" s="60">
        <v>445</v>
      </c>
      <c r="I140" s="82">
        <v>1.6000000000000001E-3</v>
      </c>
      <c r="J140" s="82">
        <v>6.4899999999999999E-2</v>
      </c>
      <c r="K140" s="58">
        <v>16676469291.48</v>
      </c>
      <c r="L140" s="59">
        <f t="shared" ref="L140:L141" si="95">(K140/$K$114)</f>
        <v>6.9610170572560887E-2</v>
      </c>
      <c r="M140" s="58">
        <v>170233.7</v>
      </c>
      <c r="N140" s="58">
        <v>170233.7</v>
      </c>
      <c r="O140" s="60">
        <v>449</v>
      </c>
      <c r="P140" s="82">
        <v>8.0000000000000004E-4</v>
      </c>
      <c r="Q140" s="82">
        <v>6.7299999999999999E-2</v>
      </c>
      <c r="R140" s="88">
        <f t="shared" si="86"/>
        <v>2.4179210470623012E-2</v>
      </c>
      <c r="S140" s="88">
        <f t="shared" si="87"/>
        <v>7.6135690719910732E-4</v>
      </c>
      <c r="T140" s="88">
        <f t="shared" si="88"/>
        <v>8.988764044943821E-3</v>
      </c>
      <c r="U140" s="88">
        <f t="shared" si="89"/>
        <v>-8.0000000000000004E-4</v>
      </c>
      <c r="V140" s="89">
        <f t="shared" si="90"/>
        <v>2.3999999999999994E-3</v>
      </c>
    </row>
    <row r="141" spans="1:23">
      <c r="A141" s="178">
        <v>124</v>
      </c>
      <c r="B141" s="179" t="s">
        <v>199</v>
      </c>
      <c r="C141" s="180" t="s">
        <v>75</v>
      </c>
      <c r="D141" s="64">
        <v>190430727.48448798</v>
      </c>
      <c r="E141" s="59">
        <f t="shared" ref="E141" si="96">(D141/$D$114)</f>
        <v>7.8152367936292475E-4</v>
      </c>
      <c r="F141" s="63">
        <v>1480.4511909300002</v>
      </c>
      <c r="G141" s="63">
        <v>1480.4511909300002</v>
      </c>
      <c r="H141" s="60">
        <v>4</v>
      </c>
      <c r="I141" s="82">
        <v>1.7399999999999999E-2</v>
      </c>
      <c r="J141" s="82">
        <v>7.9799999999999996E-2</v>
      </c>
      <c r="K141" s="64">
        <f>131802.6*W137</f>
        <v>191170273.77462</v>
      </c>
      <c r="L141" s="59">
        <f t="shared" si="95"/>
        <v>7.9797438733948342E-4</v>
      </c>
      <c r="M141" s="63">
        <f>1.0247*W137</f>
        <v>1486.2542888899998</v>
      </c>
      <c r="N141" s="63">
        <f>1.0247*W137</f>
        <v>1486.2542888899998</v>
      </c>
      <c r="O141" s="60">
        <v>4</v>
      </c>
      <c r="P141" s="82">
        <v>1.4E-3</v>
      </c>
      <c r="Q141" s="82">
        <v>8.1199999999999994E-2</v>
      </c>
      <c r="R141" s="87">
        <f t="shared" si="86"/>
        <v>3.8835449504453401E-3</v>
      </c>
      <c r="S141" s="87">
        <f t="shared" si="87"/>
        <v>3.9198171446328967E-3</v>
      </c>
      <c r="T141" s="87">
        <f t="shared" si="88"/>
        <v>0</v>
      </c>
      <c r="U141" s="88">
        <f t="shared" si="89"/>
        <v>-1.6E-2</v>
      </c>
      <c r="V141" s="89">
        <f t="shared" si="90"/>
        <v>1.3999999999999985E-3</v>
      </c>
    </row>
    <row r="142" spans="1:23">
      <c r="A142" s="178">
        <v>125</v>
      </c>
      <c r="B142" s="179" t="s">
        <v>200</v>
      </c>
      <c r="C142" s="180" t="s">
        <v>71</v>
      </c>
      <c r="D142" s="58">
        <v>10475455890.8062</v>
      </c>
      <c r="E142" s="59">
        <f t="shared" si="85"/>
        <v>5.5104155348534821E-3</v>
      </c>
      <c r="F142" s="58">
        <v>1925.1922828772799</v>
      </c>
      <c r="G142" s="58">
        <v>1925.1922828772799</v>
      </c>
      <c r="H142" s="60">
        <v>339</v>
      </c>
      <c r="I142" s="82">
        <v>-0.26490000000000002</v>
      </c>
      <c r="J142" s="82">
        <v>5.9700000000000003E-2</v>
      </c>
      <c r="K142" s="58">
        <v>10665194104.8326</v>
      </c>
      <c r="L142" s="59">
        <f t="shared" si="84"/>
        <v>5.5835401244456332E-3</v>
      </c>
      <c r="M142" s="58">
        <v>1935.6545195050901</v>
      </c>
      <c r="N142" s="58">
        <v>1935.6545195050901</v>
      </c>
      <c r="O142" s="60">
        <v>312</v>
      </c>
      <c r="P142" s="82">
        <v>7.5899999999999995E-2</v>
      </c>
      <c r="Q142" s="82">
        <v>6.0100000000000001E-2</v>
      </c>
      <c r="R142" s="88">
        <f t="shared" si="86"/>
        <v>1.8112645025112811E-2</v>
      </c>
      <c r="S142" s="88">
        <f t="shared" si="87"/>
        <v>5.4343852927635486E-3</v>
      </c>
      <c r="T142" s="87">
        <f t="shared" si="88"/>
        <v>-7.9646017699115043E-2</v>
      </c>
      <c r="U142" s="88">
        <f t="shared" si="89"/>
        <v>0.34079999999999999</v>
      </c>
      <c r="V142" s="89">
        <f t="shared" si="90"/>
        <v>3.9999999999999758E-4</v>
      </c>
    </row>
    <row r="143" spans="1:23">
      <c r="A143" s="178">
        <v>126</v>
      </c>
      <c r="B143" s="179" t="s">
        <v>201</v>
      </c>
      <c r="C143" s="180" t="s">
        <v>94</v>
      </c>
      <c r="D143" s="58">
        <v>488392760.59946799</v>
      </c>
      <c r="E143" s="59">
        <f t="shared" si="85"/>
        <v>2.5690977874091983E-4</v>
      </c>
      <c r="F143" s="58">
        <v>1475.6769420000001</v>
      </c>
      <c r="G143" s="58">
        <v>1475.6769420000001</v>
      </c>
      <c r="H143" s="60">
        <v>9</v>
      </c>
      <c r="I143" s="82">
        <v>2.9999999999999997E-4</v>
      </c>
      <c r="J143" s="82">
        <v>2.5899999999999999E-2</v>
      </c>
      <c r="K143" s="58">
        <f>337720.76*W137</f>
        <v>489839882.88981199</v>
      </c>
      <c r="L143" s="59">
        <f t="shared" si="84"/>
        <v>2.5644546304410127E-4</v>
      </c>
      <c r="M143" s="58">
        <f>1.02627604*W137</f>
        <v>1488.540222538348</v>
      </c>
      <c r="N143" s="58">
        <f>1.02627604*W137</f>
        <v>1488.540222538348</v>
      </c>
      <c r="O143" s="60">
        <v>9</v>
      </c>
      <c r="P143" s="82">
        <v>3.0899999999999998E-4</v>
      </c>
      <c r="Q143" s="82">
        <v>2.6276000000000001E-2</v>
      </c>
      <c r="R143" s="88">
        <f t="shared" si="86"/>
        <v>2.963029772529303E-3</v>
      </c>
      <c r="S143" s="88">
        <f t="shared" si="87"/>
        <v>8.7168676098673559E-3</v>
      </c>
      <c r="T143" s="87">
        <f t="shared" si="88"/>
        <v>0</v>
      </c>
      <c r="U143" s="88">
        <f t="shared" si="89"/>
        <v>9.0000000000000019E-6</v>
      </c>
      <c r="V143" s="89">
        <f t="shared" si="90"/>
        <v>3.7600000000000133E-4</v>
      </c>
    </row>
    <row r="144" spans="1:23">
      <c r="A144" s="178">
        <v>127</v>
      </c>
      <c r="B144" s="179" t="s">
        <v>202</v>
      </c>
      <c r="C144" s="180" t="s">
        <v>38</v>
      </c>
      <c r="D144" s="58">
        <v>109117829819.66</v>
      </c>
      <c r="E144" s="59">
        <f t="shared" si="85"/>
        <v>5.7399371524772619E-2</v>
      </c>
      <c r="F144" s="58">
        <v>142173</v>
      </c>
      <c r="G144" s="58">
        <v>142173</v>
      </c>
      <c r="H144" s="60">
        <v>2131</v>
      </c>
      <c r="I144" s="82">
        <v>3.9399999999999998E-2</v>
      </c>
      <c r="J144" s="82">
        <v>5.2400000000000002E-2</v>
      </c>
      <c r="K144" s="58">
        <v>112675421601.533</v>
      </c>
      <c r="L144" s="59">
        <f t="shared" si="84"/>
        <v>5.8988868966380857E-2</v>
      </c>
      <c r="M144" s="58">
        <f>100*1421.73</f>
        <v>142173</v>
      </c>
      <c r="N144" s="58">
        <f>100*1421.73</f>
        <v>142173</v>
      </c>
      <c r="O144" s="60">
        <v>2150</v>
      </c>
      <c r="P144" s="82">
        <v>5.8099999999999999E-2</v>
      </c>
      <c r="Q144" s="82">
        <v>5.2499999999999998E-2</v>
      </c>
      <c r="R144" s="88">
        <f t="shared" si="86"/>
        <v>3.2603212396660239E-2</v>
      </c>
      <c r="S144" s="88">
        <f t="shared" si="87"/>
        <v>0</v>
      </c>
      <c r="T144" s="88">
        <f t="shared" si="88"/>
        <v>8.9160018770530272E-3</v>
      </c>
      <c r="U144" s="88">
        <f t="shared" si="89"/>
        <v>1.8700000000000001E-2</v>
      </c>
      <c r="V144" s="89">
        <f t="shared" si="90"/>
        <v>9.9999999999995925E-5</v>
      </c>
    </row>
    <row r="145" spans="1:24" ht="15.5">
      <c r="A145" s="178">
        <v>128</v>
      </c>
      <c r="B145" s="179" t="s">
        <v>203</v>
      </c>
      <c r="C145" s="180" t="s">
        <v>152</v>
      </c>
      <c r="D145" s="58">
        <v>1377243662.1418309</v>
      </c>
      <c r="E145" s="59">
        <f t="shared" si="85"/>
        <v>7.2447299193971167E-4</v>
      </c>
      <c r="F145" s="58">
        <v>1649.2859939999998</v>
      </c>
      <c r="G145" s="58">
        <v>1649.2859939999998</v>
      </c>
      <c r="H145" s="60">
        <v>53</v>
      </c>
      <c r="I145" s="82">
        <v>1.9E-3</v>
      </c>
      <c r="J145" s="82">
        <v>9.1700000000000004E-2</v>
      </c>
      <c r="K145" s="58">
        <f>1036728.39*W137</f>
        <v>1503700610.960793</v>
      </c>
      <c r="L145" s="59">
        <f t="shared" si="84"/>
        <v>7.8723111965197409E-4</v>
      </c>
      <c r="M145" s="58">
        <f>1.14*W137</f>
        <v>1653.4887179999998</v>
      </c>
      <c r="N145" s="58">
        <f>1.14*W137</f>
        <v>1653.4887179999998</v>
      </c>
      <c r="O145" s="60">
        <v>53</v>
      </c>
      <c r="P145" s="82">
        <v>1.9E-3</v>
      </c>
      <c r="Q145" s="82">
        <v>9.1700000000000004E-2</v>
      </c>
      <c r="R145" s="88">
        <f t="shared" si="86"/>
        <v>9.1818864225014202E-2</v>
      </c>
      <c r="S145" s="88">
        <f t="shared" si="87"/>
        <v>2.5482081429717093E-3</v>
      </c>
      <c r="T145" s="88">
        <f t="shared" si="88"/>
        <v>0</v>
      </c>
      <c r="U145" s="88">
        <f t="shared" si="89"/>
        <v>0</v>
      </c>
      <c r="V145" s="89">
        <f t="shared" si="90"/>
        <v>0</v>
      </c>
      <c r="X145" s="110"/>
    </row>
    <row r="146" spans="1:24" ht="15.5">
      <c r="A146" s="178">
        <v>129</v>
      </c>
      <c r="B146" s="179" t="s">
        <v>204</v>
      </c>
      <c r="C146" s="180" t="s">
        <v>44</v>
      </c>
      <c r="D146" s="64">
        <v>7545144031.3207607</v>
      </c>
      <c r="E146" s="59">
        <f t="shared" si="85"/>
        <v>3.9689803781606256E-3</v>
      </c>
      <c r="F146" s="58">
        <v>15682.684363999999</v>
      </c>
      <c r="G146" s="58">
        <v>15682.684363999999</v>
      </c>
      <c r="H146" s="60">
        <v>162</v>
      </c>
      <c r="I146" s="82">
        <v>7.4399999999999994E-2</v>
      </c>
      <c r="J146" s="82">
        <v>7.6999999999999999E-2</v>
      </c>
      <c r="K146" s="64">
        <f>5416251.77*W137</f>
        <v>7855887013.6337976</v>
      </c>
      <c r="L146" s="59">
        <f t="shared" si="84"/>
        <v>4.1127859392507673E-3</v>
      </c>
      <c r="M146" s="58">
        <f>10.88*W137</f>
        <v>15780.664256</v>
      </c>
      <c r="N146" s="58">
        <f>10.88*W137</f>
        <v>15780.664256</v>
      </c>
      <c r="O146" s="60">
        <v>167</v>
      </c>
      <c r="P146" s="82">
        <v>6.1699999999999998E-2</v>
      </c>
      <c r="Q146" s="82">
        <v>8.1299999999999997E-2</v>
      </c>
      <c r="R146" s="88">
        <f t="shared" si="86"/>
        <v>4.1184499728978939E-2</v>
      </c>
      <c r="S146" s="88">
        <f t="shared" si="87"/>
        <v>6.2476480254181829E-3</v>
      </c>
      <c r="T146" s="88">
        <f t="shared" si="88"/>
        <v>3.0864197530864196E-2</v>
      </c>
      <c r="U146" s="88">
        <f t="shared" si="89"/>
        <v>-1.2699999999999996E-2</v>
      </c>
      <c r="V146" s="89">
        <f t="shared" si="90"/>
        <v>4.2999999999999983E-3</v>
      </c>
      <c r="X146" s="110"/>
    </row>
    <row r="147" spans="1:24" ht="15.5">
      <c r="A147" s="178">
        <v>130</v>
      </c>
      <c r="B147" s="180" t="s">
        <v>205</v>
      </c>
      <c r="C147" s="187" t="s">
        <v>48</v>
      </c>
      <c r="D147" s="58">
        <v>28033006747.549999</v>
      </c>
      <c r="E147" s="59">
        <f t="shared" si="85"/>
        <v>1.474623324087746E-2</v>
      </c>
      <c r="F147" s="58">
        <v>1591.4163100000001</v>
      </c>
      <c r="G147" s="58">
        <v>1605.8837310000001</v>
      </c>
      <c r="H147" s="60">
        <v>460</v>
      </c>
      <c r="I147" s="82">
        <v>4.4000000000000003E-3</v>
      </c>
      <c r="J147" s="82">
        <v>0.1527</v>
      </c>
      <c r="K147" s="58">
        <v>28613643595.419998</v>
      </c>
      <c r="L147" s="59">
        <f t="shared" si="84"/>
        <v>1.4980076832283968E-2</v>
      </c>
      <c r="M147" s="58">
        <f>1.12*W137</f>
        <v>1624.4801440000001</v>
      </c>
      <c r="N147" s="58">
        <f>1.12*W137</f>
        <v>1624.4801440000001</v>
      </c>
      <c r="O147" s="60">
        <v>460</v>
      </c>
      <c r="P147" s="82">
        <v>1.0999999999999999E-2</v>
      </c>
      <c r="Q147" s="82">
        <v>0.17</v>
      </c>
      <c r="R147" s="88">
        <f t="shared" si="86"/>
        <v>2.0712613994599238E-2</v>
      </c>
      <c r="S147" s="88">
        <f t="shared" si="87"/>
        <v>1.1580173982097576E-2</v>
      </c>
      <c r="T147" s="88">
        <f t="shared" si="88"/>
        <v>0</v>
      </c>
      <c r="U147" s="88">
        <f t="shared" si="89"/>
        <v>6.5999999999999991E-3</v>
      </c>
      <c r="V147" s="89">
        <f t="shared" si="90"/>
        <v>1.730000000000001E-2</v>
      </c>
      <c r="X147" s="110"/>
    </row>
    <row r="148" spans="1:24">
      <c r="A148" s="178">
        <v>131</v>
      </c>
      <c r="B148" s="179" t="s">
        <v>206</v>
      </c>
      <c r="C148" s="180" t="s">
        <v>106</v>
      </c>
      <c r="D148" s="64">
        <v>451694868.87269998</v>
      </c>
      <c r="E148" s="59">
        <f t="shared" si="85"/>
        <v>2.3760554656473043E-4</v>
      </c>
      <c r="F148" s="58">
        <v>1884.441</v>
      </c>
      <c r="G148" s="58">
        <v>1884.441</v>
      </c>
      <c r="H148" s="60">
        <v>2</v>
      </c>
      <c r="I148" s="82">
        <v>1.3627E-2</v>
      </c>
      <c r="J148" s="82">
        <v>0.16941400000000001</v>
      </c>
      <c r="K148" s="64">
        <f>315583.12*1453.25</f>
        <v>458621169.13999999</v>
      </c>
      <c r="L148" s="59">
        <f t="shared" si="84"/>
        <v>2.401015560188485E-4</v>
      </c>
      <c r="M148" s="58">
        <f>1.31*1453.25</f>
        <v>1903.7575000000002</v>
      </c>
      <c r="N148" s="58">
        <f>1.31*1453.25</f>
        <v>1903.7575000000002</v>
      </c>
      <c r="O148" s="60">
        <v>2</v>
      </c>
      <c r="P148" s="82">
        <v>1.2763E-2</v>
      </c>
      <c r="Q148" s="82">
        <v>0.184339</v>
      </c>
      <c r="R148" s="88">
        <f t="shared" si="86"/>
        <v>1.5334024680391115E-2</v>
      </c>
      <c r="S148" s="88">
        <f t="shared" si="87"/>
        <v>1.0250519915455104E-2</v>
      </c>
      <c r="T148" s="88">
        <f t="shared" si="88"/>
        <v>0</v>
      </c>
      <c r="U148" s="88">
        <f t="shared" ref="U148" si="97">P148-I148</f>
        <v>-8.6400000000000018E-4</v>
      </c>
      <c r="V148" s="89">
        <f t="shared" ref="V148" si="98">Q148-J148</f>
        <v>1.4924999999999994E-2</v>
      </c>
    </row>
    <row r="149" spans="1:24">
      <c r="A149" s="178">
        <v>132</v>
      </c>
      <c r="B149" s="179" t="s">
        <v>207</v>
      </c>
      <c r="C149" s="180" t="s">
        <v>111</v>
      </c>
      <c r="D149" s="64">
        <v>878581593.36588001</v>
      </c>
      <c r="E149" s="59">
        <f t="shared" si="85"/>
        <v>4.6216123777187472E-4</v>
      </c>
      <c r="F149" s="58">
        <v>1511.7008202899999</v>
      </c>
      <c r="G149" s="58">
        <v>1511.7008202899999</v>
      </c>
      <c r="H149" s="60">
        <v>9</v>
      </c>
      <c r="I149" s="82">
        <v>0.3337</v>
      </c>
      <c r="J149" s="82">
        <v>6.2600000000000003E-2</v>
      </c>
      <c r="K149" s="64">
        <f>630774.78*W137</f>
        <v>914893844.14818597</v>
      </c>
      <c r="L149" s="59">
        <f t="shared" si="84"/>
        <v>4.7897360687462954E-4</v>
      </c>
      <c r="M149" s="58">
        <f>1.0853*W137</f>
        <v>1574.1502681099998</v>
      </c>
      <c r="N149" s="58">
        <f>1.0853*W137</f>
        <v>1574.1502681099998</v>
      </c>
      <c r="O149" s="60">
        <v>9</v>
      </c>
      <c r="P149" s="82">
        <v>2.1065999999999998</v>
      </c>
      <c r="Q149" s="82">
        <v>0.1157</v>
      </c>
      <c r="R149" s="88">
        <f t="shared" ref="R149" si="99">((K149-D149)/D149)</f>
        <v>4.1330538969286075E-2</v>
      </c>
      <c r="S149" s="88">
        <f t="shared" ref="S149" si="100">((N149-G149)/G149)</f>
        <v>4.1310719013845497E-2</v>
      </c>
      <c r="T149" s="88">
        <f t="shared" si="88"/>
        <v>0</v>
      </c>
      <c r="U149" s="88">
        <f t="shared" si="89"/>
        <v>1.7728999999999999</v>
      </c>
      <c r="V149" s="89">
        <f t="shared" si="90"/>
        <v>5.3099999999999994E-2</v>
      </c>
    </row>
    <row r="150" spans="1:24">
      <c r="A150" s="178">
        <v>133</v>
      </c>
      <c r="B150" s="179" t="s">
        <v>208</v>
      </c>
      <c r="C150" s="180" t="s">
        <v>50</v>
      </c>
      <c r="D150" s="64">
        <v>1009982970367.73</v>
      </c>
      <c r="E150" s="59">
        <f t="shared" si="85"/>
        <v>0.53128244802560887</v>
      </c>
      <c r="F150" s="58">
        <v>2412.4</v>
      </c>
      <c r="G150" s="58">
        <v>2412.4</v>
      </c>
      <c r="H150" s="60">
        <v>12674</v>
      </c>
      <c r="I150" s="82">
        <v>1.1999999999999999E-3</v>
      </c>
      <c r="J150" s="82">
        <v>1.11E-2</v>
      </c>
      <c r="K150" s="64">
        <v>1009138910860.16</v>
      </c>
      <c r="L150" s="59">
        <f t="shared" si="84"/>
        <v>0.52831364760383881</v>
      </c>
      <c r="M150" s="58">
        <v>2424.02</v>
      </c>
      <c r="N150" s="58">
        <v>2424.02</v>
      </c>
      <c r="O150" s="60">
        <v>12711</v>
      </c>
      <c r="P150" s="82">
        <v>8.0000000000000004E-4</v>
      </c>
      <c r="Q150" s="82">
        <v>5.9299999999999999E-2</v>
      </c>
      <c r="R150" s="88">
        <f t="shared" si="86"/>
        <v>-8.3571657377809873E-4</v>
      </c>
      <c r="S150" s="88">
        <f t="shared" si="87"/>
        <v>4.8167799701541577E-3</v>
      </c>
      <c r="T150" s="88">
        <f t="shared" si="88"/>
        <v>2.9193624743569513E-3</v>
      </c>
      <c r="U150" s="88">
        <f t="shared" si="89"/>
        <v>-3.9999999999999986E-4</v>
      </c>
      <c r="V150" s="89">
        <f t="shared" si="90"/>
        <v>4.82E-2</v>
      </c>
    </row>
    <row r="151" spans="1:24">
      <c r="A151" s="178">
        <v>134</v>
      </c>
      <c r="B151" s="179" t="s">
        <v>209</v>
      </c>
      <c r="C151" s="179" t="s">
        <v>117</v>
      </c>
      <c r="D151" s="64">
        <v>569466191.37936997</v>
      </c>
      <c r="E151" s="59">
        <f t="shared" si="85"/>
        <v>2.9955692432486803E-4</v>
      </c>
      <c r="F151" s="58">
        <v>161499.82062299998</v>
      </c>
      <c r="G151" s="58">
        <v>161499.82062299998</v>
      </c>
      <c r="H151" s="60">
        <v>30</v>
      </c>
      <c r="I151" s="82">
        <v>0</v>
      </c>
      <c r="J151" s="82">
        <v>7.6499999999999999E-2</v>
      </c>
      <c r="K151" s="64">
        <f>395430.5*W137</f>
        <v>573543746.05534995</v>
      </c>
      <c r="L151" s="59">
        <f t="shared" si="84"/>
        <v>3.0026687632190712E-4</v>
      </c>
      <c r="M151" s="58">
        <f>112.14*W137</f>
        <v>162651.074418</v>
      </c>
      <c r="N151" s="58">
        <f>112.14*W137</f>
        <v>162651.074418</v>
      </c>
      <c r="O151" s="60">
        <v>30</v>
      </c>
      <c r="P151" s="82">
        <v>0</v>
      </c>
      <c r="Q151" s="82">
        <v>7.6499999999999999E-2</v>
      </c>
      <c r="R151" s="88">
        <f t="shared" ref="R151" si="101">((K151-D151)/D151)</f>
        <v>7.1603103708461685E-3</v>
      </c>
      <c r="S151" s="88">
        <f t="shared" ref="S151" si="102">((N151-G151)/G151)</f>
        <v>7.1285143881829821E-3</v>
      </c>
      <c r="T151" s="88">
        <f t="shared" ref="T151" si="103">((O151-H151)/H151)</f>
        <v>0</v>
      </c>
      <c r="U151" s="88">
        <f t="shared" ref="U151" si="104">P151-I151</f>
        <v>0</v>
      </c>
      <c r="V151" s="89">
        <f t="shared" ref="V151" si="105">Q151-J151</f>
        <v>0</v>
      </c>
    </row>
    <row r="152" spans="1:24" ht="16.5" customHeight="1">
      <c r="A152" s="178">
        <v>135</v>
      </c>
      <c r="B152" s="179" t="s">
        <v>210</v>
      </c>
      <c r="C152" s="180" t="s">
        <v>53</v>
      </c>
      <c r="D152" s="64">
        <v>161973724523.17499</v>
      </c>
      <c r="E152" s="59">
        <f t="shared" si="85"/>
        <v>8.5203215702900639E-2</v>
      </c>
      <c r="F152" s="58">
        <v>1797.7950000000001</v>
      </c>
      <c r="G152" s="58">
        <v>1797.7950000000001</v>
      </c>
      <c r="H152" s="60">
        <v>900</v>
      </c>
      <c r="I152" s="82">
        <v>1E-4</v>
      </c>
      <c r="J152" s="82">
        <v>9.1700000000000004E-2</v>
      </c>
      <c r="K152" s="64">
        <f>110460778.2*1453.21</f>
        <v>160522707488.022</v>
      </c>
      <c r="L152" s="59">
        <f t="shared" si="84"/>
        <v>8.4038318415404822E-2</v>
      </c>
      <c r="M152" s="58">
        <f>1.2434*1453.21</f>
        <v>1806.9213140000002</v>
      </c>
      <c r="N152" s="58">
        <f>1.2434*1453.21</f>
        <v>1806.9213140000002</v>
      </c>
      <c r="O152" s="60">
        <v>906</v>
      </c>
      <c r="P152" s="82">
        <v>1.1000000000000001E-3</v>
      </c>
      <c r="Q152" s="82">
        <v>9.0999999999999998E-2</v>
      </c>
      <c r="R152" s="88">
        <f t="shared" si="86"/>
        <v>-8.9583482717616649E-3</v>
      </c>
      <c r="S152" s="88">
        <f t="shared" si="87"/>
        <v>5.076393025901225E-3</v>
      </c>
      <c r="T152" s="88">
        <f t="shared" si="88"/>
        <v>6.6666666666666671E-3</v>
      </c>
      <c r="U152" s="88">
        <f t="shared" si="89"/>
        <v>1E-3</v>
      </c>
      <c r="V152" s="89">
        <f t="shared" si="90"/>
        <v>-7.0000000000000617E-4</v>
      </c>
    </row>
    <row r="153" spans="1:24" ht="16.5" customHeight="1">
      <c r="A153" s="178">
        <v>136</v>
      </c>
      <c r="B153" s="179" t="s">
        <v>211</v>
      </c>
      <c r="C153" s="180" t="s">
        <v>113</v>
      </c>
      <c r="D153" s="58">
        <v>1876359974.5946374</v>
      </c>
      <c r="E153" s="59">
        <f t="shared" si="85"/>
        <v>9.8702369240636799E-4</v>
      </c>
      <c r="F153" s="58">
        <v>159590.12105099999</v>
      </c>
      <c r="G153" s="58">
        <v>159590.12105099999</v>
      </c>
      <c r="H153" s="60">
        <v>31</v>
      </c>
      <c r="I153" s="82">
        <v>9.1999999999999998E-3</v>
      </c>
      <c r="J153" s="82">
        <v>7.8200000000000006E-2</v>
      </c>
      <c r="K153" s="58">
        <f>1304886.36968833*W137</f>
        <v>1892644640.8347638</v>
      </c>
      <c r="L153" s="59">
        <f t="shared" si="84"/>
        <v>9.9085466139144096E-4</v>
      </c>
      <c r="M153" s="58">
        <f>110.99*W137</f>
        <v>160983.08141299998</v>
      </c>
      <c r="N153" s="58">
        <f>110.99*W137</f>
        <v>160983.08141299998</v>
      </c>
      <c r="O153" s="60">
        <v>31</v>
      </c>
      <c r="P153" s="82">
        <v>6.1000000000000004E-3</v>
      </c>
      <c r="Q153" s="82">
        <v>8.3599999999999994E-2</v>
      </c>
      <c r="R153" s="88">
        <f t="shared" si="86"/>
        <v>8.6788603789336623E-3</v>
      </c>
      <c r="S153" s="88">
        <f t="shared" si="87"/>
        <v>8.7283620867411767E-3</v>
      </c>
      <c r="T153" s="88">
        <f t="shared" si="88"/>
        <v>0</v>
      </c>
      <c r="U153" s="88">
        <f t="shared" si="89"/>
        <v>-3.0999999999999995E-3</v>
      </c>
      <c r="V153" s="89">
        <f t="shared" si="90"/>
        <v>5.3999999999999881E-3</v>
      </c>
    </row>
    <row r="154" spans="1:24" ht="16.5" customHeight="1">
      <c r="A154" s="178">
        <v>137</v>
      </c>
      <c r="B154" s="179" t="s">
        <v>212</v>
      </c>
      <c r="C154" s="180" t="s">
        <v>124</v>
      </c>
      <c r="D154" s="58">
        <v>3267467973.2323647</v>
      </c>
      <c r="E154" s="59">
        <f t="shared" si="85"/>
        <v>1.7187897564570963E-3</v>
      </c>
      <c r="F154" s="58">
        <v>1634.8185729999998</v>
      </c>
      <c r="G154" s="58">
        <v>1634.8185729999998</v>
      </c>
      <c r="H154" s="60">
        <v>41</v>
      </c>
      <c r="I154" s="82">
        <v>0.12470000000000001</v>
      </c>
      <c r="J154" s="82">
        <v>0.13439999999999999</v>
      </c>
      <c r="K154" s="58">
        <f>3053011.57*W137</f>
        <v>4428175602.5600586</v>
      </c>
      <c r="L154" s="59">
        <f t="shared" si="84"/>
        <v>2.3182790591482995E-3</v>
      </c>
      <c r="M154" s="58">
        <f>1.15*W137</f>
        <v>1667.9930049999998</v>
      </c>
      <c r="N154" s="58">
        <f>1.15*W137</f>
        <v>1667.9930049999998</v>
      </c>
      <c r="O154" s="60">
        <v>42</v>
      </c>
      <c r="P154" s="82">
        <v>0.14149999999999999</v>
      </c>
      <c r="Q154" s="82">
        <v>0.1522</v>
      </c>
      <c r="R154" s="88">
        <f t="shared" ref="R154" si="106">((K154-D154)/D154)</f>
        <v>0.35523152448207662</v>
      </c>
      <c r="S154" s="88">
        <f t="shared" ref="S154" si="107">((N154-G154)/G154)</f>
        <v>2.0292424216298666E-2</v>
      </c>
      <c r="T154" s="88">
        <f t="shared" si="88"/>
        <v>2.4390243902439025E-2</v>
      </c>
      <c r="U154" s="88">
        <f t="shared" si="89"/>
        <v>1.6799999999999982E-2</v>
      </c>
      <c r="V154" s="89">
        <f t="shared" si="90"/>
        <v>1.780000000000001E-2</v>
      </c>
    </row>
    <row r="155" spans="1:24">
      <c r="A155" s="178">
        <v>138</v>
      </c>
      <c r="B155" s="179" t="s">
        <v>213</v>
      </c>
      <c r="C155" s="180" t="s">
        <v>126</v>
      </c>
      <c r="D155" s="58">
        <v>1732523693.0918181</v>
      </c>
      <c r="E155" s="59">
        <f t="shared" si="85"/>
        <v>9.1136133571940807E-4</v>
      </c>
      <c r="F155" s="58">
        <v>2112.2434659999999</v>
      </c>
      <c r="G155" s="58">
        <v>2112.2434659999999</v>
      </c>
      <c r="H155" s="60">
        <v>121</v>
      </c>
      <c r="I155" s="82">
        <v>1.1299999999999999E-2</v>
      </c>
      <c r="J155" s="82">
        <v>0.1762</v>
      </c>
      <c r="K155" s="58">
        <f>1212620.26*W137</f>
        <v>1758819227.3054619</v>
      </c>
      <c r="L155" s="59">
        <f t="shared" si="84"/>
        <v>9.2079315489032555E-4</v>
      </c>
      <c r="M155" s="58">
        <f>1.48*W137</f>
        <v>2146.6344759999997</v>
      </c>
      <c r="N155" s="58">
        <f>1.48*W137</f>
        <v>2146.6344759999997</v>
      </c>
      <c r="O155" s="60">
        <v>121</v>
      </c>
      <c r="P155" s="82">
        <v>1.26E-2</v>
      </c>
      <c r="Q155" s="82">
        <v>0.19139999999999999</v>
      </c>
      <c r="R155" s="88">
        <f t="shared" si="86"/>
        <v>1.5177589962257567E-2</v>
      </c>
      <c r="S155" s="88">
        <f t="shared" si="87"/>
        <v>1.6281745240820562E-2</v>
      </c>
      <c r="T155" s="88">
        <f t="shared" si="88"/>
        <v>0</v>
      </c>
      <c r="U155" s="88">
        <f t="shared" si="89"/>
        <v>1.3000000000000008E-3</v>
      </c>
      <c r="V155" s="89">
        <f t="shared" si="90"/>
        <v>1.5199999999999991E-2</v>
      </c>
    </row>
    <row r="156" spans="1:24">
      <c r="A156" s="67"/>
      <c r="B156" s="68"/>
      <c r="C156" s="103" t="s">
        <v>56</v>
      </c>
      <c r="D156" s="91">
        <f>SUM(D118:D155)</f>
        <v>1901028302593.2881</v>
      </c>
      <c r="E156" s="71">
        <f>(D156/$D$231)</f>
        <v>0.25632276036222279</v>
      </c>
      <c r="F156" s="72"/>
      <c r="G156" s="77"/>
      <c r="H156" s="74">
        <f>SUM(H118:H155)</f>
        <v>28274</v>
      </c>
      <c r="I156" s="107"/>
      <c r="J156" s="107"/>
      <c r="K156" s="91">
        <f>SUM(K118:K155)</f>
        <v>1910113273501.6394</v>
      </c>
      <c r="L156" s="71">
        <f>(K156/$K$231)</f>
        <v>0.2555925057916803</v>
      </c>
      <c r="M156" s="72"/>
      <c r="N156" s="77"/>
      <c r="O156" s="74">
        <f>SUM(O118:O155)</f>
        <v>28348</v>
      </c>
      <c r="P156" s="107"/>
      <c r="Q156" s="107"/>
      <c r="R156" s="88">
        <f t="shared" si="86"/>
        <v>4.7789771966877366E-3</v>
      </c>
      <c r="S156" s="88" t="e">
        <f t="shared" si="87"/>
        <v>#DIV/0!</v>
      </c>
      <c r="T156" s="88">
        <f t="shared" si="88"/>
        <v>2.6172455259248781E-3</v>
      </c>
      <c r="U156" s="88">
        <f t="shared" si="89"/>
        <v>0</v>
      </c>
      <c r="V156" s="89">
        <f t="shared" si="90"/>
        <v>0</v>
      </c>
    </row>
    <row r="157" spans="1:24" ht="6" customHeight="1">
      <c r="A157" s="67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4">
      <c r="A158" s="195" t="s">
        <v>214</v>
      </c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4">
      <c r="A159" s="178">
        <v>139</v>
      </c>
      <c r="B159" s="179" t="s">
        <v>215</v>
      </c>
      <c r="C159" s="180" t="s">
        <v>216</v>
      </c>
      <c r="D159" s="104">
        <v>2542573600.3452401</v>
      </c>
      <c r="E159" s="59">
        <f>(D159/$D$165)</f>
        <v>5.2957244074133963E-3</v>
      </c>
      <c r="F159" s="92">
        <v>119.819679563866</v>
      </c>
      <c r="G159" s="92">
        <v>119.819679563866</v>
      </c>
      <c r="H159" s="60">
        <v>8</v>
      </c>
      <c r="I159" s="82">
        <v>-1.41E-2</v>
      </c>
      <c r="J159" s="82">
        <v>0.13639999999999999</v>
      </c>
      <c r="K159" s="104">
        <v>2550201321.1462798</v>
      </c>
      <c r="L159" s="59">
        <f>(K159/$K$165)</f>
        <v>5.3022884367262962E-3</v>
      </c>
      <c r="M159" s="92">
        <v>120.179138602558</v>
      </c>
      <c r="N159" s="92">
        <v>120.179138602558</v>
      </c>
      <c r="O159" s="60">
        <v>8</v>
      </c>
      <c r="P159" s="82">
        <v>3.0000000000000001E-3</v>
      </c>
      <c r="Q159" s="82">
        <v>0.13980000000000001</v>
      </c>
      <c r="R159" s="88">
        <f t="shared" ref="R159:R165" si="108">((K159-D159)/D159)</f>
        <v>3.0000000000015635E-3</v>
      </c>
      <c r="S159" s="88">
        <f t="shared" ref="S159:T165" si="109">((N159-G159)/G159)</f>
        <v>3.0000000000033108E-3</v>
      </c>
      <c r="T159" s="88">
        <f t="shared" si="109"/>
        <v>0</v>
      </c>
      <c r="U159" s="88">
        <f t="shared" ref="U159:V165" si="110">P159-I159</f>
        <v>1.7100000000000001E-2</v>
      </c>
      <c r="V159" s="89">
        <f t="shared" si="110"/>
        <v>3.4000000000000141E-3</v>
      </c>
    </row>
    <row r="160" spans="1:24">
      <c r="A160" s="178">
        <v>140</v>
      </c>
      <c r="B160" s="179" t="s">
        <v>217</v>
      </c>
      <c r="C160" s="180" t="s">
        <v>24</v>
      </c>
      <c r="D160" s="104">
        <v>267137510362.04001</v>
      </c>
      <c r="E160" s="59">
        <v>0</v>
      </c>
      <c r="F160" s="92">
        <v>106.855</v>
      </c>
      <c r="G160" s="92">
        <v>106.855</v>
      </c>
      <c r="H160" s="60">
        <v>45</v>
      </c>
      <c r="I160" s="82">
        <v>0.1116</v>
      </c>
      <c r="J160" s="82">
        <v>9.7699999999999995E-2</v>
      </c>
      <c r="K160" s="104">
        <v>267933901679.32999</v>
      </c>
      <c r="L160" s="59">
        <f t="shared" ref="L160:L164" si="111">(K160/$K$165)</f>
        <v>0.55707869684684486</v>
      </c>
      <c r="M160" s="92">
        <v>107.17359999999999</v>
      </c>
      <c r="N160" s="92">
        <v>107.17359999999999</v>
      </c>
      <c r="O160" s="60">
        <v>45</v>
      </c>
      <c r="P160" s="82">
        <v>0.1555</v>
      </c>
      <c r="Q160" s="82">
        <v>9.9599999999999994E-2</v>
      </c>
      <c r="R160" s="88">
        <f t="shared" ref="R160" si="112">((K160-D160)/D160)</f>
        <v>2.9812036363244645E-3</v>
      </c>
      <c r="S160" s="88">
        <f t="shared" ref="S160" si="113">((N160-G160)/G160)</f>
        <v>2.9816105937952304E-3</v>
      </c>
      <c r="T160" s="88">
        <f t="shared" ref="T160" si="114">((O160-H160)/H160)</f>
        <v>0</v>
      </c>
      <c r="U160" s="88">
        <f t="shared" ref="U160" si="115">P160-I160</f>
        <v>4.3899999999999995E-2</v>
      </c>
      <c r="V160" s="89">
        <f t="shared" ref="V160" si="116">Q160-J160</f>
        <v>1.8999999999999989E-3</v>
      </c>
    </row>
    <row r="161" spans="1:22">
      <c r="A161" s="178">
        <v>141</v>
      </c>
      <c r="B161" s="179" t="s">
        <v>218</v>
      </c>
      <c r="C161" s="180" t="s">
        <v>48</v>
      </c>
      <c r="D161" s="64">
        <v>163627573866</v>
      </c>
      <c r="E161" s="59">
        <f>(D161/$D$165)</f>
        <v>0.34080686456052023</v>
      </c>
      <c r="F161" s="92">
        <v>103</v>
      </c>
      <c r="G161" s="92">
        <v>103</v>
      </c>
      <c r="H161" s="60">
        <v>851</v>
      </c>
      <c r="I161" s="82">
        <v>9.2999999999999999E-2</v>
      </c>
      <c r="J161" s="82">
        <v>9.2999999999999999E-2</v>
      </c>
      <c r="K161" s="64">
        <v>163627573866</v>
      </c>
      <c r="L161" s="59">
        <f t="shared" si="111"/>
        <v>0.34020866730995786</v>
      </c>
      <c r="M161" s="92">
        <v>103</v>
      </c>
      <c r="N161" s="92">
        <v>103</v>
      </c>
      <c r="O161" s="60">
        <v>851</v>
      </c>
      <c r="P161" s="82">
        <v>9.2999999999999999E-2</v>
      </c>
      <c r="Q161" s="82">
        <v>9.2999999999999999E-2</v>
      </c>
      <c r="R161" s="88">
        <f t="shared" si="108"/>
        <v>0</v>
      </c>
      <c r="S161" s="88">
        <f t="shared" si="109"/>
        <v>0</v>
      </c>
      <c r="T161" s="88">
        <f t="shared" si="109"/>
        <v>0</v>
      </c>
      <c r="U161" s="88">
        <f t="shared" si="110"/>
        <v>0</v>
      </c>
      <c r="V161" s="89">
        <f t="shared" si="110"/>
        <v>0</v>
      </c>
    </row>
    <row r="162" spans="1:22" ht="15.75" customHeight="1">
      <c r="A162" s="178">
        <v>142</v>
      </c>
      <c r="B162" s="179" t="s">
        <v>220</v>
      </c>
      <c r="C162" s="180" t="s">
        <v>162</v>
      </c>
      <c r="D162" s="64">
        <v>2948808026.5673499</v>
      </c>
      <c r="E162" s="59">
        <f>(D162/$D$165)</f>
        <v>6.1418377965337312E-3</v>
      </c>
      <c r="F162" s="92">
        <v>418.75</v>
      </c>
      <c r="G162" s="92">
        <v>418.75</v>
      </c>
      <c r="H162" s="60">
        <v>3871</v>
      </c>
      <c r="I162" s="82">
        <v>0.1183</v>
      </c>
      <c r="J162" s="82">
        <v>0.21510000000000001</v>
      </c>
      <c r="K162" s="64">
        <v>2970328196.9573102</v>
      </c>
      <c r="L162" s="59">
        <f t="shared" si="111"/>
        <v>6.1758013853312642E-3</v>
      </c>
      <c r="M162" s="92">
        <v>418.75</v>
      </c>
      <c r="N162" s="92">
        <v>418.75</v>
      </c>
      <c r="O162" s="60">
        <v>3871</v>
      </c>
      <c r="P162" s="82">
        <v>0.46489999999999998</v>
      </c>
      <c r="Q162" s="82">
        <v>0.2228</v>
      </c>
      <c r="R162" s="88">
        <f t="shared" si="108"/>
        <v>7.2979218030044162E-3</v>
      </c>
      <c r="S162" s="88">
        <f t="shared" si="109"/>
        <v>0</v>
      </c>
      <c r="T162" s="88">
        <f t="shared" si="109"/>
        <v>0</v>
      </c>
      <c r="U162" s="88">
        <f t="shared" si="110"/>
        <v>0.34659999999999996</v>
      </c>
      <c r="V162" s="89">
        <f t="shared" si="110"/>
        <v>7.6999999999999846E-3</v>
      </c>
    </row>
    <row r="163" spans="1:22">
      <c r="A163" s="178">
        <v>143</v>
      </c>
      <c r="B163" s="179" t="s">
        <v>219</v>
      </c>
      <c r="C163" s="180" t="s">
        <v>162</v>
      </c>
      <c r="D163" s="64">
        <v>10806181197.02</v>
      </c>
      <c r="E163" s="59">
        <f>(D163/$D$165)</f>
        <v>2.2507335680752798E-2</v>
      </c>
      <c r="F163" s="92">
        <v>51.8</v>
      </c>
      <c r="G163" s="92">
        <v>51.8</v>
      </c>
      <c r="H163" s="60">
        <v>5970</v>
      </c>
      <c r="I163" s="82">
        <v>8.3699999999999997E-2</v>
      </c>
      <c r="J163" s="82">
        <v>0.21160000000000001</v>
      </c>
      <c r="K163" s="64">
        <v>10818476792.25</v>
      </c>
      <c r="L163" s="59">
        <f t="shared" si="111"/>
        <v>2.2493394510812677E-2</v>
      </c>
      <c r="M163" s="92">
        <v>51.8</v>
      </c>
      <c r="N163" s="92">
        <v>51.8</v>
      </c>
      <c r="O163" s="60">
        <v>5970</v>
      </c>
      <c r="P163" s="82">
        <v>2.92E-2</v>
      </c>
      <c r="Q163" s="82">
        <v>0.20979999999999999</v>
      </c>
      <c r="R163" s="88">
        <f t="shared" si="108"/>
        <v>1.1378298221938268E-3</v>
      </c>
      <c r="S163" s="88">
        <f t="shared" si="109"/>
        <v>0</v>
      </c>
      <c r="T163" s="88">
        <f t="shared" si="109"/>
        <v>0</v>
      </c>
      <c r="U163" s="88">
        <f t="shared" si="110"/>
        <v>-5.4499999999999993E-2</v>
      </c>
      <c r="V163" s="89">
        <f t="shared" si="110"/>
        <v>-1.8000000000000238E-3</v>
      </c>
    </row>
    <row r="164" spans="1:22">
      <c r="A164" s="178">
        <v>144</v>
      </c>
      <c r="B164" s="179" t="s">
        <v>327</v>
      </c>
      <c r="C164" s="180" t="s">
        <v>50</v>
      </c>
      <c r="D164" s="64">
        <v>33055539760.380001</v>
      </c>
      <c r="E164" s="59">
        <f>(D164/$D$165)</f>
        <v>6.8848755719598045E-2</v>
      </c>
      <c r="F164" s="92">
        <v>6.6</v>
      </c>
      <c r="G164" s="92">
        <v>6.6</v>
      </c>
      <c r="H164" s="60">
        <v>210769</v>
      </c>
      <c r="I164" s="82">
        <v>-6.6699999999999995E-2</v>
      </c>
      <c r="J164" s="82">
        <v>0.26</v>
      </c>
      <c r="K164" s="64">
        <v>33061908549.619999</v>
      </c>
      <c r="L164" s="59">
        <f t="shared" si="111"/>
        <v>6.8741151510326962E-2</v>
      </c>
      <c r="M164" s="92">
        <v>6.8</v>
      </c>
      <c r="N164" s="92">
        <v>6.8</v>
      </c>
      <c r="O164" s="60">
        <v>211092</v>
      </c>
      <c r="P164" s="82">
        <v>3.0300000000000001E-2</v>
      </c>
      <c r="Q164" s="82">
        <v>0.36</v>
      </c>
      <c r="R164" s="88">
        <f t="shared" si="108"/>
        <v>1.9266934638385253E-4</v>
      </c>
      <c r="S164" s="88">
        <f t="shared" si="109"/>
        <v>3.0303030303030332E-2</v>
      </c>
      <c r="T164" s="88">
        <f t="shared" si="109"/>
        <v>1.532483429726383E-3</v>
      </c>
      <c r="U164" s="88">
        <f t="shared" si="110"/>
        <v>9.7000000000000003E-2</v>
      </c>
      <c r="V164" s="89">
        <f t="shared" si="110"/>
        <v>9.9999999999999978E-2</v>
      </c>
    </row>
    <row r="165" spans="1:22">
      <c r="A165" s="67"/>
      <c r="B165" s="105"/>
      <c r="C165" s="69" t="s">
        <v>56</v>
      </c>
      <c r="D165" s="70">
        <f>SUM(D159:D164)</f>
        <v>480118186812.3526</v>
      </c>
      <c r="E165" s="71">
        <f>(D165/$D$231)</f>
        <v>6.4736131900807639E-2</v>
      </c>
      <c r="F165" s="72"/>
      <c r="G165" s="106"/>
      <c r="H165" s="74">
        <f>SUM(H159:H164)</f>
        <v>221514</v>
      </c>
      <c r="I165" s="108"/>
      <c r="J165" s="108"/>
      <c r="K165" s="70">
        <f>SUM(K159:K164)</f>
        <v>480962390405.30359</v>
      </c>
      <c r="L165" s="71">
        <f>(K165/$K$231)</f>
        <v>6.4357640073298222E-2</v>
      </c>
      <c r="M165" s="72"/>
      <c r="N165" s="106"/>
      <c r="O165" s="74">
        <f>SUM(O159:O164)</f>
        <v>221837</v>
      </c>
      <c r="P165" s="108"/>
      <c r="Q165" s="108"/>
      <c r="R165" s="88">
        <f t="shared" si="108"/>
        <v>1.7583245462037325E-3</v>
      </c>
      <c r="S165" s="88" t="e">
        <f t="shared" si="109"/>
        <v>#DIV/0!</v>
      </c>
      <c r="T165" s="88">
        <f t="shared" si="109"/>
        <v>1.4581471148550429E-3</v>
      </c>
      <c r="U165" s="88">
        <f t="shared" si="110"/>
        <v>0</v>
      </c>
      <c r="V165" s="89">
        <f t="shared" si="110"/>
        <v>0</v>
      </c>
    </row>
    <row r="166" spans="1:22" ht="5.25" customHeight="1">
      <c r="A166" s="67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customHeight="1">
      <c r="A167" s="195" t="s">
        <v>221</v>
      </c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>
      <c r="A168" s="182">
        <v>145</v>
      </c>
      <c r="B168" s="179" t="s">
        <v>222</v>
      </c>
      <c r="C168" s="180" t="s">
        <v>60</v>
      </c>
      <c r="D168" s="58">
        <v>564026039.30999994</v>
      </c>
      <c r="E168" s="59">
        <f t="shared" ref="E168:E196" si="117">(D168/$D$197)</f>
        <v>7.0198120391705508E-3</v>
      </c>
      <c r="F168" s="58">
        <v>7.47</v>
      </c>
      <c r="G168" s="58">
        <v>7.58</v>
      </c>
      <c r="H168" s="62">
        <v>11933</v>
      </c>
      <c r="I168" s="83">
        <v>6.1440000000000002E-3</v>
      </c>
      <c r="J168" s="83">
        <v>0.30779699999999999</v>
      </c>
      <c r="K168" s="58">
        <v>609570397.01999998</v>
      </c>
      <c r="L168" s="86">
        <f t="shared" ref="L168:L196" si="118">(K168/$K$197)</f>
        <v>7.427197190660974E-3</v>
      </c>
      <c r="M168" s="58">
        <v>7.66</v>
      </c>
      <c r="N168" s="58">
        <v>7.76</v>
      </c>
      <c r="O168" s="62">
        <v>11934</v>
      </c>
      <c r="P168" s="83">
        <v>3.2293000000000002E-2</v>
      </c>
      <c r="Q168" s="83">
        <v>0.34009</v>
      </c>
      <c r="R168" s="88">
        <f>((K168-D168)/D168)</f>
        <v>8.0748679202323051E-2</v>
      </c>
      <c r="S168" s="88">
        <f>((N168-G168)/G168)</f>
        <v>2.3746701846965663E-2</v>
      </c>
      <c r="T168" s="88">
        <f>((O168-H168)/H168)</f>
        <v>8.3801223497863072E-5</v>
      </c>
      <c r="U168" s="88">
        <f>P168-I168</f>
        <v>2.6149000000000002E-2</v>
      </c>
      <c r="V168" s="89">
        <f>Q168-J168</f>
        <v>3.2293000000000016E-2</v>
      </c>
    </row>
    <row r="169" spans="1:22">
      <c r="A169" s="182">
        <v>146</v>
      </c>
      <c r="B169" s="179" t="s">
        <v>223</v>
      </c>
      <c r="C169" s="179" t="s">
        <v>224</v>
      </c>
      <c r="D169" s="58">
        <v>1397647546.64678</v>
      </c>
      <c r="E169" s="59">
        <f t="shared" si="117"/>
        <v>1.7394982484267553E-2</v>
      </c>
      <c r="F169" s="58">
        <v>2140.5100000000002</v>
      </c>
      <c r="G169" s="58">
        <v>2158.4499999999998</v>
      </c>
      <c r="H169" s="62">
        <v>170</v>
      </c>
      <c r="I169" s="83">
        <v>1.9E-3</v>
      </c>
      <c r="J169" s="83">
        <v>0.41880000000000001</v>
      </c>
      <c r="K169" s="58">
        <v>1413864840.3087399</v>
      </c>
      <c r="L169" s="86">
        <f t="shared" si="118"/>
        <v>1.722697332621758E-2</v>
      </c>
      <c r="M169" s="58">
        <v>2165.2720508956199</v>
      </c>
      <c r="N169" s="58">
        <v>2183.5407492336099</v>
      </c>
      <c r="O169" s="62">
        <v>170</v>
      </c>
      <c r="P169" s="83">
        <v>1.1599999999999999E-2</v>
      </c>
      <c r="Q169" s="83">
        <v>0.43519999999999998</v>
      </c>
      <c r="R169" s="88">
        <f>((K169-D169)/D169)</f>
        <v>1.1603278452331013E-2</v>
      </c>
      <c r="S169" s="88">
        <f>((N169-G169)/G169)</f>
        <v>1.1624429212448767E-2</v>
      </c>
      <c r="T169" s="88">
        <f>((O169-H169)/H169)</f>
        <v>0</v>
      </c>
      <c r="U169" s="88">
        <f>P169-I169</f>
        <v>9.6999999999999986E-3</v>
      </c>
      <c r="V169" s="89">
        <f>Q169-J169</f>
        <v>1.639999999999997E-2</v>
      </c>
    </row>
    <row r="170" spans="1:22">
      <c r="A170" s="182">
        <v>147</v>
      </c>
      <c r="B170" s="179" t="s">
        <v>225</v>
      </c>
      <c r="C170" s="180" t="s">
        <v>24</v>
      </c>
      <c r="D170" s="58">
        <v>9510989737.1700001</v>
      </c>
      <c r="E170" s="59">
        <f t="shared" si="117"/>
        <v>0.11837283318176371</v>
      </c>
      <c r="F170" s="58">
        <v>1019.5228</v>
      </c>
      <c r="G170" s="58">
        <v>1050.2621999999999</v>
      </c>
      <c r="H170" s="62">
        <v>22229</v>
      </c>
      <c r="I170" s="83">
        <v>1.66E-2</v>
      </c>
      <c r="J170" s="83">
        <v>0.31069999999999998</v>
      </c>
      <c r="K170" s="58">
        <v>9711068873.7299995</v>
      </c>
      <c r="L170" s="86">
        <f t="shared" si="118"/>
        <v>0.1183227135206768</v>
      </c>
      <c r="M170" s="58">
        <v>1036.0958000000001</v>
      </c>
      <c r="N170" s="58">
        <v>1067.3349000000001</v>
      </c>
      <c r="O170" s="62">
        <v>22270</v>
      </c>
      <c r="P170" s="83">
        <v>0.84760000000000002</v>
      </c>
      <c r="Q170" s="83">
        <v>0.32669999999999999</v>
      </c>
      <c r="R170" s="88">
        <f t="shared" ref="R170:R196" si="119">((K170-D170)/D170)</f>
        <v>2.1036626270141797E-2</v>
      </c>
      <c r="S170" s="88">
        <f t="shared" ref="S170:T196" si="120">((N170-G170)/G170)</f>
        <v>1.6255655016433199E-2</v>
      </c>
      <c r="T170" s="88">
        <f t="shared" si="120"/>
        <v>1.8444374465787935E-3</v>
      </c>
      <c r="U170" s="88">
        <f t="shared" ref="U170:V196" si="121">P170-I170</f>
        <v>0.83100000000000007</v>
      </c>
      <c r="V170" s="89">
        <f t="shared" si="121"/>
        <v>1.6000000000000014E-2</v>
      </c>
    </row>
    <row r="171" spans="1:22">
      <c r="A171" s="182">
        <v>148</v>
      </c>
      <c r="B171" s="179" t="s">
        <v>226</v>
      </c>
      <c r="C171" s="180" t="s">
        <v>128</v>
      </c>
      <c r="D171" s="58">
        <v>5617845234.8299999</v>
      </c>
      <c r="E171" s="59">
        <f t="shared" si="117"/>
        <v>6.9919143559224253E-2</v>
      </c>
      <c r="F171" s="58">
        <v>32.962299999999999</v>
      </c>
      <c r="G171" s="58">
        <v>33.347700000000003</v>
      </c>
      <c r="H171" s="60">
        <v>6177</v>
      </c>
      <c r="I171" s="82">
        <v>9.4000000000000004E-3</v>
      </c>
      <c r="J171" s="82">
        <v>0.54969999999999997</v>
      </c>
      <c r="K171" s="58">
        <v>5696739162.0799999</v>
      </c>
      <c r="L171" s="86">
        <f t="shared" si="118"/>
        <v>6.9410859364846603E-2</v>
      </c>
      <c r="M171" s="58">
        <v>33.213200000000001</v>
      </c>
      <c r="N171" s="58">
        <v>33.602400000000003</v>
      </c>
      <c r="O171" s="60">
        <v>6184</v>
      </c>
      <c r="P171" s="82">
        <v>2.1000000000000001E-2</v>
      </c>
      <c r="Q171" s="82">
        <v>0.5615</v>
      </c>
      <c r="R171" s="88">
        <f t="shared" si="119"/>
        <v>1.4043449748467019E-2</v>
      </c>
      <c r="S171" s="88">
        <f t="shared" si="120"/>
        <v>7.6377081477882938E-3</v>
      </c>
      <c r="T171" s="88">
        <f t="shared" si="120"/>
        <v>1.1332361988020075E-3</v>
      </c>
      <c r="U171" s="88">
        <f t="shared" si="121"/>
        <v>1.1600000000000001E-2</v>
      </c>
      <c r="V171" s="89">
        <f t="shared" si="121"/>
        <v>1.1800000000000033E-2</v>
      </c>
    </row>
    <row r="172" spans="1:22">
      <c r="A172" s="182">
        <v>149</v>
      </c>
      <c r="B172" s="179" t="s">
        <v>227</v>
      </c>
      <c r="C172" s="180" t="s">
        <v>136</v>
      </c>
      <c r="D172" s="64">
        <v>2398887019.4299998</v>
      </c>
      <c r="E172" s="59">
        <f t="shared" si="117"/>
        <v>2.9856309471466117E-2</v>
      </c>
      <c r="F172" s="58">
        <v>5.7241</v>
      </c>
      <c r="G172" s="58">
        <v>5.8503999999999996</v>
      </c>
      <c r="H172" s="60">
        <v>2737</v>
      </c>
      <c r="I172" s="82">
        <v>-7.4800000000000005E-2</v>
      </c>
      <c r="J172" s="82">
        <v>0.33829999999999999</v>
      </c>
      <c r="K172" s="64">
        <v>2458059914.5700002</v>
      </c>
      <c r="L172" s="86">
        <f t="shared" si="118"/>
        <v>2.9949774105207515E-2</v>
      </c>
      <c r="M172" s="58">
        <v>5.8643999999999998</v>
      </c>
      <c r="N172" s="58">
        <v>5.9954999999999998</v>
      </c>
      <c r="O172" s="60">
        <v>2737</v>
      </c>
      <c r="P172" s="82">
        <v>1.2931999999999999</v>
      </c>
      <c r="Q172" s="82">
        <v>0.36480000000000001</v>
      </c>
      <c r="R172" s="88">
        <f t="shared" si="119"/>
        <v>2.466681200937109E-2</v>
      </c>
      <c r="S172" s="88">
        <f t="shared" si="120"/>
        <v>2.4801722959113946E-2</v>
      </c>
      <c r="T172" s="88">
        <f t="shared" si="120"/>
        <v>0</v>
      </c>
      <c r="U172" s="88">
        <f t="shared" si="121"/>
        <v>1.3679999999999999</v>
      </c>
      <c r="V172" s="89">
        <f t="shared" si="121"/>
        <v>2.6500000000000024E-2</v>
      </c>
    </row>
    <row r="173" spans="1:22">
      <c r="A173" s="182">
        <v>150</v>
      </c>
      <c r="B173" s="179" t="s">
        <v>228</v>
      </c>
      <c r="C173" s="180" t="s">
        <v>28</v>
      </c>
      <c r="D173" s="64">
        <v>1045557094.22</v>
      </c>
      <c r="E173" s="59">
        <f t="shared" si="117"/>
        <v>1.3012899699851865E-2</v>
      </c>
      <c r="F173" s="58">
        <v>1.1534</v>
      </c>
      <c r="G173" s="58">
        <v>1.1617999999999999</v>
      </c>
      <c r="H173" s="60">
        <v>214</v>
      </c>
      <c r="I173" s="82">
        <v>3.5000000000000001E-3</v>
      </c>
      <c r="J173" s="82">
        <v>0.15759999999999999</v>
      </c>
      <c r="K173" s="64">
        <v>1055325792.78</v>
      </c>
      <c r="L173" s="86">
        <f t="shared" si="118"/>
        <v>1.2858420949714381E-2</v>
      </c>
      <c r="M173" s="58">
        <v>1.1666000000000001</v>
      </c>
      <c r="N173" s="58">
        <v>1.1753</v>
      </c>
      <c r="O173" s="60">
        <v>214</v>
      </c>
      <c r="P173" s="82">
        <v>1.1599999999999999E-2</v>
      </c>
      <c r="Q173" s="82">
        <v>0.1709</v>
      </c>
      <c r="R173" s="88">
        <f t="shared" ref="R173" si="122">((K173-D173)/D173)</f>
        <v>9.3430560741281435E-3</v>
      </c>
      <c r="S173" s="88">
        <f t="shared" ref="S173" si="123">((N173-G173)/G173)</f>
        <v>1.1619900154932061E-2</v>
      </c>
      <c r="T173" s="88">
        <f t="shared" ref="T173" si="124">((O173-H173)/H173)</f>
        <v>0</v>
      </c>
      <c r="U173" s="88">
        <f t="shared" ref="U173" si="125">P173-I173</f>
        <v>8.0999999999999996E-3</v>
      </c>
      <c r="V173" s="89">
        <f t="shared" ref="V173" si="126">Q173-J173</f>
        <v>1.3300000000000006E-2</v>
      </c>
    </row>
    <row r="174" spans="1:22">
      <c r="A174" s="182">
        <v>151</v>
      </c>
      <c r="B174" s="179" t="s">
        <v>229</v>
      </c>
      <c r="C174" s="180" t="s">
        <v>71</v>
      </c>
      <c r="D174" s="58">
        <v>6243041732.34587</v>
      </c>
      <c r="E174" s="59">
        <f t="shared" si="117"/>
        <v>7.7700277042845226E-2</v>
      </c>
      <c r="F174" s="58">
        <v>11002.3576645707</v>
      </c>
      <c r="G174" s="58">
        <v>11082.9057785898</v>
      </c>
      <c r="H174" s="60">
        <v>1363</v>
      </c>
      <c r="I174" s="82">
        <v>-1.2853000000000001</v>
      </c>
      <c r="J174" s="82">
        <v>0.48349999999999999</v>
      </c>
      <c r="K174" s="58">
        <v>6289696732.5100002</v>
      </c>
      <c r="L174" s="86">
        <f t="shared" si="118"/>
        <v>7.6635640658047025E-2</v>
      </c>
      <c r="M174" s="58">
        <v>11117.56</v>
      </c>
      <c r="N174" s="58">
        <v>11199.93</v>
      </c>
      <c r="O174" s="60">
        <v>1341</v>
      </c>
      <c r="P174" s="82">
        <v>0.54600000000000004</v>
      </c>
      <c r="Q174" s="82">
        <v>0.48980000000000001</v>
      </c>
      <c r="R174" s="88">
        <f t="shared" si="119"/>
        <v>7.4731200213520345E-3</v>
      </c>
      <c r="S174" s="88">
        <f t="shared" si="120"/>
        <v>1.0558983695076603E-2</v>
      </c>
      <c r="T174" s="88">
        <f t="shared" si="120"/>
        <v>-1.6140865737344093E-2</v>
      </c>
      <c r="U174" s="88">
        <f t="shared" si="121"/>
        <v>1.8313000000000001</v>
      </c>
      <c r="V174" s="89">
        <f t="shared" si="121"/>
        <v>6.3000000000000278E-3</v>
      </c>
    </row>
    <row r="175" spans="1:22">
      <c r="A175" s="182">
        <v>152</v>
      </c>
      <c r="B175" s="179" t="s">
        <v>230</v>
      </c>
      <c r="C175" s="180" t="s">
        <v>73</v>
      </c>
      <c r="D175" s="58">
        <v>1239131430.8599999</v>
      </c>
      <c r="E175" s="59">
        <f t="shared" si="117"/>
        <v>1.5422106658598445E-2</v>
      </c>
      <c r="F175" s="58">
        <v>224.54</v>
      </c>
      <c r="G175" s="58">
        <v>226.19</v>
      </c>
      <c r="H175" s="60">
        <v>508</v>
      </c>
      <c r="I175" s="82">
        <v>4.1999999999999997E-3</v>
      </c>
      <c r="J175" s="82">
        <v>0.22140000000000001</v>
      </c>
      <c r="K175" s="58">
        <v>1259029701.6700001</v>
      </c>
      <c r="L175" s="86">
        <f t="shared" si="118"/>
        <v>1.5340413361469948E-2</v>
      </c>
      <c r="M175" s="58">
        <v>227.7</v>
      </c>
      <c r="N175" s="58">
        <v>229.39</v>
      </c>
      <c r="O175" s="60">
        <v>508</v>
      </c>
      <c r="P175" s="82">
        <v>1.41E-2</v>
      </c>
      <c r="Q175" s="82">
        <v>0.2369</v>
      </c>
      <c r="R175" s="88">
        <f t="shared" si="119"/>
        <v>1.6058240727692699E-2</v>
      </c>
      <c r="S175" s="88">
        <f t="shared" si="120"/>
        <v>1.4147398205048803E-2</v>
      </c>
      <c r="T175" s="88">
        <f t="shared" si="120"/>
        <v>0</v>
      </c>
      <c r="U175" s="88">
        <f t="shared" si="121"/>
        <v>9.8999999999999991E-3</v>
      </c>
      <c r="V175" s="89">
        <f t="shared" si="121"/>
        <v>1.5499999999999986E-2</v>
      </c>
    </row>
    <row r="176" spans="1:22">
      <c r="A176" s="182">
        <v>153</v>
      </c>
      <c r="B176" s="179" t="s">
        <v>231</v>
      </c>
      <c r="C176" s="180" t="s">
        <v>232</v>
      </c>
      <c r="D176" s="58">
        <v>1113207568.52</v>
      </c>
      <c r="E176" s="59">
        <f t="shared" si="117"/>
        <v>1.3854870780704262E-2</v>
      </c>
      <c r="F176" s="58">
        <v>2.0752000000000002</v>
      </c>
      <c r="G176" s="58">
        <v>2.1073</v>
      </c>
      <c r="H176" s="60">
        <v>3392</v>
      </c>
      <c r="I176" s="82">
        <v>2.5999999999999999E-3</v>
      </c>
      <c r="J176" s="82">
        <v>0.41760000000000003</v>
      </c>
      <c r="K176" s="58">
        <v>1165592381.3399999</v>
      </c>
      <c r="L176" s="86">
        <f t="shared" si="118"/>
        <v>1.4201943700786774E-2</v>
      </c>
      <c r="M176" s="58">
        <v>2.1017000000000001</v>
      </c>
      <c r="N176" s="58">
        <v>2.1362000000000001</v>
      </c>
      <c r="O176" s="60">
        <v>3517</v>
      </c>
      <c r="P176" s="82">
        <v>1.2800000000000001E-2</v>
      </c>
      <c r="Q176" s="82">
        <v>0.43569999999999998</v>
      </c>
      <c r="R176" s="88">
        <f t="shared" si="119"/>
        <v>4.7057542817145144E-2</v>
      </c>
      <c r="S176" s="88">
        <f t="shared" si="120"/>
        <v>1.3714231481042163E-2</v>
      </c>
      <c r="T176" s="88">
        <f t="shared" si="120"/>
        <v>3.6851415094339625E-2</v>
      </c>
      <c r="U176" s="88">
        <f t="shared" si="121"/>
        <v>1.0200000000000001E-2</v>
      </c>
      <c r="V176" s="89">
        <f t="shared" si="121"/>
        <v>1.8099999999999949E-2</v>
      </c>
    </row>
    <row r="177" spans="1:22">
      <c r="A177" s="182">
        <v>154</v>
      </c>
      <c r="B177" s="179" t="s">
        <v>233</v>
      </c>
      <c r="C177" s="180" t="s">
        <v>30</v>
      </c>
      <c r="D177" s="76">
        <v>172681489.34999999</v>
      </c>
      <c r="E177" s="59">
        <f t="shared" si="117"/>
        <v>2.1491766574535517E-3</v>
      </c>
      <c r="F177" s="58">
        <v>202.20429999999999</v>
      </c>
      <c r="G177" s="58">
        <v>203.6027</v>
      </c>
      <c r="H177" s="60">
        <v>158</v>
      </c>
      <c r="I177" s="82">
        <v>3.1489999999999999E-3</v>
      </c>
      <c r="J177" s="82">
        <v>0.26500000000000001</v>
      </c>
      <c r="K177" s="76">
        <v>187899170.75</v>
      </c>
      <c r="L177" s="86">
        <f t="shared" si="118"/>
        <v>2.2894225178000864E-3</v>
      </c>
      <c r="M177" s="58">
        <v>205.52440000000001</v>
      </c>
      <c r="N177" s="58">
        <v>206.86099999999999</v>
      </c>
      <c r="O177" s="60">
        <v>158</v>
      </c>
      <c r="P177" s="82">
        <v>3.2260000000000001E-3</v>
      </c>
      <c r="Q177" s="82">
        <v>0.2858</v>
      </c>
      <c r="R177" s="88">
        <f t="shared" si="119"/>
        <v>8.8125724750705639E-2</v>
      </c>
      <c r="S177" s="88">
        <f t="shared" si="120"/>
        <v>1.6003225890422825E-2</v>
      </c>
      <c r="T177" s="88">
        <f t="shared" si="120"/>
        <v>0</v>
      </c>
      <c r="U177" s="88">
        <f t="shared" si="121"/>
        <v>7.7000000000000245E-5</v>
      </c>
      <c r="V177" s="89">
        <f t="shared" si="121"/>
        <v>2.0799999999999985E-2</v>
      </c>
    </row>
    <row r="178" spans="1:22">
      <c r="A178" s="182">
        <v>155</v>
      </c>
      <c r="B178" s="179" t="s">
        <v>234</v>
      </c>
      <c r="C178" s="180" t="s">
        <v>79</v>
      </c>
      <c r="D178" s="76">
        <v>366733565.47000003</v>
      </c>
      <c r="E178" s="59">
        <f t="shared" si="117"/>
        <v>4.5643295142962469E-3</v>
      </c>
      <c r="F178" s="58">
        <v>162</v>
      </c>
      <c r="G178" s="58">
        <v>162.94</v>
      </c>
      <c r="H178" s="60">
        <v>52</v>
      </c>
      <c r="I178" s="82">
        <v>4.8999999999999998E-3</v>
      </c>
      <c r="J178" s="82">
        <v>0.4133</v>
      </c>
      <c r="K178" s="76">
        <v>374703643.05000001</v>
      </c>
      <c r="L178" s="86">
        <f t="shared" si="118"/>
        <v>4.5655068858274665E-3</v>
      </c>
      <c r="M178" s="58">
        <v>165.2</v>
      </c>
      <c r="N178" s="58">
        <v>166.23</v>
      </c>
      <c r="O178" s="60">
        <v>53</v>
      </c>
      <c r="P178" s="82">
        <v>2.7300000000000001E-2</v>
      </c>
      <c r="Q178" s="82">
        <v>0.44059999999999999</v>
      </c>
      <c r="R178" s="88">
        <f t="shared" si="119"/>
        <v>2.1732610075616221E-2</v>
      </c>
      <c r="S178" s="88">
        <f t="shared" si="120"/>
        <v>2.0191481526942383E-2</v>
      </c>
      <c r="T178" s="88">
        <f t="shared" si="120"/>
        <v>1.9230769230769232E-2</v>
      </c>
      <c r="U178" s="88">
        <f t="shared" si="121"/>
        <v>2.2400000000000003E-2</v>
      </c>
      <c r="V178" s="89">
        <f t="shared" si="121"/>
        <v>2.7299999999999991E-2</v>
      </c>
    </row>
    <row r="179" spans="1:22" ht="15.75" customHeight="1">
      <c r="A179" s="182">
        <v>156</v>
      </c>
      <c r="B179" s="179" t="s">
        <v>235</v>
      </c>
      <c r="C179" s="180" t="s">
        <v>82</v>
      </c>
      <c r="D179" s="64">
        <v>522936345.73000002</v>
      </c>
      <c r="E179" s="59">
        <f t="shared" si="117"/>
        <v>6.5084137958703351E-3</v>
      </c>
      <c r="F179" s="58">
        <v>1.75</v>
      </c>
      <c r="G179" s="58">
        <v>1.77</v>
      </c>
      <c r="H179" s="60">
        <v>129</v>
      </c>
      <c r="I179" s="82">
        <v>0.43509999999999999</v>
      </c>
      <c r="J179" s="82">
        <v>0.43940000000000001</v>
      </c>
      <c r="K179" s="64">
        <v>525428278.16000003</v>
      </c>
      <c r="L179" s="86">
        <f t="shared" si="118"/>
        <v>6.4019831844224964E-3</v>
      </c>
      <c r="M179" s="58">
        <v>1.76</v>
      </c>
      <c r="N179" s="58">
        <v>1.78</v>
      </c>
      <c r="O179" s="60">
        <v>131</v>
      </c>
      <c r="P179" s="82">
        <v>0.43509999999999999</v>
      </c>
      <c r="Q179" s="82">
        <v>0.44719999999999999</v>
      </c>
      <c r="R179" s="88">
        <f t="shared" si="119"/>
        <v>4.7652691390600525E-3</v>
      </c>
      <c r="S179" s="88">
        <f t="shared" si="120"/>
        <v>5.649717514124299E-3</v>
      </c>
      <c r="T179" s="88">
        <f t="shared" si="120"/>
        <v>1.5503875968992248E-2</v>
      </c>
      <c r="U179" s="88">
        <f t="shared" si="121"/>
        <v>0</v>
      </c>
      <c r="V179" s="89">
        <f t="shared" si="121"/>
        <v>7.7999999999999736E-3</v>
      </c>
    </row>
    <row r="180" spans="1:22">
      <c r="A180" s="182">
        <v>157</v>
      </c>
      <c r="B180" s="179" t="s">
        <v>236</v>
      </c>
      <c r="C180" s="180" t="s">
        <v>32</v>
      </c>
      <c r="D180" s="58">
        <v>13801674261.959999</v>
      </c>
      <c r="E180" s="59">
        <f t="shared" si="117"/>
        <v>0.17177426642099961</v>
      </c>
      <c r="F180" s="58">
        <v>413.97</v>
      </c>
      <c r="G180" s="58">
        <v>417.76</v>
      </c>
      <c r="H180" s="60">
        <v>5548</v>
      </c>
      <c r="I180" s="82">
        <v>1.6000000000000001E-3</v>
      </c>
      <c r="J180" s="82">
        <v>0.40810000000000002</v>
      </c>
      <c r="K180" s="58">
        <v>14009642551.4</v>
      </c>
      <c r="L180" s="86">
        <f t="shared" si="118"/>
        <v>0.17069788544293196</v>
      </c>
      <c r="M180" s="58">
        <v>420.83</v>
      </c>
      <c r="N180" s="58">
        <v>424.73</v>
      </c>
      <c r="O180" s="60">
        <v>5552</v>
      </c>
      <c r="P180" s="82">
        <v>1.66E-2</v>
      </c>
      <c r="Q180" s="82">
        <v>0.42930000000000001</v>
      </c>
      <c r="R180" s="88">
        <f t="shared" si="119"/>
        <v>1.5068337760528091E-2</v>
      </c>
      <c r="S180" s="88">
        <f t="shared" si="120"/>
        <v>1.6684220605132197E-2</v>
      </c>
      <c r="T180" s="88">
        <f t="shared" si="120"/>
        <v>7.2098053352559477E-4</v>
      </c>
      <c r="U180" s="88">
        <f t="shared" si="121"/>
        <v>1.4999999999999999E-2</v>
      </c>
      <c r="V180" s="89">
        <f t="shared" si="121"/>
        <v>2.1199999999999997E-2</v>
      </c>
    </row>
    <row r="181" spans="1:22">
      <c r="A181" s="182">
        <v>158</v>
      </c>
      <c r="B181" s="179" t="s">
        <v>237</v>
      </c>
      <c r="C181" s="180" t="s">
        <v>92</v>
      </c>
      <c r="D181" s="58">
        <v>4312614641.0500002</v>
      </c>
      <c r="E181" s="59">
        <f t="shared" si="117"/>
        <v>5.3674373287058333E-2</v>
      </c>
      <c r="F181" s="58">
        <v>2.9739</v>
      </c>
      <c r="G181" s="58">
        <v>3.0306999999999999</v>
      </c>
      <c r="H181" s="60">
        <v>10207</v>
      </c>
      <c r="I181" s="82">
        <v>2.8E-3</v>
      </c>
      <c r="J181" s="82">
        <v>0.28370000000000001</v>
      </c>
      <c r="K181" s="58">
        <v>4359322316.4799995</v>
      </c>
      <c r="L181" s="86">
        <f t="shared" si="118"/>
        <v>5.3115352419391908E-2</v>
      </c>
      <c r="M181" s="58">
        <v>3.0038</v>
      </c>
      <c r="N181" s="58">
        <v>3.0615999999999999</v>
      </c>
      <c r="O181" s="60">
        <v>10207</v>
      </c>
      <c r="P181" s="82">
        <v>1.01E-2</v>
      </c>
      <c r="Q181" s="82">
        <v>0.29670000000000002</v>
      </c>
      <c r="R181" s="88">
        <f t="shared" si="119"/>
        <v>1.0830477405842908E-2</v>
      </c>
      <c r="S181" s="88">
        <f t="shared" si="120"/>
        <v>1.0195664367967773E-2</v>
      </c>
      <c r="T181" s="88">
        <f t="shared" si="120"/>
        <v>0</v>
      </c>
      <c r="U181" s="88">
        <f t="shared" si="121"/>
        <v>7.2999999999999992E-3</v>
      </c>
      <c r="V181" s="89">
        <f t="shared" si="121"/>
        <v>1.3000000000000012E-2</v>
      </c>
    </row>
    <row r="182" spans="1:22">
      <c r="A182" s="182">
        <v>159</v>
      </c>
      <c r="B182" s="172" t="s">
        <v>238</v>
      </c>
      <c r="C182" s="173" t="s">
        <v>94</v>
      </c>
      <c r="D182" s="58">
        <v>285288472.04000002</v>
      </c>
      <c r="E182" s="59">
        <f t="shared" si="117"/>
        <v>3.550671974494169E-3</v>
      </c>
      <c r="F182" s="58">
        <v>325.37</v>
      </c>
      <c r="G182" s="58">
        <v>327.47000000000003</v>
      </c>
      <c r="H182" s="60">
        <v>32</v>
      </c>
      <c r="I182" s="82">
        <v>-5.0000000000000001E-4</v>
      </c>
      <c r="J182" s="82">
        <v>0.1346</v>
      </c>
      <c r="K182" s="58">
        <v>291071301.63999999</v>
      </c>
      <c r="L182" s="86">
        <f t="shared" si="118"/>
        <v>3.5465041681669966E-3</v>
      </c>
      <c r="M182" s="58">
        <v>331.8</v>
      </c>
      <c r="N182" s="58">
        <v>333.95</v>
      </c>
      <c r="O182" s="60">
        <v>32</v>
      </c>
      <c r="P182" s="82">
        <v>2.0011000000000001E-2</v>
      </c>
      <c r="Q182" s="82">
        <v>0.15479100000000001</v>
      </c>
      <c r="R182" s="88">
        <f t="shared" si="119"/>
        <v>2.027011311970979E-2</v>
      </c>
      <c r="S182" s="88">
        <f t="shared" si="120"/>
        <v>1.9788072189818796E-2</v>
      </c>
      <c r="T182" s="88">
        <f t="shared" si="120"/>
        <v>0</v>
      </c>
      <c r="U182" s="88">
        <f t="shared" si="121"/>
        <v>2.0511000000000001E-2</v>
      </c>
      <c r="V182" s="89">
        <f t="shared" si="121"/>
        <v>2.0191000000000014E-2</v>
      </c>
    </row>
    <row r="183" spans="1:22">
      <c r="A183" s="182">
        <v>160</v>
      </c>
      <c r="B183" s="179" t="s">
        <v>239</v>
      </c>
      <c r="C183" s="179" t="s">
        <v>96</v>
      </c>
      <c r="D183" s="79">
        <v>70762186.950000003</v>
      </c>
      <c r="E183" s="59">
        <f t="shared" si="117"/>
        <v>8.8069914728995441E-4</v>
      </c>
      <c r="F183" s="58">
        <v>1.401</v>
      </c>
      <c r="G183" s="58">
        <v>1.401</v>
      </c>
      <c r="H183" s="60">
        <v>23</v>
      </c>
      <c r="I183" s="82">
        <v>1.95E-2</v>
      </c>
      <c r="J183" s="82">
        <v>0.15809999999999999</v>
      </c>
      <c r="K183" s="79">
        <v>70762186.950000003</v>
      </c>
      <c r="L183" s="86">
        <f t="shared" si="118"/>
        <v>8.6218871305002512E-4</v>
      </c>
      <c r="M183" s="58">
        <v>1.4089</v>
      </c>
      <c r="N183" s="58">
        <v>1.4089</v>
      </c>
      <c r="O183" s="60">
        <v>23</v>
      </c>
      <c r="P183" s="82">
        <v>6.1999999999999998E-3</v>
      </c>
      <c r="Q183" s="82">
        <v>0.16539999999999999</v>
      </c>
      <c r="R183" s="88">
        <f t="shared" si="119"/>
        <v>0</v>
      </c>
      <c r="S183" s="88">
        <f t="shared" si="120"/>
        <v>5.6388294075660371E-3</v>
      </c>
      <c r="T183" s="88">
        <f t="shared" si="120"/>
        <v>0</v>
      </c>
      <c r="U183" s="88">
        <f t="shared" si="121"/>
        <v>-1.3299999999999999E-2</v>
      </c>
      <c r="V183" s="89">
        <f t="shared" si="121"/>
        <v>7.3000000000000009E-3</v>
      </c>
    </row>
    <row r="184" spans="1:22" ht="13.5" customHeight="1">
      <c r="A184" s="182">
        <v>161</v>
      </c>
      <c r="B184" s="179" t="s">
        <v>240</v>
      </c>
      <c r="C184" s="180" t="s">
        <v>38</v>
      </c>
      <c r="D184" s="64">
        <v>5171328073.3800001</v>
      </c>
      <c r="E184" s="59">
        <f t="shared" si="117"/>
        <v>6.4361835337289119E-2</v>
      </c>
      <c r="F184" s="58">
        <v>5.9671760000000003</v>
      </c>
      <c r="G184" s="58">
        <v>6.1077209999999997</v>
      </c>
      <c r="H184" s="60">
        <v>3542</v>
      </c>
      <c r="I184" s="82">
        <v>2.9999999999999997E-4</v>
      </c>
      <c r="J184" s="82">
        <v>0.40760000000000002</v>
      </c>
      <c r="K184" s="64">
        <v>5287510562.4399996</v>
      </c>
      <c r="L184" s="86">
        <f t="shared" si="118"/>
        <v>6.4424689563223822E-2</v>
      </c>
      <c r="M184" s="58">
        <v>6.0398490000000002</v>
      </c>
      <c r="N184" s="58">
        <v>6.1819649999999999</v>
      </c>
      <c r="O184" s="60">
        <v>3680</v>
      </c>
      <c r="P184" s="82">
        <v>1.2200000000000001E-2</v>
      </c>
      <c r="Q184" s="82">
        <v>0.42470000000000002</v>
      </c>
      <c r="R184" s="88">
        <f t="shared" si="119"/>
        <v>2.2466663768261397E-2</v>
      </c>
      <c r="S184" s="88">
        <f t="shared" si="120"/>
        <v>1.2155761535276447E-2</v>
      </c>
      <c r="T184" s="88">
        <f t="shared" si="120"/>
        <v>3.896103896103896E-2</v>
      </c>
      <c r="U184" s="88">
        <f t="shared" si="121"/>
        <v>1.1900000000000001E-2</v>
      </c>
      <c r="V184" s="89">
        <f t="shared" si="121"/>
        <v>1.7100000000000004E-2</v>
      </c>
    </row>
    <row r="185" spans="1:22" ht="13.5" customHeight="1">
      <c r="A185" s="182">
        <v>162</v>
      </c>
      <c r="B185" s="179" t="s">
        <v>241</v>
      </c>
      <c r="C185" s="180" t="s">
        <v>242</v>
      </c>
      <c r="D185" s="64">
        <v>99123358.170000002</v>
      </c>
      <c r="E185" s="59">
        <f t="shared" si="117"/>
        <v>1.2336794661041172E-3</v>
      </c>
      <c r="F185" s="58">
        <v>2.7601</v>
      </c>
      <c r="G185" s="58">
        <v>2.7726999999999999</v>
      </c>
      <c r="H185" s="60">
        <v>111</v>
      </c>
      <c r="I185" s="82">
        <v>1.5E-3</v>
      </c>
      <c r="J185" s="82">
        <v>0.31190000000000001</v>
      </c>
      <c r="K185" s="64">
        <v>99689189.209999993</v>
      </c>
      <c r="L185" s="86">
        <f t="shared" si="118"/>
        <v>1.2146443949040545E-3</v>
      </c>
      <c r="M185" s="58">
        <v>2.7743000000000002</v>
      </c>
      <c r="N185" s="58">
        <v>2.7871000000000001</v>
      </c>
      <c r="O185" s="60">
        <v>111</v>
      </c>
      <c r="P185" s="82">
        <v>5.1999999999999998E-3</v>
      </c>
      <c r="Q185" s="82">
        <v>0.31869999999999998</v>
      </c>
      <c r="R185" s="88">
        <f t="shared" si="119"/>
        <v>5.7083522032170438E-3</v>
      </c>
      <c r="S185" s="88">
        <f t="shared" si="120"/>
        <v>5.1934937064955422E-3</v>
      </c>
      <c r="T185" s="88">
        <f t="shared" si="120"/>
        <v>0</v>
      </c>
      <c r="U185" s="88">
        <f>P185-I185</f>
        <v>3.6999999999999997E-3</v>
      </c>
      <c r="V185" s="89">
        <f>Q185-J185</f>
        <v>6.7999999999999727E-3</v>
      </c>
    </row>
    <row r="186" spans="1:22">
      <c r="A186" s="182">
        <v>163</v>
      </c>
      <c r="B186" s="179" t="s">
        <v>243</v>
      </c>
      <c r="C186" s="180" t="s">
        <v>152</v>
      </c>
      <c r="D186" s="64">
        <v>937874449.92999995</v>
      </c>
      <c r="E186" s="59">
        <f t="shared" si="117"/>
        <v>1.1672692209216493E-2</v>
      </c>
      <c r="F186" s="58">
        <v>346.01</v>
      </c>
      <c r="G186" s="58">
        <v>349.8</v>
      </c>
      <c r="H186" s="60">
        <v>158</v>
      </c>
      <c r="I186" s="82">
        <v>1.37E-2</v>
      </c>
      <c r="J186" s="82">
        <v>0.44629999999999997</v>
      </c>
      <c r="K186" s="64">
        <v>948527849.21000004</v>
      </c>
      <c r="L186" s="86">
        <f t="shared" si="118"/>
        <v>1.1557161258743122E-2</v>
      </c>
      <c r="M186" s="58">
        <v>350.2</v>
      </c>
      <c r="N186" s="58">
        <v>354.3</v>
      </c>
      <c r="O186" s="60">
        <v>158</v>
      </c>
      <c r="P186" s="82">
        <v>1.37E-2</v>
      </c>
      <c r="Q186" s="82">
        <v>0.4637</v>
      </c>
      <c r="R186" s="88">
        <f t="shared" si="119"/>
        <v>1.135908892794257E-2</v>
      </c>
      <c r="S186" s="88">
        <f t="shared" si="120"/>
        <v>1.2864493996569467E-2</v>
      </c>
      <c r="T186" s="88">
        <f t="shared" si="120"/>
        <v>0</v>
      </c>
      <c r="U186" s="88">
        <f t="shared" si="121"/>
        <v>0</v>
      </c>
      <c r="V186" s="89">
        <f t="shared" si="121"/>
        <v>1.7400000000000027E-2</v>
      </c>
    </row>
    <row r="187" spans="1:22">
      <c r="A187" s="182">
        <v>164</v>
      </c>
      <c r="B187" s="179" t="s">
        <v>244</v>
      </c>
      <c r="C187" s="180" t="s">
        <v>34</v>
      </c>
      <c r="D187" s="64">
        <v>2153297909.5300002</v>
      </c>
      <c r="E187" s="59">
        <f t="shared" si="117"/>
        <v>2.6799731813324242E-2</v>
      </c>
      <c r="F187" s="58">
        <v>552.22</v>
      </c>
      <c r="G187" s="58">
        <v>552.22</v>
      </c>
      <c r="H187" s="60">
        <v>823</v>
      </c>
      <c r="I187" s="82">
        <v>6.0299999999999998E-3</v>
      </c>
      <c r="J187" s="82">
        <v>-1.4999999999999999E-2</v>
      </c>
      <c r="K187" s="64">
        <v>2152628274.6100001</v>
      </c>
      <c r="L187" s="86">
        <f t="shared" si="118"/>
        <v>2.6228299064195215E-2</v>
      </c>
      <c r="M187" s="58">
        <v>552.22</v>
      </c>
      <c r="N187" s="58">
        <v>552.22</v>
      </c>
      <c r="O187" s="60">
        <v>823</v>
      </c>
      <c r="P187" s="82">
        <v>6.0299999999999998E-3</v>
      </c>
      <c r="Q187" s="82">
        <v>-1.4999999999999999E-2</v>
      </c>
      <c r="R187" s="88">
        <f t="shared" si="119"/>
        <v>-3.1098108489142467E-4</v>
      </c>
      <c r="S187" s="88">
        <f t="shared" si="120"/>
        <v>0</v>
      </c>
      <c r="T187" s="88">
        <f t="shared" si="120"/>
        <v>0</v>
      </c>
      <c r="U187" s="88">
        <f t="shared" si="121"/>
        <v>0</v>
      </c>
      <c r="V187" s="89">
        <f t="shared" si="121"/>
        <v>0</v>
      </c>
    </row>
    <row r="188" spans="1:22">
      <c r="A188" s="182">
        <v>165</v>
      </c>
      <c r="B188" s="179" t="s">
        <v>245</v>
      </c>
      <c r="C188" s="180" t="s">
        <v>106</v>
      </c>
      <c r="D188" s="58">
        <v>45697410.969999999</v>
      </c>
      <c r="E188" s="59">
        <f t="shared" si="117"/>
        <v>5.6874543607696691E-4</v>
      </c>
      <c r="F188" s="58">
        <v>2.54</v>
      </c>
      <c r="G188" s="58">
        <v>2.54</v>
      </c>
      <c r="H188" s="60">
        <v>8</v>
      </c>
      <c r="I188" s="82">
        <v>4.5750000000000001E-3</v>
      </c>
      <c r="J188" s="82">
        <v>0.35561999999999999</v>
      </c>
      <c r="K188" s="58">
        <v>46110871.219999999</v>
      </c>
      <c r="L188" s="86">
        <f t="shared" si="118"/>
        <v>5.6182933892191182E-4</v>
      </c>
      <c r="M188" s="58">
        <v>2.56</v>
      </c>
      <c r="N188" s="58">
        <v>2.56</v>
      </c>
      <c r="O188" s="60">
        <v>8</v>
      </c>
      <c r="P188" s="82">
        <v>9.0480000000000005E-3</v>
      </c>
      <c r="Q188" s="82">
        <v>0.36788500000000002</v>
      </c>
      <c r="R188" s="88">
        <f t="shared" si="119"/>
        <v>9.04778282234487E-3</v>
      </c>
      <c r="S188" s="88">
        <f t="shared" si="120"/>
        <v>7.8740157480315029E-3</v>
      </c>
      <c r="T188" s="88">
        <f t="shared" si="120"/>
        <v>0</v>
      </c>
      <c r="U188" s="88">
        <f t="shared" si="121"/>
        <v>4.4730000000000004E-3</v>
      </c>
      <c r="V188" s="89">
        <f t="shared" si="121"/>
        <v>1.2265000000000026E-2</v>
      </c>
    </row>
    <row r="189" spans="1:22">
      <c r="A189" s="182">
        <v>166</v>
      </c>
      <c r="B189" s="179" t="s">
        <v>246</v>
      </c>
      <c r="C189" s="180" t="s">
        <v>46</v>
      </c>
      <c r="D189" s="58">
        <v>405389895.44</v>
      </c>
      <c r="E189" s="59">
        <f t="shared" si="117"/>
        <v>5.0454423559046285E-3</v>
      </c>
      <c r="F189" s="58">
        <v>3.3970180000000001</v>
      </c>
      <c r="G189" s="58">
        <v>3.3970180000000001</v>
      </c>
      <c r="H189" s="60">
        <v>139</v>
      </c>
      <c r="I189" s="82">
        <v>3.3E-3</v>
      </c>
      <c r="J189" s="82">
        <v>0.28570000000000001</v>
      </c>
      <c r="K189" s="58">
        <v>418055629.87</v>
      </c>
      <c r="L189" s="86">
        <f t="shared" si="118"/>
        <v>5.0937211106211145E-3</v>
      </c>
      <c r="M189" s="58">
        <v>3.51</v>
      </c>
      <c r="N189" s="58">
        <v>3.57</v>
      </c>
      <c r="O189" s="60">
        <v>138</v>
      </c>
      <c r="P189" s="82">
        <v>3.7499999999999999E-2</v>
      </c>
      <c r="Q189" s="82">
        <v>0.34010000000000001</v>
      </c>
      <c r="R189" s="88">
        <f t="shared" si="119"/>
        <v>3.1243340232377861E-2</v>
      </c>
      <c r="S189" s="88">
        <f t="shared" si="120"/>
        <v>5.092172016751155E-2</v>
      </c>
      <c r="T189" s="88">
        <f t="shared" si="120"/>
        <v>-7.1942446043165471E-3</v>
      </c>
      <c r="U189" s="88">
        <f t="shared" si="121"/>
        <v>3.4200000000000001E-2</v>
      </c>
      <c r="V189" s="89">
        <f t="shared" si="121"/>
        <v>5.4400000000000004E-2</v>
      </c>
    </row>
    <row r="190" spans="1:22">
      <c r="A190" s="182">
        <v>167</v>
      </c>
      <c r="B190" s="179" t="s">
        <v>328</v>
      </c>
      <c r="C190" s="180" t="s">
        <v>329</v>
      </c>
      <c r="D190" s="58">
        <v>202434248.060096</v>
      </c>
      <c r="E190" s="59">
        <f t="shared" si="117"/>
        <v>2.5194765358903261E-3</v>
      </c>
      <c r="F190" s="58">
        <v>108.12</v>
      </c>
      <c r="G190" s="58">
        <v>108.59</v>
      </c>
      <c r="H190" s="60">
        <v>97</v>
      </c>
      <c r="I190" s="82">
        <v>1.1000000000000001E-3</v>
      </c>
      <c r="J190" s="82">
        <v>8.1199999999999994E-2</v>
      </c>
      <c r="K190" s="58">
        <v>204563445.701451</v>
      </c>
      <c r="L190" s="59">
        <f t="shared" si="118"/>
        <v>2.4924652782571007E-3</v>
      </c>
      <c r="M190" s="58">
        <v>109.18</v>
      </c>
      <c r="N190" s="58">
        <v>109.68</v>
      </c>
      <c r="O190" s="60">
        <v>98</v>
      </c>
      <c r="P190" s="82">
        <v>9.9000000000000008E-3</v>
      </c>
      <c r="Q190" s="82">
        <v>9.1800000000000007E-2</v>
      </c>
      <c r="R190" s="88">
        <f t="shared" ref="R190" si="127">((K190-D190)/D190)</f>
        <v>1.051797144879813E-2</v>
      </c>
      <c r="S190" s="88">
        <f t="shared" ref="S190" si="128">((N190-G190)/G190)</f>
        <v>1.0037756699511957E-2</v>
      </c>
      <c r="T190" s="88">
        <f t="shared" ref="T190" si="129">((O190-H190)/H190)</f>
        <v>1.0309278350515464E-2</v>
      </c>
      <c r="U190" s="88">
        <f t="shared" ref="U190" si="130">P190-I190</f>
        <v>8.8000000000000005E-3</v>
      </c>
      <c r="V190" s="89">
        <f t="shared" ref="V190" si="131">Q190-J190</f>
        <v>1.0600000000000012E-2</v>
      </c>
    </row>
    <row r="191" spans="1:22">
      <c r="A191" s="182">
        <v>168</v>
      </c>
      <c r="B191" s="179" t="s">
        <v>247</v>
      </c>
      <c r="C191" s="180" t="s">
        <v>50</v>
      </c>
      <c r="D191" s="64">
        <v>4520486553.7200003</v>
      </c>
      <c r="E191" s="59">
        <f t="shared" si="117"/>
        <v>5.6261526456354231E-2</v>
      </c>
      <c r="F191" s="58">
        <v>9491.75</v>
      </c>
      <c r="G191" s="58">
        <v>9578.1299999999992</v>
      </c>
      <c r="H191" s="60">
        <v>3424</v>
      </c>
      <c r="I191" s="82">
        <v>0</v>
      </c>
      <c r="J191" s="82">
        <v>7.3499999999999996E-2</v>
      </c>
      <c r="K191" s="64">
        <v>4591447697.3699999</v>
      </c>
      <c r="L191" s="59">
        <f t="shared" si="118"/>
        <v>5.5943640973520552E-2</v>
      </c>
      <c r="M191" s="58">
        <v>9516.39</v>
      </c>
      <c r="N191" s="58">
        <v>9605.0400000000009</v>
      </c>
      <c r="O191" s="60">
        <v>3515</v>
      </c>
      <c r="P191" s="82">
        <v>2.8E-3</v>
      </c>
      <c r="Q191" s="82">
        <v>0.49220000000000003</v>
      </c>
      <c r="R191" s="88">
        <f t="shared" si="119"/>
        <v>1.5697678293413848E-2</v>
      </c>
      <c r="S191" s="88">
        <f t="shared" si="120"/>
        <v>2.8095254501663345E-3</v>
      </c>
      <c r="T191" s="88">
        <f t="shared" si="120"/>
        <v>2.6577102803738317E-2</v>
      </c>
      <c r="U191" s="88">
        <f t="shared" si="121"/>
        <v>2.8E-3</v>
      </c>
      <c r="V191" s="89">
        <f t="shared" si="121"/>
        <v>0.41870000000000002</v>
      </c>
    </row>
    <row r="192" spans="1:22">
      <c r="A192" s="182">
        <v>169</v>
      </c>
      <c r="B192" s="179" t="s">
        <v>248</v>
      </c>
      <c r="C192" s="179" t="s">
        <v>117</v>
      </c>
      <c r="D192" s="64">
        <v>154445781.63</v>
      </c>
      <c r="E192" s="59">
        <f t="shared" si="117"/>
        <v>1.9222168512143688E-3</v>
      </c>
      <c r="F192" s="58">
        <v>1394.3</v>
      </c>
      <c r="G192" s="58">
        <v>1414.34</v>
      </c>
      <c r="H192" s="60">
        <v>46</v>
      </c>
      <c r="I192" s="82">
        <v>-1.15E-2</v>
      </c>
      <c r="J192" s="82">
        <v>0.25030000000000002</v>
      </c>
      <c r="K192" s="64">
        <v>156249809.90000001</v>
      </c>
      <c r="L192" s="59">
        <f t="shared" si="118"/>
        <v>1.9037967637600278E-3</v>
      </c>
      <c r="M192" s="58">
        <v>1408.12</v>
      </c>
      <c r="N192" s="58">
        <v>1428.49</v>
      </c>
      <c r="O192" s="60">
        <v>48</v>
      </c>
      <c r="P192" s="82">
        <v>-1.15E-2</v>
      </c>
      <c r="Q192" s="82">
        <v>0.26350000000000001</v>
      </c>
      <c r="R192" s="88">
        <f t="shared" si="119"/>
        <v>1.1680657451181502E-2</v>
      </c>
      <c r="S192" s="88">
        <f t="shared" si="120"/>
        <v>1.0004666487549028E-2</v>
      </c>
      <c r="T192" s="88">
        <f t="shared" si="120"/>
        <v>4.3478260869565216E-2</v>
      </c>
      <c r="U192" s="88">
        <f t="shared" si="121"/>
        <v>0</v>
      </c>
      <c r="V192" s="89">
        <f t="shared" si="121"/>
        <v>1.319999999999999E-2</v>
      </c>
    </row>
    <row r="193" spans="1:22">
      <c r="A193" s="182">
        <v>170</v>
      </c>
      <c r="B193" s="179" t="s">
        <v>249</v>
      </c>
      <c r="C193" s="179" t="s">
        <v>96</v>
      </c>
      <c r="D193" s="64">
        <v>779028897.08131504</v>
      </c>
      <c r="E193" s="59">
        <f t="shared" si="117"/>
        <v>9.6957162426103884E-3</v>
      </c>
      <c r="F193" s="58">
        <v>1.4830000000000001</v>
      </c>
      <c r="G193" s="58">
        <v>1.4830000000000001</v>
      </c>
      <c r="H193" s="60">
        <v>47</v>
      </c>
      <c r="I193" s="82">
        <v>2.3999999999999998E-3</v>
      </c>
      <c r="J193" s="82">
        <v>0.105</v>
      </c>
      <c r="K193" s="64">
        <v>793955008.73000002</v>
      </c>
      <c r="L193" s="59">
        <f t="shared" si="118"/>
        <v>9.6737972171525733E-3</v>
      </c>
      <c r="M193" s="58">
        <v>1.5143</v>
      </c>
      <c r="N193" s="58">
        <v>1.5143</v>
      </c>
      <c r="O193" s="60">
        <v>47</v>
      </c>
      <c r="P193" s="82">
        <v>1.9199999999999998E-2</v>
      </c>
      <c r="Q193" s="82">
        <v>0.12620000000000001</v>
      </c>
      <c r="R193" s="88">
        <f t="shared" si="119"/>
        <v>1.915989471585287E-2</v>
      </c>
      <c r="S193" s="88">
        <f t="shared" si="120"/>
        <v>2.1105866486850897E-2</v>
      </c>
      <c r="T193" s="88">
        <f t="shared" si="120"/>
        <v>0</v>
      </c>
      <c r="U193" s="88">
        <f t="shared" si="121"/>
        <v>1.6799999999999999E-2</v>
      </c>
      <c r="V193" s="89">
        <f t="shared" si="121"/>
        <v>2.1200000000000011E-2</v>
      </c>
    </row>
    <row r="194" spans="1:22">
      <c r="A194" s="182">
        <v>171</v>
      </c>
      <c r="B194" s="179" t="s">
        <v>250</v>
      </c>
      <c r="C194" s="180" t="s">
        <v>53</v>
      </c>
      <c r="D194" s="58">
        <v>3294236253.73</v>
      </c>
      <c r="E194" s="59">
        <f t="shared" si="117"/>
        <v>4.0999737072592905E-2</v>
      </c>
      <c r="F194" s="58">
        <v>2.1886000000000001</v>
      </c>
      <c r="G194" s="58">
        <v>2.2050000000000001</v>
      </c>
      <c r="H194" s="60">
        <v>2858</v>
      </c>
      <c r="I194" s="82">
        <v>3.0999999999999999E-3</v>
      </c>
      <c r="J194" s="82">
        <v>0.30740000000000001</v>
      </c>
      <c r="K194" s="58">
        <v>3574295581.29</v>
      </c>
      <c r="L194" s="86">
        <f t="shared" si="118"/>
        <v>4.3550340091528451E-2</v>
      </c>
      <c r="M194" s="58">
        <v>2.2039</v>
      </c>
      <c r="N194" s="58">
        <v>2.2200000000000002</v>
      </c>
      <c r="O194" s="60">
        <v>2895</v>
      </c>
      <c r="P194" s="82">
        <v>7.0000000000000001E-3</v>
      </c>
      <c r="Q194" s="82">
        <v>0.31509999999999999</v>
      </c>
      <c r="R194" s="88">
        <f t="shared" si="119"/>
        <v>8.50149491381786E-2</v>
      </c>
      <c r="S194" s="88">
        <f t="shared" si="120"/>
        <v>6.8027210884354303E-3</v>
      </c>
      <c r="T194" s="88">
        <f t="shared" si="120"/>
        <v>1.2946116165150455E-2</v>
      </c>
      <c r="U194" s="88">
        <f t="shared" si="121"/>
        <v>3.9000000000000003E-3</v>
      </c>
      <c r="V194" s="89">
        <f t="shared" si="121"/>
        <v>7.6999999999999846E-3</v>
      </c>
    </row>
    <row r="195" spans="1:22">
      <c r="A195" s="182">
        <v>172</v>
      </c>
      <c r="B195" s="179" t="s">
        <v>251</v>
      </c>
      <c r="C195" s="180" t="s">
        <v>53</v>
      </c>
      <c r="D195" s="58">
        <v>2122537376.05</v>
      </c>
      <c r="E195" s="59">
        <f t="shared" si="117"/>
        <v>2.6416889270241699E-2</v>
      </c>
      <c r="F195" s="58">
        <v>1.7398</v>
      </c>
      <c r="G195" s="58">
        <v>1.7516</v>
      </c>
      <c r="H195" s="60">
        <v>1408</v>
      </c>
      <c r="I195" s="82">
        <v>2.0999999999999999E-3</v>
      </c>
      <c r="J195" s="82">
        <v>0.3448</v>
      </c>
      <c r="K195" s="58">
        <v>2395663854.6999998</v>
      </c>
      <c r="L195" s="86">
        <f t="shared" si="118"/>
        <v>2.9189520912401012E-2</v>
      </c>
      <c r="M195" s="58">
        <v>1.7617</v>
      </c>
      <c r="N195" s="58">
        <v>1.7734000000000001</v>
      </c>
      <c r="O195" s="60">
        <v>1431</v>
      </c>
      <c r="P195" s="82">
        <v>1.26E-2</v>
      </c>
      <c r="Q195" s="82">
        <v>0.35920000000000002</v>
      </c>
      <c r="R195" s="88">
        <f t="shared" si="119"/>
        <v>0.12867923162713998</v>
      </c>
      <c r="S195" s="88">
        <f t="shared" si="120"/>
        <v>1.2445763873030395E-2</v>
      </c>
      <c r="T195" s="88">
        <f t="shared" si="120"/>
        <v>1.6335227272727272E-2</v>
      </c>
      <c r="U195" s="88">
        <f t="shared" si="121"/>
        <v>1.0500000000000001E-2</v>
      </c>
      <c r="V195" s="89">
        <f t="shared" si="121"/>
        <v>1.4400000000000024E-2</v>
      </c>
    </row>
    <row r="196" spans="1:22">
      <c r="A196" s="182">
        <v>173</v>
      </c>
      <c r="B196" s="179" t="s">
        <v>252</v>
      </c>
      <c r="C196" s="180" t="s">
        <v>122</v>
      </c>
      <c r="D196" s="64">
        <v>11798836386.26</v>
      </c>
      <c r="E196" s="59">
        <f t="shared" si="117"/>
        <v>0.14684714523782633</v>
      </c>
      <c r="F196" s="58">
        <v>678.79</v>
      </c>
      <c r="G196" s="58">
        <v>687.19</v>
      </c>
      <c r="H196" s="60">
        <v>38</v>
      </c>
      <c r="I196" s="82">
        <v>3.7000000000000002E-3</v>
      </c>
      <c r="J196" s="82">
        <v>0.31269999999999998</v>
      </c>
      <c r="K196" s="64">
        <v>11926261354.389999</v>
      </c>
      <c r="L196" s="86">
        <f t="shared" si="118"/>
        <v>0.14531331452355237</v>
      </c>
      <c r="M196" s="58">
        <v>686.19</v>
      </c>
      <c r="N196" s="58">
        <v>693.69</v>
      </c>
      <c r="O196" s="60">
        <v>39</v>
      </c>
      <c r="P196" s="82">
        <v>9.9000000000000008E-3</v>
      </c>
      <c r="Q196" s="82">
        <v>0.32579999999999998</v>
      </c>
      <c r="R196" s="88">
        <f t="shared" si="119"/>
        <v>1.0799791094517447E-2</v>
      </c>
      <c r="S196" s="88">
        <f t="shared" si="120"/>
        <v>9.4588105181972956E-3</v>
      </c>
      <c r="T196" s="88">
        <f t="shared" si="120"/>
        <v>2.6315789473684209E-2</v>
      </c>
      <c r="U196" s="88">
        <f t="shared" si="121"/>
        <v>6.2000000000000006E-3</v>
      </c>
      <c r="V196" s="89">
        <f t="shared" si="121"/>
        <v>1.3100000000000001E-2</v>
      </c>
    </row>
    <row r="197" spans="1:22">
      <c r="A197" s="67"/>
      <c r="B197" s="68"/>
      <c r="C197" s="69" t="s">
        <v>56</v>
      </c>
      <c r="D197" s="111">
        <f>SUM(D168:D196)</f>
        <v>80347740959.834061</v>
      </c>
      <c r="E197" s="71">
        <f>(D197/$D$231)</f>
        <v>1.0833586603418205E-2</v>
      </c>
      <c r="F197" s="72"/>
      <c r="G197" s="112"/>
      <c r="H197" s="74">
        <f>SUM(H168:H196)</f>
        <v>77571</v>
      </c>
      <c r="I197" s="130"/>
      <c r="J197" s="130"/>
      <c r="K197" s="111">
        <f>SUM(K168:K196)</f>
        <v>82072736373.0802</v>
      </c>
      <c r="L197" s="71">
        <f>(K197/$K$231)</f>
        <v>1.0982163538563331E-2</v>
      </c>
      <c r="M197" s="72"/>
      <c r="N197" s="112"/>
      <c r="O197" s="74">
        <f>SUM(O168:O196)</f>
        <v>78022</v>
      </c>
      <c r="P197" s="130"/>
      <c r="Q197" s="130"/>
      <c r="R197" s="88">
        <f t="shared" ref="R197" si="132">((K197-D197)/D197)</f>
        <v>2.1469121504093899E-2</v>
      </c>
      <c r="S197" s="88" t="e">
        <f t="shared" ref="S197" si="133">((N197-G197)/G197)</f>
        <v>#DIV/0!</v>
      </c>
      <c r="T197" s="88">
        <f t="shared" ref="T197" si="134">((O197-H197)/H197)</f>
        <v>5.8140284384628274E-3</v>
      </c>
      <c r="U197" s="88">
        <f t="shared" ref="U197" si="135">P197-I197</f>
        <v>0</v>
      </c>
      <c r="V197" s="89">
        <f t="shared" ref="V197" si="136">Q197-J197</f>
        <v>0</v>
      </c>
    </row>
    <row r="198" spans="1:22" ht="5.25" customHeight="1">
      <c r="A198" s="67"/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</row>
    <row r="199" spans="1:22" ht="15" customHeight="1">
      <c r="A199" s="195" t="s">
        <v>253</v>
      </c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</row>
    <row r="200" spans="1:22">
      <c r="A200" s="178">
        <v>174</v>
      </c>
      <c r="B200" s="179" t="s">
        <v>254</v>
      </c>
      <c r="C200" s="180" t="s">
        <v>255</v>
      </c>
      <c r="D200" s="113">
        <v>1402772645.0599999</v>
      </c>
      <c r="E200" s="59">
        <f>(D200/$D$202)</f>
        <v>0.17238563952516567</v>
      </c>
      <c r="F200" s="114">
        <v>39.196599999999997</v>
      </c>
      <c r="G200" s="114">
        <v>39.5565</v>
      </c>
      <c r="H200" s="60">
        <v>1499</v>
      </c>
      <c r="I200" s="82">
        <v>7.4000000000000003E-3</v>
      </c>
      <c r="J200" s="82">
        <v>0.47199999999999998</v>
      </c>
      <c r="K200" s="113">
        <v>1417575574.6099999</v>
      </c>
      <c r="L200" s="86">
        <f>(K200/$K$202)</f>
        <v>0.1714238657163914</v>
      </c>
      <c r="M200" s="114">
        <v>39.299199999999999</v>
      </c>
      <c r="N200" s="114">
        <v>39.660499999999999</v>
      </c>
      <c r="O200" s="60">
        <v>1501</v>
      </c>
      <c r="P200" s="82">
        <v>1.4800000000000001E-2</v>
      </c>
      <c r="Q200" s="82">
        <v>0.4758</v>
      </c>
      <c r="R200" s="88">
        <f>((K200-D200)/D200)</f>
        <v>1.0552622053281339E-2</v>
      </c>
      <c r="S200" s="88">
        <f t="shared" ref="S200:T202" si="137">((N200-G200)/G200)</f>
        <v>2.6291507084802547E-3</v>
      </c>
      <c r="T200" s="88">
        <f t="shared" si="137"/>
        <v>1.33422281521014E-3</v>
      </c>
      <c r="U200" s="88">
        <f t="shared" ref="U200:V202" si="138">P200-I200</f>
        <v>7.4000000000000003E-3</v>
      </c>
      <c r="V200" s="89">
        <f t="shared" si="138"/>
        <v>3.8000000000000256E-3</v>
      </c>
    </row>
    <row r="201" spans="1:22">
      <c r="A201" s="178">
        <v>175</v>
      </c>
      <c r="B201" s="179" t="s">
        <v>256</v>
      </c>
      <c r="C201" s="180" t="s">
        <v>50</v>
      </c>
      <c r="D201" s="76">
        <v>6734637460.1199999</v>
      </c>
      <c r="E201" s="59">
        <f>(D201/$D$202)</f>
        <v>0.82761436047483428</v>
      </c>
      <c r="F201" s="114">
        <v>4.37</v>
      </c>
      <c r="G201" s="114">
        <v>4.43</v>
      </c>
      <c r="H201" s="60">
        <v>11569</v>
      </c>
      <c r="I201" s="82">
        <v>-9.2999999999999992E-3</v>
      </c>
      <c r="J201" s="82">
        <v>0.10340000000000001</v>
      </c>
      <c r="K201" s="76">
        <v>6851842272.6999998</v>
      </c>
      <c r="L201" s="86">
        <f>(K201/$K$202)</f>
        <v>0.82857613428360866</v>
      </c>
      <c r="M201" s="114">
        <v>4.4400000000000004</v>
      </c>
      <c r="N201" s="114">
        <v>4.5</v>
      </c>
      <c r="O201" s="60">
        <v>11616</v>
      </c>
      <c r="P201" s="82">
        <v>1.5800000000000002E-2</v>
      </c>
      <c r="Q201" s="82">
        <v>0.55169999999999997</v>
      </c>
      <c r="R201" s="88">
        <f>((K201-D201)/D201)</f>
        <v>1.7403284627278442E-2</v>
      </c>
      <c r="S201" s="88">
        <f t="shared" si="137"/>
        <v>1.5801354401805936E-2</v>
      </c>
      <c r="T201" s="88">
        <f t="shared" si="137"/>
        <v>4.0625810355259745E-3</v>
      </c>
      <c r="U201" s="88">
        <f t="shared" si="138"/>
        <v>2.5100000000000001E-2</v>
      </c>
      <c r="V201" s="89">
        <f t="shared" si="138"/>
        <v>0.44829999999999998</v>
      </c>
    </row>
    <row r="202" spans="1:22">
      <c r="A202" s="67"/>
      <c r="B202" s="68"/>
      <c r="C202" s="103" t="s">
        <v>56</v>
      </c>
      <c r="D202" s="111">
        <f>SUM(D200:D201)</f>
        <v>8137410105.1800003</v>
      </c>
      <c r="E202" s="71">
        <f>(D202/$D$231)</f>
        <v>1.0971974575622225E-3</v>
      </c>
      <c r="F202" s="72"/>
      <c r="G202" s="112"/>
      <c r="H202" s="74">
        <f>SUM(H200:H201)</f>
        <v>13068</v>
      </c>
      <c r="I202" s="130"/>
      <c r="J202" s="130"/>
      <c r="K202" s="111">
        <f>SUM(K200:K201)</f>
        <v>8269417847.3099995</v>
      </c>
      <c r="L202" s="71">
        <f>(K202/$K$231)</f>
        <v>1.1065318786868225E-3</v>
      </c>
      <c r="M202" s="72"/>
      <c r="N202" s="112"/>
      <c r="O202" s="74">
        <f>SUM(O200:O201)</f>
        <v>13117</v>
      </c>
      <c r="P202" s="130"/>
      <c r="Q202" s="130"/>
      <c r="R202" s="88">
        <f>((K202-D202)/D202)</f>
        <v>1.6222328778288744E-2</v>
      </c>
      <c r="S202" s="88" t="e">
        <f t="shared" si="137"/>
        <v>#DIV/0!</v>
      </c>
      <c r="T202" s="88">
        <f t="shared" si="137"/>
        <v>3.7496173859810225E-3</v>
      </c>
      <c r="U202" s="88">
        <f t="shared" si="138"/>
        <v>0</v>
      </c>
      <c r="V202" s="89">
        <f t="shared" si="138"/>
        <v>0</v>
      </c>
    </row>
    <row r="203" spans="1:22" ht="6" customHeight="1">
      <c r="A203" s="67"/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96" t="s">
        <v>257</v>
      </c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</row>
    <row r="205" spans="1:22">
      <c r="A205" s="197" t="s">
        <v>258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</row>
    <row r="206" spans="1:22">
      <c r="A206" s="178">
        <v>176</v>
      </c>
      <c r="B206" s="179" t="s">
        <v>259</v>
      </c>
      <c r="C206" s="180" t="s">
        <v>260</v>
      </c>
      <c r="D206" s="80">
        <v>8146287444.8400002</v>
      </c>
      <c r="E206" s="59">
        <f>(D206/$D$230)</f>
        <v>0.10940636745477189</v>
      </c>
      <c r="F206" s="115">
        <v>2.9</v>
      </c>
      <c r="G206" s="115">
        <v>2.95</v>
      </c>
      <c r="H206" s="78">
        <v>15299</v>
      </c>
      <c r="I206" s="85">
        <v>1.7600000000000001E-2</v>
      </c>
      <c r="J206" s="85">
        <v>0.34139999999999998</v>
      </c>
      <c r="K206" s="80">
        <v>8252686657.6400003</v>
      </c>
      <c r="L206" s="59">
        <f>(K206/$K$230)</f>
        <v>0.10886180617995769</v>
      </c>
      <c r="M206" s="115">
        <v>2.92</v>
      </c>
      <c r="N206" s="115">
        <v>2.97</v>
      </c>
      <c r="O206" s="78">
        <v>15372</v>
      </c>
      <c r="P206" s="85">
        <v>7.7999999999999996E-3</v>
      </c>
      <c r="Q206" s="85">
        <v>0.35139999999999999</v>
      </c>
      <c r="R206" s="87">
        <f>((K206-D206)/D206)</f>
        <v>1.3061067820212421E-2</v>
      </c>
      <c r="S206" s="87">
        <f>((N206-G206)/G206)</f>
        <v>6.7796610169491584E-3</v>
      </c>
      <c r="T206" s="87">
        <f>((O206-H206)/H206)</f>
        <v>4.7715536963200212E-3</v>
      </c>
      <c r="U206" s="87">
        <f>P206-I206</f>
        <v>-9.8000000000000014E-3</v>
      </c>
      <c r="V206" s="134">
        <f>Q206-J206</f>
        <v>1.0000000000000009E-2</v>
      </c>
    </row>
    <row r="207" spans="1:22">
      <c r="A207" s="178">
        <v>177</v>
      </c>
      <c r="B207" s="179" t="s">
        <v>261</v>
      </c>
      <c r="C207" s="180" t="s">
        <v>50</v>
      </c>
      <c r="D207" s="80">
        <v>3746313830.5</v>
      </c>
      <c r="E207" s="59">
        <f>(D207/$D$230)</f>
        <v>5.0313788988651041E-2</v>
      </c>
      <c r="F207" s="115">
        <v>892.95</v>
      </c>
      <c r="G207" s="115">
        <v>905.05</v>
      </c>
      <c r="H207" s="78">
        <v>2351</v>
      </c>
      <c r="I207" s="85">
        <v>-5.8999999999999999E-3</v>
      </c>
      <c r="J207" s="85">
        <v>0.13239999999999999</v>
      </c>
      <c r="K207" s="80">
        <v>3971595467.6100001</v>
      </c>
      <c r="L207" s="59">
        <f>(K207/$K$230)</f>
        <v>5.2389612493029966E-2</v>
      </c>
      <c r="M207" s="115">
        <v>914.86</v>
      </c>
      <c r="N207" s="115">
        <v>926.87</v>
      </c>
      <c r="O207" s="78">
        <v>2393</v>
      </c>
      <c r="P207" s="85">
        <v>2.41E-2</v>
      </c>
      <c r="Q207" s="85">
        <v>0.83650000000000002</v>
      </c>
      <c r="R207" s="87">
        <f>((K207-D207)/D207)</f>
        <v>6.0134213870687132E-2</v>
      </c>
      <c r="S207" s="87">
        <f>((N207-G207)/G207)</f>
        <v>2.4109165239489586E-2</v>
      </c>
      <c r="T207" s="87">
        <f>((O207-H207)/H207)</f>
        <v>1.7864738409187581E-2</v>
      </c>
      <c r="U207" s="87">
        <f>P207-I207</f>
        <v>0.03</v>
      </c>
      <c r="V207" s="134">
        <f>Q207-J207</f>
        <v>0.70410000000000006</v>
      </c>
    </row>
    <row r="208" spans="1:22" ht="6" customHeight="1">
      <c r="A208" s="102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</row>
    <row r="209" spans="1:24" ht="15" customHeight="1">
      <c r="A209" s="197" t="s">
        <v>194</v>
      </c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</row>
    <row r="210" spans="1:24">
      <c r="A210" s="178">
        <v>178</v>
      </c>
      <c r="B210" s="179" t="s">
        <v>262</v>
      </c>
      <c r="C210" s="180" t="s">
        <v>24</v>
      </c>
      <c r="D210" s="64">
        <v>1268207332.21</v>
      </c>
      <c r="E210" s="59">
        <f>(D210/$D$230)</f>
        <v>1.703229334050689E-2</v>
      </c>
      <c r="F210" s="114">
        <v>1.1357999999999999</v>
      </c>
      <c r="G210" s="114">
        <v>1.1357999999999999</v>
      </c>
      <c r="H210" s="60">
        <v>723</v>
      </c>
      <c r="I210" s="82">
        <v>0.13350000000000001</v>
      </c>
      <c r="J210" s="82">
        <v>0.13320000000000001</v>
      </c>
      <c r="K210" s="64">
        <v>1279455999.9200001</v>
      </c>
      <c r="L210" s="59">
        <f t="shared" ref="L210:L223" si="139">(K210/$K$230)</f>
        <v>1.6877399670824977E-2</v>
      </c>
      <c r="M210" s="114">
        <v>1.1388</v>
      </c>
      <c r="N210" s="114">
        <v>1.1388</v>
      </c>
      <c r="O210" s="60">
        <v>726</v>
      </c>
      <c r="P210" s="82">
        <v>0.13769999999999999</v>
      </c>
      <c r="Q210" s="82">
        <v>0.1336</v>
      </c>
      <c r="R210" s="88">
        <f>((K210-D210)/D210)</f>
        <v>8.8697387440568685E-3</v>
      </c>
      <c r="S210" s="88">
        <f>((N210-G210)/G210)</f>
        <v>2.6413100898046433E-3</v>
      </c>
      <c r="T210" s="88">
        <f>((O210-H210)/H210)</f>
        <v>4.1493775933609959E-3</v>
      </c>
      <c r="U210" s="88">
        <f>P210-I210</f>
        <v>4.1999999999999815E-3</v>
      </c>
      <c r="V210" s="89">
        <f>Q210-J210</f>
        <v>3.999999999999837E-4</v>
      </c>
      <c r="X210" s="135"/>
    </row>
    <row r="211" spans="1:24">
      <c r="A211" s="178">
        <v>179</v>
      </c>
      <c r="B211" s="179" t="s">
        <v>263</v>
      </c>
      <c r="C211" s="180" t="s">
        <v>264</v>
      </c>
      <c r="D211" s="64">
        <v>369299870.18000001</v>
      </c>
      <c r="E211" s="59">
        <f>(D211/$D$230)</f>
        <v>4.9597755507025569E-3</v>
      </c>
      <c r="F211" s="114">
        <v>1123.92</v>
      </c>
      <c r="G211" s="114">
        <v>1123.92</v>
      </c>
      <c r="H211" s="60">
        <v>17</v>
      </c>
      <c r="I211" s="82">
        <v>8.9999999999999998E-4</v>
      </c>
      <c r="J211" s="82">
        <v>7.7700000000000005E-2</v>
      </c>
      <c r="K211" s="64">
        <v>372967684.47000003</v>
      </c>
      <c r="L211" s="59">
        <f t="shared" si="139"/>
        <v>4.9198445866805258E-3</v>
      </c>
      <c r="M211" s="114">
        <v>1130.67</v>
      </c>
      <c r="N211" s="114">
        <v>1130.67</v>
      </c>
      <c r="O211" s="60">
        <v>17</v>
      </c>
      <c r="P211" s="82">
        <v>6.1000000000000004E-3</v>
      </c>
      <c r="Q211" s="82">
        <v>8.3799999999999999E-2</v>
      </c>
      <c r="R211" s="88">
        <f>((K211-D211)/D211)</f>
        <v>9.9318049806307717E-3</v>
      </c>
      <c r="S211" s="88">
        <f>((N211-G211)/G211)</f>
        <v>6.0057655349135168E-3</v>
      </c>
      <c r="T211" s="88">
        <f>((O211-H211)/H211)</f>
        <v>0</v>
      </c>
      <c r="U211" s="88">
        <f>P211-I211</f>
        <v>5.2000000000000006E-3</v>
      </c>
      <c r="V211" s="89">
        <f>Q211-J211</f>
        <v>6.0999999999999943E-3</v>
      </c>
      <c r="X211" s="135"/>
    </row>
    <row r="212" spans="1:24">
      <c r="A212" s="178">
        <v>180</v>
      </c>
      <c r="B212" s="179" t="s">
        <v>265</v>
      </c>
      <c r="C212" s="180" t="s">
        <v>73</v>
      </c>
      <c r="D212" s="64">
        <v>314401354.22000003</v>
      </c>
      <c r="E212" s="59">
        <f>(D212/$D$230)</f>
        <v>4.2224768424859848E-3</v>
      </c>
      <c r="F212" s="114">
        <v>121.38</v>
      </c>
      <c r="G212" s="114">
        <v>121.38</v>
      </c>
      <c r="H212" s="60">
        <v>80</v>
      </c>
      <c r="I212" s="82">
        <v>2.3999999999999998E-3</v>
      </c>
      <c r="J212" s="82">
        <v>0.13450000000000001</v>
      </c>
      <c r="K212" s="64">
        <v>315268771.92000002</v>
      </c>
      <c r="L212" s="59">
        <f t="shared" si="139"/>
        <v>4.1587339211013909E-3</v>
      </c>
      <c r="M212" s="114">
        <v>121.67</v>
      </c>
      <c r="N212" s="114">
        <v>121.67</v>
      </c>
      <c r="O212" s="60">
        <v>80</v>
      </c>
      <c r="P212" s="82">
        <v>2.3999999999999998E-3</v>
      </c>
      <c r="Q212" s="82">
        <v>0.13389999999999999</v>
      </c>
      <c r="R212" s="88">
        <f t="shared" ref="R212:R231" si="140">((K212-D212)/D212)</f>
        <v>2.7589502664578823E-3</v>
      </c>
      <c r="S212" s="88">
        <f t="shared" ref="S212:S230" si="141">((N212-G212)/G212)</f>
        <v>2.3891909705059011E-3</v>
      </c>
      <c r="T212" s="88">
        <f t="shared" ref="T212:T230" si="142">((O212-H212)/H212)</f>
        <v>0</v>
      </c>
      <c r="U212" s="88">
        <f t="shared" ref="U212:U230" si="143">P212-I212</f>
        <v>0</v>
      </c>
      <c r="V212" s="89">
        <f t="shared" ref="V212:V230" si="144">Q212-J212</f>
        <v>-6.0000000000001719E-4</v>
      </c>
    </row>
    <row r="213" spans="1:24">
      <c r="A213" s="178">
        <v>181</v>
      </c>
      <c r="B213" s="188" t="s">
        <v>266</v>
      </c>
      <c r="C213" s="180" t="s">
        <v>267</v>
      </c>
      <c r="D213" s="64">
        <v>54428003.516763799</v>
      </c>
      <c r="E213" s="59">
        <v>0</v>
      </c>
      <c r="F213" s="114">
        <v>104.51648267294701</v>
      </c>
      <c r="G213" s="114">
        <v>104.51648267294701</v>
      </c>
      <c r="H213" s="60">
        <v>13</v>
      </c>
      <c r="I213" s="82">
        <v>2.0999999999999999E-3</v>
      </c>
      <c r="J213" s="82">
        <v>4.5199999999999997E-2</v>
      </c>
      <c r="K213" s="64">
        <v>54601361.188995004</v>
      </c>
      <c r="L213" s="59">
        <f t="shared" si="139"/>
        <v>7.2025063418777974E-4</v>
      </c>
      <c r="M213" s="114">
        <v>104.84937627505001</v>
      </c>
      <c r="N213" s="114">
        <v>104.84937627505001</v>
      </c>
      <c r="O213" s="60">
        <v>13</v>
      </c>
      <c r="P213" s="82">
        <v>3.3E-3</v>
      </c>
      <c r="Q213" s="82">
        <v>4.8500000000000001E-2</v>
      </c>
      <c r="R213" s="88">
        <f t="shared" si="140"/>
        <v>3.185082329499937E-3</v>
      </c>
      <c r="S213" s="88">
        <f t="shared" si="141"/>
        <v>3.1850823294990666E-3</v>
      </c>
      <c r="T213" s="88">
        <f t="shared" si="142"/>
        <v>0</v>
      </c>
      <c r="U213" s="88">
        <f t="shared" si="143"/>
        <v>1.2000000000000001E-3</v>
      </c>
      <c r="V213" s="89">
        <f t="shared" si="144"/>
        <v>3.3000000000000043E-3</v>
      </c>
    </row>
    <row r="214" spans="1:24">
      <c r="A214" s="178">
        <v>182</v>
      </c>
      <c r="B214" s="188" t="s">
        <v>268</v>
      </c>
      <c r="C214" s="180" t="s">
        <v>79</v>
      </c>
      <c r="D214" s="76">
        <v>67314118.930000007</v>
      </c>
      <c r="E214" s="59">
        <f>(D214/$D$230)</f>
        <v>9.0404288829933923E-4</v>
      </c>
      <c r="F214" s="114">
        <v>102.65</v>
      </c>
      <c r="G214" s="114">
        <v>102.65</v>
      </c>
      <c r="H214" s="60">
        <v>17</v>
      </c>
      <c r="I214" s="82">
        <v>2.0999999999999999E-3</v>
      </c>
      <c r="J214" s="82">
        <v>9.7100000000000006E-2</v>
      </c>
      <c r="K214" s="76">
        <v>67688599.260000005</v>
      </c>
      <c r="L214" s="59">
        <f t="shared" si="139"/>
        <v>8.9288536920437947E-4</v>
      </c>
      <c r="M214" s="114">
        <v>102.92</v>
      </c>
      <c r="N214" s="114">
        <v>102.92</v>
      </c>
      <c r="O214" s="60">
        <v>15</v>
      </c>
      <c r="P214" s="82">
        <v>2.7000000000000001E-3</v>
      </c>
      <c r="Q214" s="82">
        <v>9.98E-2</v>
      </c>
      <c r="R214" s="88">
        <f t="shared" si="140"/>
        <v>5.5631765809698933E-3</v>
      </c>
      <c r="S214" s="88">
        <f t="shared" si="141"/>
        <v>2.6302971261568048E-3</v>
      </c>
      <c r="T214" s="88">
        <f t="shared" si="142"/>
        <v>-0.11764705882352941</v>
      </c>
      <c r="U214" s="88">
        <f t="shared" si="143"/>
        <v>6.0000000000000027E-4</v>
      </c>
      <c r="V214" s="89">
        <f t="shared" si="144"/>
        <v>2.6999999999999941E-3</v>
      </c>
    </row>
    <row r="215" spans="1:24">
      <c r="A215" s="178">
        <v>183</v>
      </c>
      <c r="B215" s="179" t="s">
        <v>269</v>
      </c>
      <c r="C215" s="180" t="s">
        <v>82</v>
      </c>
      <c r="D215" s="76">
        <v>263645100.53</v>
      </c>
      <c r="E215" s="59">
        <v>0</v>
      </c>
      <c r="F215" s="114">
        <v>1.1499999999999999</v>
      </c>
      <c r="G215" s="114">
        <v>1.1499999999999999</v>
      </c>
      <c r="H215" s="60">
        <v>59</v>
      </c>
      <c r="I215" s="82">
        <v>1.8E-3</v>
      </c>
      <c r="J215" s="82">
        <v>0.10920000000000001</v>
      </c>
      <c r="K215" s="76">
        <v>263536991.68000001</v>
      </c>
      <c r="L215" s="59">
        <f t="shared" si="139"/>
        <v>3.4763361435706606E-3</v>
      </c>
      <c r="M215" s="114">
        <v>1.1499999999999999</v>
      </c>
      <c r="N215" s="114">
        <v>1.1499999999999999</v>
      </c>
      <c r="O215" s="60">
        <v>57</v>
      </c>
      <c r="P215" s="82">
        <v>1.8E-3</v>
      </c>
      <c r="Q215" s="82">
        <v>0.10879999999999999</v>
      </c>
      <c r="R215" s="88">
        <f t="shared" ref="R215:R216" si="145">((K215-D215)/D215)</f>
        <v>-4.100544625432643E-4</v>
      </c>
      <c r="S215" s="88">
        <f t="shared" ref="S215:S216" si="146">((N215-G215)/G215)</f>
        <v>0</v>
      </c>
      <c r="T215" s="88">
        <f t="shared" ref="T215" si="147">((O215-H215)/H215)</f>
        <v>-3.3898305084745763E-2</v>
      </c>
      <c r="U215" s="88">
        <f t="shared" ref="U215" si="148">P215-I215</f>
        <v>0</v>
      </c>
      <c r="V215" s="89">
        <f t="shared" ref="V215" si="149">Q215-J215</f>
        <v>-4.0000000000001146E-4</v>
      </c>
    </row>
    <row r="216" spans="1:24">
      <c r="A216" s="178">
        <v>184</v>
      </c>
      <c r="B216" s="179" t="s">
        <v>270</v>
      </c>
      <c r="C216" s="180" t="s">
        <v>32</v>
      </c>
      <c r="D216" s="64">
        <v>4771039769.7299995</v>
      </c>
      <c r="E216" s="59">
        <f t="shared" ref="E216:E223" si="150">(D216/$D$230)</f>
        <v>6.4076075601658664E-2</v>
      </c>
      <c r="F216" s="114">
        <v>140.41999999999999</v>
      </c>
      <c r="G216" s="114">
        <v>140.41999999999999</v>
      </c>
      <c r="H216" s="60">
        <v>755</v>
      </c>
      <c r="I216" s="82">
        <v>3.0000000000000001E-3</v>
      </c>
      <c r="J216" s="82">
        <v>0.14269999999999999</v>
      </c>
      <c r="K216" s="64">
        <v>4860959954.6300001</v>
      </c>
      <c r="L216" s="59">
        <f t="shared" si="139"/>
        <v>6.4121285877197384E-2</v>
      </c>
      <c r="M216" s="114">
        <v>140.81</v>
      </c>
      <c r="N216" s="114">
        <v>140.81</v>
      </c>
      <c r="O216" s="60">
        <v>753</v>
      </c>
      <c r="P216" s="82">
        <v>2.8E-3</v>
      </c>
      <c r="Q216" s="82">
        <v>0.14549999999999999</v>
      </c>
      <c r="R216" s="88">
        <f t="shared" si="145"/>
        <v>1.8847083495405297E-2</v>
      </c>
      <c r="S216" s="88">
        <f t="shared" si="146"/>
        <v>2.777382139296502E-3</v>
      </c>
      <c r="T216" s="88">
        <f t="shared" si="142"/>
        <v>-2.6490066225165563E-3</v>
      </c>
      <c r="U216" s="88">
        <f t="shared" si="143"/>
        <v>-2.0000000000000009E-4</v>
      </c>
      <c r="V216" s="89">
        <f t="shared" si="144"/>
        <v>2.7999999999999969E-3</v>
      </c>
    </row>
    <row r="217" spans="1:24">
      <c r="A217" s="178">
        <v>185</v>
      </c>
      <c r="B217" s="179" t="s">
        <v>271</v>
      </c>
      <c r="C217" s="180" t="s">
        <v>71</v>
      </c>
      <c r="D217" s="64">
        <v>859828363.98362696</v>
      </c>
      <c r="E217" s="59">
        <f t="shared" si="150"/>
        <v>1.1547677217996287E-2</v>
      </c>
      <c r="F217" s="63">
        <v>1310.9246106921701</v>
      </c>
      <c r="G217" s="63">
        <v>1310.9246106921701</v>
      </c>
      <c r="H217" s="60">
        <v>298</v>
      </c>
      <c r="I217" s="82">
        <v>-0.42449999999999999</v>
      </c>
      <c r="J217" s="82">
        <v>0.1148</v>
      </c>
      <c r="K217" s="64">
        <v>865140742.08366096</v>
      </c>
      <c r="L217" s="59">
        <f t="shared" si="139"/>
        <v>1.1412136155188631E-2</v>
      </c>
      <c r="M217" s="63">
        <v>1314.04432116422</v>
      </c>
      <c r="N217" s="63">
        <v>1314.04432116422</v>
      </c>
      <c r="O217" s="60">
        <v>293</v>
      </c>
      <c r="P217" s="82">
        <v>0.1241</v>
      </c>
      <c r="Q217" s="82">
        <v>0.1152</v>
      </c>
      <c r="R217" s="88">
        <f t="shared" si="140"/>
        <v>6.1784169056967259E-3</v>
      </c>
      <c r="S217" s="88">
        <f t="shared" si="141"/>
        <v>2.3797787047439459E-3</v>
      </c>
      <c r="T217" s="88">
        <f t="shared" si="142"/>
        <v>-1.6778523489932886E-2</v>
      </c>
      <c r="U217" s="88">
        <f t="shared" si="143"/>
        <v>0.54859999999999998</v>
      </c>
      <c r="V217" s="89">
        <f t="shared" si="144"/>
        <v>3.9999999999999758E-4</v>
      </c>
    </row>
    <row r="218" spans="1:24">
      <c r="A218" s="178">
        <v>186</v>
      </c>
      <c r="B218" s="179" t="s">
        <v>272</v>
      </c>
      <c r="C218" s="180" t="s">
        <v>260</v>
      </c>
      <c r="D218" s="64">
        <v>37620193281.790001</v>
      </c>
      <c r="E218" s="59">
        <f t="shared" si="150"/>
        <v>0.50524717152156629</v>
      </c>
      <c r="F218" s="63">
        <v>1284.25</v>
      </c>
      <c r="G218" s="63">
        <v>1284.25</v>
      </c>
      <c r="H218" s="60">
        <v>11367</v>
      </c>
      <c r="I218" s="82">
        <v>2.7000000000000001E-3</v>
      </c>
      <c r="J218" s="82">
        <v>0.13719999999999999</v>
      </c>
      <c r="K218" s="64">
        <v>38326487808.940002</v>
      </c>
      <c r="L218" s="59">
        <f t="shared" si="139"/>
        <v>0.50556756369185563</v>
      </c>
      <c r="M218" s="63">
        <v>1287.6099999999999</v>
      </c>
      <c r="N218" s="63">
        <v>1287.6099999999999</v>
      </c>
      <c r="O218" s="60">
        <v>11643</v>
      </c>
      <c r="P218" s="82">
        <v>2.5999999999999999E-3</v>
      </c>
      <c r="Q218" s="82">
        <v>0.1399</v>
      </c>
      <c r="R218" s="88">
        <f t="shared" si="140"/>
        <v>1.8774346050260255E-2</v>
      </c>
      <c r="S218" s="88">
        <f t="shared" si="141"/>
        <v>2.6163130231651936E-3</v>
      </c>
      <c r="T218" s="88">
        <f t="shared" si="142"/>
        <v>2.42808128793877E-2</v>
      </c>
      <c r="U218" s="88">
        <f t="shared" si="143"/>
        <v>-1.0000000000000026E-4</v>
      </c>
      <c r="V218" s="89">
        <f t="shared" si="144"/>
        <v>2.7000000000000079E-3</v>
      </c>
    </row>
    <row r="219" spans="1:24">
      <c r="A219" s="178">
        <v>187</v>
      </c>
      <c r="B219" s="179" t="s">
        <v>273</v>
      </c>
      <c r="C219" s="180" t="s">
        <v>274</v>
      </c>
      <c r="D219" s="64">
        <v>321884633.25999999</v>
      </c>
      <c r="E219" s="59">
        <f t="shared" si="150"/>
        <v>4.3229788665012821E-3</v>
      </c>
      <c r="F219" s="115">
        <v>118.24</v>
      </c>
      <c r="G219" s="115">
        <v>119.26</v>
      </c>
      <c r="H219" s="78">
        <v>131</v>
      </c>
      <c r="I219" s="82">
        <v>1.8E-3</v>
      </c>
      <c r="J219" s="82">
        <v>-4.6199999999999998E-2</v>
      </c>
      <c r="K219" s="64">
        <v>321286726.98000002</v>
      </c>
      <c r="L219" s="59">
        <f t="shared" si="139"/>
        <v>4.2381172158415257E-3</v>
      </c>
      <c r="M219" s="115">
        <v>118.32</v>
      </c>
      <c r="N219" s="115">
        <v>119.06</v>
      </c>
      <c r="O219" s="78">
        <v>129</v>
      </c>
      <c r="P219" s="82">
        <v>-1.6999999999999999E-3</v>
      </c>
      <c r="Q219" s="82">
        <v>-4.7699999999999999E-2</v>
      </c>
      <c r="R219" s="88">
        <f t="shared" si="140"/>
        <v>-1.8575173158919237E-3</v>
      </c>
      <c r="S219" s="88">
        <f t="shared" si="141"/>
        <v>-1.6770082173402888E-3</v>
      </c>
      <c r="T219" s="88">
        <f t="shared" si="142"/>
        <v>-1.5267175572519083E-2</v>
      </c>
      <c r="U219" s="88">
        <f t="shared" si="143"/>
        <v>-3.4999999999999996E-3</v>
      </c>
      <c r="V219" s="89">
        <f t="shared" si="144"/>
        <v>-1.5000000000000013E-3</v>
      </c>
    </row>
    <row r="220" spans="1:24">
      <c r="A220" s="178">
        <v>188</v>
      </c>
      <c r="B220" s="179" t="s">
        <v>275</v>
      </c>
      <c r="C220" s="180" t="s">
        <v>274</v>
      </c>
      <c r="D220" s="64">
        <v>428954893.85000002</v>
      </c>
      <c r="E220" s="59">
        <f t="shared" si="150"/>
        <v>5.760955165877716E-3</v>
      </c>
      <c r="F220" s="115">
        <v>133.02000000000001</v>
      </c>
      <c r="G220" s="115">
        <v>133.02000000000001</v>
      </c>
      <c r="H220" s="78">
        <v>136</v>
      </c>
      <c r="I220" s="82">
        <v>2.8E-3</v>
      </c>
      <c r="J220" s="82">
        <v>0.19089999999999999</v>
      </c>
      <c r="K220" s="64">
        <v>437854299.52999997</v>
      </c>
      <c r="L220" s="59">
        <f t="shared" si="139"/>
        <v>5.7757687729933531E-3</v>
      </c>
      <c r="M220" s="115">
        <v>133.94</v>
      </c>
      <c r="N220" s="115">
        <v>133.94</v>
      </c>
      <c r="O220" s="78">
        <v>139</v>
      </c>
      <c r="P220" s="82">
        <v>6.8999999999999999E-3</v>
      </c>
      <c r="Q220" s="82">
        <v>0.19919999999999999</v>
      </c>
      <c r="R220" s="88">
        <f t="shared" si="140"/>
        <v>2.0746716747127157E-2</v>
      </c>
      <c r="S220" s="88">
        <f t="shared" si="141"/>
        <v>6.9162531950081752E-3</v>
      </c>
      <c r="T220" s="88">
        <f t="shared" si="142"/>
        <v>2.2058823529411766E-2</v>
      </c>
      <c r="U220" s="88">
        <f t="shared" si="143"/>
        <v>4.0999999999999995E-3</v>
      </c>
      <c r="V220" s="89">
        <f t="shared" si="144"/>
        <v>8.3000000000000018E-3</v>
      </c>
    </row>
    <row r="221" spans="1:24" ht="13.5" customHeight="1">
      <c r="A221" s="178">
        <v>189</v>
      </c>
      <c r="B221" s="179" t="s">
        <v>276</v>
      </c>
      <c r="C221" s="180" t="s">
        <v>104</v>
      </c>
      <c r="D221" s="64">
        <v>2346222746</v>
      </c>
      <c r="E221" s="59">
        <f t="shared" si="150"/>
        <v>3.1510268894600929E-2</v>
      </c>
      <c r="F221" s="92">
        <v>106.66</v>
      </c>
      <c r="G221" s="92">
        <v>106.66</v>
      </c>
      <c r="H221" s="60">
        <v>737</v>
      </c>
      <c r="I221" s="82">
        <v>3.2000000000000002E-3</v>
      </c>
      <c r="J221" s="82">
        <v>0.15490000000000001</v>
      </c>
      <c r="K221" s="64">
        <v>2356023654</v>
      </c>
      <c r="L221" s="59">
        <f t="shared" si="139"/>
        <v>3.1078484015833085E-2</v>
      </c>
      <c r="M221" s="92">
        <v>106.96</v>
      </c>
      <c r="N221" s="92">
        <v>106.96</v>
      </c>
      <c r="O221" s="60">
        <v>753</v>
      </c>
      <c r="P221" s="82">
        <v>2.8E-3</v>
      </c>
      <c r="Q221" s="82">
        <v>0.15479999999999999</v>
      </c>
      <c r="R221" s="88">
        <f t="shared" si="140"/>
        <v>4.1773135209388175E-3</v>
      </c>
      <c r="S221" s="88">
        <f t="shared" si="141"/>
        <v>2.8126757922369884E-3</v>
      </c>
      <c r="T221" s="88">
        <f t="shared" si="142"/>
        <v>2.1709633649932156E-2</v>
      </c>
      <c r="U221" s="88">
        <f t="shared" si="143"/>
        <v>-4.0000000000000018E-4</v>
      </c>
      <c r="V221" s="89">
        <f t="shared" si="144"/>
        <v>-1.0000000000001674E-4</v>
      </c>
    </row>
    <row r="222" spans="1:24" ht="15.75" customHeight="1">
      <c r="A222" s="178">
        <v>190</v>
      </c>
      <c r="B222" s="179" t="s">
        <v>277</v>
      </c>
      <c r="C222" s="180" t="s">
        <v>50</v>
      </c>
      <c r="D222" s="64">
        <v>5283580188.54</v>
      </c>
      <c r="E222" s="59">
        <f t="shared" si="150"/>
        <v>7.095960208847181E-2</v>
      </c>
      <c r="F222" s="92">
        <v>143.16</v>
      </c>
      <c r="G222" s="92">
        <v>143.16</v>
      </c>
      <c r="H222" s="60">
        <v>1744</v>
      </c>
      <c r="I222" s="82">
        <v>2.0000000000000001E-4</v>
      </c>
      <c r="J222" s="82">
        <v>1.03E-2</v>
      </c>
      <c r="K222" s="64">
        <v>5314164523.3299999</v>
      </c>
      <c r="L222" s="59">
        <f t="shared" si="139"/>
        <v>7.0099541197483517E-2</v>
      </c>
      <c r="M222" s="92">
        <v>143.43</v>
      </c>
      <c r="N222" s="92">
        <v>143.43</v>
      </c>
      <c r="O222" s="60">
        <v>1784</v>
      </c>
      <c r="P222" s="82">
        <v>1.9E-3</v>
      </c>
      <c r="Q222" s="82">
        <v>6.8000000000000005E-2</v>
      </c>
      <c r="R222" s="88">
        <f t="shared" si="140"/>
        <v>5.7885626220525411E-3</v>
      </c>
      <c r="S222" s="88">
        <f t="shared" si="141"/>
        <v>1.8860016764460062E-3</v>
      </c>
      <c r="T222" s="88">
        <f t="shared" si="142"/>
        <v>2.2935779816513763E-2</v>
      </c>
      <c r="U222" s="88">
        <f t="shared" si="143"/>
        <v>1.6999999999999999E-3</v>
      </c>
      <c r="V222" s="89">
        <f t="shared" si="144"/>
        <v>5.7700000000000001E-2</v>
      </c>
    </row>
    <row r="223" spans="1:24">
      <c r="A223" s="178">
        <v>191</v>
      </c>
      <c r="B223" s="179" t="s">
        <v>278</v>
      </c>
      <c r="C223" s="180" t="s">
        <v>53</v>
      </c>
      <c r="D223" s="64">
        <v>3923681882.1300001</v>
      </c>
      <c r="E223" s="59">
        <f t="shared" si="150"/>
        <v>5.2695879525323709E-2</v>
      </c>
      <c r="F223" s="92">
        <v>1.2092000000000001</v>
      </c>
      <c r="G223" s="92">
        <v>1.2092000000000001</v>
      </c>
      <c r="H223" s="60">
        <v>2002</v>
      </c>
      <c r="I223" s="82">
        <v>1.2999999999999999E-3</v>
      </c>
      <c r="J223" s="82">
        <v>0.1053</v>
      </c>
      <c r="K223" s="64">
        <v>3937468076.46</v>
      </c>
      <c r="L223" s="59">
        <f t="shared" si="139"/>
        <v>5.1939435527040403E-2</v>
      </c>
      <c r="M223" s="92">
        <v>1.2116</v>
      </c>
      <c r="N223" s="92">
        <v>1.2116</v>
      </c>
      <c r="O223" s="60">
        <v>2021</v>
      </c>
      <c r="P223" s="82">
        <v>1.9E-3</v>
      </c>
      <c r="Q223" s="82">
        <v>0.1052</v>
      </c>
      <c r="R223" s="88">
        <f t="shared" si="140"/>
        <v>3.5135861530435756E-3</v>
      </c>
      <c r="S223" s="88">
        <f t="shared" si="141"/>
        <v>1.9847833278200111E-3</v>
      </c>
      <c r="T223" s="88">
        <f t="shared" si="142"/>
        <v>9.4905094905094901E-3</v>
      </c>
      <c r="U223" s="88">
        <f t="shared" si="143"/>
        <v>6.0000000000000006E-4</v>
      </c>
      <c r="V223" s="89">
        <f t="shared" si="144"/>
        <v>-1.0000000000000286E-4</v>
      </c>
    </row>
    <row r="224" spans="1:24" ht="6" customHeight="1">
      <c r="A224" s="67"/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</row>
    <row r="225" spans="1:22">
      <c r="A225" s="197" t="s">
        <v>279</v>
      </c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</row>
    <row r="226" spans="1:22">
      <c r="A226" s="178">
        <v>192</v>
      </c>
      <c r="B226" s="179" t="s">
        <v>280</v>
      </c>
      <c r="C226" s="180" t="s">
        <v>20</v>
      </c>
      <c r="D226" s="113">
        <v>381219289.48000002</v>
      </c>
      <c r="E226" s="59">
        <f>(D226/$D$202)</f>
        <v>4.6847742039857213E-2</v>
      </c>
      <c r="F226" s="114">
        <v>103.2166</v>
      </c>
      <c r="G226" s="114">
        <v>103.2166</v>
      </c>
      <c r="H226" s="62">
        <v>121</v>
      </c>
      <c r="I226" s="83">
        <v>2.5999999999999999E-3</v>
      </c>
      <c r="J226" s="83">
        <v>3.2199999999999999E-2</v>
      </c>
      <c r="K226" s="113">
        <v>388458677.08999997</v>
      </c>
      <c r="L226" s="86">
        <f>(K226/$K$202)</f>
        <v>4.6975335418123015E-2</v>
      </c>
      <c r="M226" s="114">
        <v>104.05459999999999</v>
      </c>
      <c r="N226" s="114">
        <v>104.05459999999999</v>
      </c>
      <c r="O226" s="62">
        <v>121</v>
      </c>
      <c r="P226" s="83">
        <v>8.0999999999999996E-3</v>
      </c>
      <c r="Q226" s="83">
        <v>4.0500000000000001E-2</v>
      </c>
      <c r="R226" s="88">
        <f>((K226-D226)/D226)</f>
        <v>1.8990087358577264E-2</v>
      </c>
      <c r="S226" s="88">
        <f t="shared" ref="S226" si="151">((N226-G226)/G226)</f>
        <v>8.1188490998540339E-3</v>
      </c>
      <c r="T226" s="88">
        <f t="shared" ref="T226" si="152">((O226-H226)/H226)</f>
        <v>0</v>
      </c>
      <c r="U226" s="88">
        <f t="shared" ref="U226" si="153">P226-I226</f>
        <v>5.4999999999999997E-3</v>
      </c>
      <c r="V226" s="89">
        <f t="shared" ref="V226" si="154">Q226-J226</f>
        <v>8.3000000000000018E-3</v>
      </c>
    </row>
    <row r="227" spans="1:22">
      <c r="A227" s="178">
        <v>193</v>
      </c>
      <c r="B227" s="179" t="s">
        <v>281</v>
      </c>
      <c r="C227" s="180" t="s">
        <v>24</v>
      </c>
      <c r="D227" s="113">
        <v>3871458456.52</v>
      </c>
      <c r="E227" s="59">
        <f>(D227/$D$202)</f>
        <v>0.47576051919216417</v>
      </c>
      <c r="F227" s="114">
        <v>100.8719</v>
      </c>
      <c r="G227" s="114">
        <v>103.91330000000001</v>
      </c>
      <c r="H227" s="62">
        <v>3385</v>
      </c>
      <c r="I227" s="83">
        <v>0.191</v>
      </c>
      <c r="J227" s="83">
        <v>0.51790000000000003</v>
      </c>
      <c r="K227" s="113">
        <v>3999850118.9099998</v>
      </c>
      <c r="L227" s="86">
        <f>(K227/$K$202)</f>
        <v>0.48369186232512501</v>
      </c>
      <c r="M227" s="114">
        <v>102.0394</v>
      </c>
      <c r="N227" s="114">
        <v>105.116</v>
      </c>
      <c r="O227" s="62">
        <v>3454</v>
      </c>
      <c r="P227" s="83">
        <v>0.60350000000000004</v>
      </c>
      <c r="Q227" s="83">
        <v>0.52559999999999996</v>
      </c>
      <c r="R227" s="88">
        <f>((K227-D227)/D227)</f>
        <v>3.3163642031021387E-2</v>
      </c>
      <c r="S227" s="88">
        <f t="shared" ref="S227" si="155">((N227-G227)/G227)</f>
        <v>1.1574071846433449E-2</v>
      </c>
      <c r="T227" s="88">
        <f t="shared" ref="T227" si="156">((O227-H227)/H227)</f>
        <v>2.0384047267355983E-2</v>
      </c>
      <c r="U227" s="88">
        <f t="shared" ref="U227" si="157">P227-I227</f>
        <v>0.41250000000000003</v>
      </c>
      <c r="V227" s="89">
        <f t="shared" ref="V227" si="158">Q227-J227</f>
        <v>7.6999999999999291E-3</v>
      </c>
    </row>
    <row r="228" spans="1:22">
      <c r="A228" s="178">
        <v>194</v>
      </c>
      <c r="B228" s="179" t="s">
        <v>282</v>
      </c>
      <c r="C228" s="180" t="s">
        <v>260</v>
      </c>
      <c r="D228" s="64">
        <v>276254407.67000002</v>
      </c>
      <c r="E228" s="59">
        <f t="shared" ref="E228" si="159">(D228/$D$230)</f>
        <v>3.7101552628969383E-3</v>
      </c>
      <c r="F228" s="63">
        <v>1218.28</v>
      </c>
      <c r="G228" s="63">
        <v>1218.28</v>
      </c>
      <c r="H228" s="60">
        <v>167</v>
      </c>
      <c r="I228" s="82">
        <v>1.0999999999999999E-2</v>
      </c>
      <c r="J228" s="82">
        <v>0.10100000000000001</v>
      </c>
      <c r="K228" s="64">
        <v>276718049.94</v>
      </c>
      <c r="L228" s="59">
        <f t="shared" ref="L228" si="160">(K228/$K$230)</f>
        <v>3.6502084677086993E-3</v>
      </c>
      <c r="M228" s="63">
        <v>1220.2</v>
      </c>
      <c r="N228" s="63">
        <v>1220.2</v>
      </c>
      <c r="O228" s="60">
        <v>167</v>
      </c>
      <c r="P228" s="82">
        <v>1.6000000000000001E-3</v>
      </c>
      <c r="Q228" s="82">
        <v>0.1026</v>
      </c>
      <c r="R228" s="88">
        <f t="shared" ref="R228" si="161">((K228-D228)/D228)</f>
        <v>1.6783162806720726E-3</v>
      </c>
      <c r="S228" s="88">
        <f t="shared" ref="S228" si="162">((N228-G228)/G228)</f>
        <v>1.5759923827035434E-3</v>
      </c>
      <c r="T228" s="88">
        <f t="shared" ref="T228" si="163">((O228-H228)/H228)</f>
        <v>0</v>
      </c>
      <c r="U228" s="88">
        <f t="shared" ref="U228" si="164">P228-I228</f>
        <v>-9.3999999999999986E-3</v>
      </c>
      <c r="V228" s="89">
        <f t="shared" ref="V228" si="165">Q228-J228</f>
        <v>1.5999999999999903E-3</v>
      </c>
    </row>
    <row r="229" spans="1:22">
      <c r="A229" s="178">
        <v>195</v>
      </c>
      <c r="B229" s="179" t="s">
        <v>283</v>
      </c>
      <c r="C229" s="180" t="s">
        <v>284</v>
      </c>
      <c r="D229" s="64">
        <v>144773428.81999999</v>
      </c>
      <c r="E229" s="59">
        <f t="shared" ref="E229" si="166">(D229/$D$230)</f>
        <v>1.9443378420437357E-3</v>
      </c>
      <c r="F229" s="63">
        <v>111.58</v>
      </c>
      <c r="G229" s="63">
        <v>113.88</v>
      </c>
      <c r="H229" s="60">
        <v>314</v>
      </c>
      <c r="I229" s="82">
        <v>2.3999999999999998E-3</v>
      </c>
      <c r="J229" s="82">
        <v>5.8700000000000002E-2</v>
      </c>
      <c r="K229" s="64">
        <v>146620422.34999999</v>
      </c>
      <c r="L229" s="59">
        <f t="shared" ref="L229" si="167">(K229/$K$230)</f>
        <v>1.9340809438236526E-3</v>
      </c>
      <c r="M229" s="63">
        <v>112.31</v>
      </c>
      <c r="N229" s="63">
        <v>114.62</v>
      </c>
      <c r="O229" s="60">
        <v>314</v>
      </c>
      <c r="P229" s="82">
        <v>6.1000000000000004E-3</v>
      </c>
      <c r="Q229" s="82">
        <v>6.5100000000000005E-2</v>
      </c>
      <c r="R229" s="88">
        <f t="shared" ref="R229" si="168">((K229-D229)/D229)</f>
        <v>1.2757821273242129E-2</v>
      </c>
      <c r="S229" s="88">
        <f t="shared" ref="S229" si="169">((N229-G229)/G229)</f>
        <v>6.4980681419038386E-3</v>
      </c>
      <c r="T229" s="88">
        <f t="shared" ref="T229" si="170">((O229-H229)/H229)</f>
        <v>0</v>
      </c>
      <c r="U229" s="88">
        <f t="shared" ref="U229" si="171">P229-I229</f>
        <v>3.7000000000000006E-3</v>
      </c>
      <c r="V229" s="89">
        <f t="shared" ref="V229" si="172">Q229-J229</f>
        <v>6.4000000000000029E-3</v>
      </c>
    </row>
    <row r="230" spans="1:22">
      <c r="A230" s="67"/>
      <c r="B230" s="68"/>
      <c r="C230" s="103" t="s">
        <v>56</v>
      </c>
      <c r="D230" s="91">
        <f>SUM(D206:D229)</f>
        <v>74458988396.700394</v>
      </c>
      <c r="E230" s="71">
        <f>(D230/$D$231)</f>
        <v>1.0039584057525829E-2</v>
      </c>
      <c r="F230" s="72"/>
      <c r="G230" s="106"/>
      <c r="H230" s="116">
        <f>SUM(H206:H229)</f>
        <v>39716</v>
      </c>
      <c r="I230" s="108"/>
      <c r="J230" s="108"/>
      <c r="K230" s="91">
        <f>SUM(K206:K229)</f>
        <v>75808834587.932678</v>
      </c>
      <c r="L230" s="71">
        <f>(K230/$K$231)</f>
        <v>1.0143990025238725E-2</v>
      </c>
      <c r="M230" s="72"/>
      <c r="N230" s="106"/>
      <c r="O230" s="74">
        <f>SUM(O206:O229)</f>
        <v>40244</v>
      </c>
      <c r="P230" s="108"/>
      <c r="Q230" s="108"/>
      <c r="R230" s="88">
        <f t="shared" si="140"/>
        <v>1.8128720525191853E-2</v>
      </c>
      <c r="S230" s="88" t="e">
        <f t="shared" si="141"/>
        <v>#DIV/0!</v>
      </c>
      <c r="T230" s="88">
        <f t="shared" si="142"/>
        <v>1.3294390170208481E-2</v>
      </c>
      <c r="U230" s="88">
        <f t="shared" si="143"/>
        <v>0</v>
      </c>
      <c r="V230" s="89">
        <f t="shared" si="144"/>
        <v>0</v>
      </c>
    </row>
    <row r="231" spans="1:22">
      <c r="A231" s="117"/>
      <c r="B231" s="117"/>
      <c r="C231" s="118" t="s">
        <v>285</v>
      </c>
      <c r="D231" s="119">
        <f>SUM(D26,D72,D114,D156,D165,D197,D202,D230)</f>
        <v>7416541160476.1436</v>
      </c>
      <c r="E231" s="120"/>
      <c r="F231" s="120"/>
      <c r="G231" s="121"/>
      <c r="H231" s="119">
        <f>SUM(H26,H72,H114,H156,H165,H197,H202,H230)</f>
        <v>1080528</v>
      </c>
      <c r="I231" s="131"/>
      <c r="J231" s="131"/>
      <c r="K231" s="119">
        <f>SUM(K26,K72,K114,K156,K165,K197,K202,K230)</f>
        <v>7473275742515.1973</v>
      </c>
      <c r="L231" s="120"/>
      <c r="M231" s="120"/>
      <c r="N231" s="121"/>
      <c r="O231" s="119">
        <f>SUM(O26,O72,O114,O156,O165,O197,O202,O230)</f>
        <v>1088610</v>
      </c>
      <c r="P231" s="132"/>
      <c r="Q231" s="119"/>
      <c r="R231" s="136">
        <f t="shared" si="140"/>
        <v>7.6497360172961461E-3</v>
      </c>
      <c r="S231" s="136"/>
      <c r="T231" s="136"/>
      <c r="U231" s="136"/>
      <c r="V231" s="136"/>
    </row>
    <row r="232" spans="1:22" ht="6.75" customHeight="1">
      <c r="A232" s="67"/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68"/>
    </row>
    <row r="233" spans="1:22" ht="14.4" customHeight="1">
      <c r="A233" s="196" t="s">
        <v>286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</row>
    <row r="234" spans="1:22" ht="14.4" customHeight="1">
      <c r="A234" s="178">
        <v>1</v>
      </c>
      <c r="B234" s="179" t="s">
        <v>287</v>
      </c>
      <c r="C234" s="180" t="s">
        <v>24</v>
      </c>
      <c r="D234" s="64">
        <v>1826178137.8475299</v>
      </c>
      <c r="E234" s="59">
        <f t="shared" ref="E234:E237" si="173">(D234/$D$230)</f>
        <v>2.452595955397718E-2</v>
      </c>
      <c r="F234" s="63">
        <v>1492.45915036</v>
      </c>
      <c r="G234" s="63">
        <v>1492.45915036</v>
      </c>
      <c r="H234" s="60">
        <v>49</v>
      </c>
      <c r="I234" s="82">
        <v>0.15210000000000001</v>
      </c>
      <c r="J234" s="82">
        <v>5.0999999999999997E-2</v>
      </c>
      <c r="K234" s="64">
        <f>1279302.87*W137</f>
        <v>1855537598.6403692</v>
      </c>
      <c r="L234" s="59">
        <f>(K234/$K$239)</f>
        <v>0.1008268256488087</v>
      </c>
      <c r="M234" s="63">
        <f>1.0416*W137</f>
        <v>1510.76653392</v>
      </c>
      <c r="N234" s="63">
        <f>1.0416*W137</f>
        <v>1510.76653392</v>
      </c>
      <c r="O234" s="60">
        <v>49</v>
      </c>
      <c r="P234" s="82">
        <v>0.50549999999999995</v>
      </c>
      <c r="Q234" s="82">
        <v>6.5199999999999994E-2</v>
      </c>
      <c r="R234" s="88">
        <f t="shared" ref="R234" si="174">((K234-D234)/D234)</f>
        <v>1.6076997191218457E-2</v>
      </c>
      <c r="S234" s="88">
        <f t="shared" ref="S234" si="175">((N234-G234)/G234)</f>
        <v>1.2266589377393739E-2</v>
      </c>
      <c r="T234" s="88">
        <f t="shared" ref="T234" si="176">((O234-H234)/H234)</f>
        <v>0</v>
      </c>
      <c r="U234" s="88">
        <f t="shared" ref="U234" si="177">P234-I234</f>
        <v>0.35339999999999994</v>
      </c>
      <c r="V234" s="89">
        <f t="shared" ref="V234" si="178">Q234-J234</f>
        <v>1.4199999999999997E-2</v>
      </c>
    </row>
    <row r="235" spans="1:22" ht="14.4" customHeight="1">
      <c r="A235" s="178">
        <v>2</v>
      </c>
      <c r="B235" s="179" t="s">
        <v>288</v>
      </c>
      <c r="C235" s="180" t="s">
        <v>216</v>
      </c>
      <c r="D235" s="64">
        <v>4082727507.5100498</v>
      </c>
      <c r="E235" s="59">
        <f t="shared" ref="E235" si="179">(D235/$D$230)</f>
        <v>5.4831895992975554E-2</v>
      </c>
      <c r="F235" s="63">
        <v>123.2</v>
      </c>
      <c r="G235" s="63">
        <v>123.2</v>
      </c>
      <c r="H235" s="60">
        <v>9</v>
      </c>
      <c r="I235" s="82">
        <v>0.26240000000000002</v>
      </c>
      <c r="J235" s="82">
        <v>0.26319999999999999</v>
      </c>
      <c r="K235" s="64">
        <v>4099824356.9948702</v>
      </c>
      <c r="L235" s="59">
        <f>(K235/$K$239)</f>
        <v>0.22277763378998966</v>
      </c>
      <c r="M235" s="63">
        <v>123.2</v>
      </c>
      <c r="N235" s="63">
        <v>123.2</v>
      </c>
      <c r="O235" s="60">
        <v>9</v>
      </c>
      <c r="P235" s="82">
        <v>0.26129999999999998</v>
      </c>
      <c r="Q235" s="82">
        <v>0.26150000000000001</v>
      </c>
      <c r="R235" s="88">
        <f t="shared" ref="R235" si="180">((K235-D235)/D235)</f>
        <v>4.1876048434217675E-3</v>
      </c>
      <c r="S235" s="88">
        <f t="shared" ref="S235" si="181">((N235-G235)/G235)</f>
        <v>0</v>
      </c>
      <c r="T235" s="88">
        <f t="shared" ref="T235" si="182">((O235-H235)/H235)</f>
        <v>0</v>
      </c>
      <c r="U235" s="88">
        <f t="shared" ref="U235" si="183">P235-I235</f>
        <v>-1.1000000000000454E-3</v>
      </c>
      <c r="V235" s="89">
        <f t="shared" ref="V235" si="184">Q235-J235</f>
        <v>-1.6999999999999793E-3</v>
      </c>
    </row>
    <row r="236" spans="1:22" ht="14.4" customHeight="1">
      <c r="A236" s="178">
        <v>3</v>
      </c>
      <c r="B236" s="179" t="s">
        <v>289</v>
      </c>
      <c r="C236" s="180" t="s">
        <v>32</v>
      </c>
      <c r="D236" s="64">
        <v>662774184.80439496</v>
      </c>
      <c r="E236" s="59">
        <f>(D236/$D$230)</f>
        <v>8.9011978147391195E-3</v>
      </c>
      <c r="F236" s="63">
        <v>158910.152264</v>
      </c>
      <c r="G236" s="63">
        <v>158910.152264</v>
      </c>
      <c r="H236" s="60">
        <v>6</v>
      </c>
      <c r="I236" s="82">
        <v>1.21E-2</v>
      </c>
      <c r="J236" s="82">
        <v>9.8400000000000001E-2</v>
      </c>
      <c r="K236" s="64">
        <f xml:space="preserve"> 462679.24*W137</f>
        <v>671083248.59018791</v>
      </c>
      <c r="L236" s="59">
        <f>(K236/$K$239)</f>
        <v>3.6465547101292205E-2</v>
      </c>
      <c r="M236" s="63">
        <f>110.93*W137</f>
        <v>160896.05569100002</v>
      </c>
      <c r="N236" s="63">
        <f>110.93*W137</f>
        <v>160896.05569100002</v>
      </c>
      <c r="O236" s="60">
        <v>6</v>
      </c>
      <c r="P236" s="82">
        <v>9.9000000000000008E-3</v>
      </c>
      <c r="Q236" s="82">
        <v>0.10929999999999999</v>
      </c>
      <c r="R236" s="88">
        <f t="shared" ref="R236:R237" si="185">((K236-D236)/D236)</f>
        <v>1.253679454676589E-2</v>
      </c>
      <c r="S236" s="88">
        <f t="shared" ref="S236:S237" si="186">((N236-G236)/G236)</f>
        <v>1.2497020477966685E-2</v>
      </c>
      <c r="T236" s="88">
        <f t="shared" ref="T236:T237" si="187">((O236-H236)/H236)</f>
        <v>0</v>
      </c>
      <c r="U236" s="88">
        <f t="shared" ref="U236:U237" si="188">P236-I236</f>
        <v>-2.1999999999999988E-3</v>
      </c>
      <c r="V236" s="89">
        <f t="shared" ref="V236:V237" si="189">Q236-J236</f>
        <v>1.0899999999999993E-2</v>
      </c>
    </row>
    <row r="237" spans="1:22" ht="14.4" customHeight="1">
      <c r="A237" s="178">
        <v>4</v>
      </c>
      <c r="B237" s="179" t="s">
        <v>290</v>
      </c>
      <c r="C237" s="180" t="s">
        <v>42</v>
      </c>
      <c r="D237" s="64">
        <v>11587576935.6</v>
      </c>
      <c r="E237" s="59">
        <f t="shared" si="173"/>
        <v>0.15562361489339677</v>
      </c>
      <c r="F237" s="63">
        <v>1.26</v>
      </c>
      <c r="G237" s="63">
        <v>1.26</v>
      </c>
      <c r="H237" s="60">
        <v>16</v>
      </c>
      <c r="I237" s="82">
        <v>8.6999999999999994E-3</v>
      </c>
      <c r="J237" s="82">
        <v>0.22839999999999999</v>
      </c>
      <c r="K237" s="64">
        <v>11607335143.629999</v>
      </c>
      <c r="L237" s="59">
        <f>(K237/$K$239)</f>
        <v>0.63072327805786443</v>
      </c>
      <c r="M237" s="63">
        <v>1.26</v>
      </c>
      <c r="N237" s="63">
        <v>1.26</v>
      </c>
      <c r="O237" s="60">
        <v>16</v>
      </c>
      <c r="P237" s="82">
        <v>1.0200000000000001E-2</v>
      </c>
      <c r="Q237" s="82">
        <v>0.22559999999999999</v>
      </c>
      <c r="R237" s="88">
        <f t="shared" si="185"/>
        <v>1.7051199003733481E-3</v>
      </c>
      <c r="S237" s="88">
        <f t="shared" si="186"/>
        <v>0</v>
      </c>
      <c r="T237" s="88">
        <f t="shared" si="187"/>
        <v>0</v>
      </c>
      <c r="U237" s="88">
        <f t="shared" si="188"/>
        <v>1.5000000000000013E-3</v>
      </c>
      <c r="V237" s="89">
        <f t="shared" si="189"/>
        <v>-2.7999999999999969E-3</v>
      </c>
    </row>
    <row r="238" spans="1:22" ht="14.4" customHeight="1">
      <c r="A238" s="178">
        <v>5</v>
      </c>
      <c r="B238" s="179" t="s">
        <v>291</v>
      </c>
      <c r="C238" s="180" t="s">
        <v>53</v>
      </c>
      <c r="D238" s="64">
        <v>166877487.09</v>
      </c>
      <c r="E238" s="59">
        <f t="shared" ref="E238" si="190">(D238/$D$230)</f>
        <v>2.2412000308265683E-3</v>
      </c>
      <c r="F238" s="63">
        <v>1.0982000000000001</v>
      </c>
      <c r="G238" s="63">
        <v>1.0982000000000001</v>
      </c>
      <c r="H238" s="60">
        <v>15</v>
      </c>
      <c r="I238" s="82">
        <v>5.0000000000000001E-4</v>
      </c>
      <c r="J238" s="82">
        <v>9.8199999999999996E-2</v>
      </c>
      <c r="K238" s="64">
        <v>169433149.15000001</v>
      </c>
      <c r="L238" s="59">
        <f>(K238/$K$239)</f>
        <v>9.2067154020448756E-3</v>
      </c>
      <c r="M238" s="63">
        <v>1.1084000000000001</v>
      </c>
      <c r="N238" s="63">
        <v>1.1084000000000001</v>
      </c>
      <c r="O238" s="60">
        <v>15</v>
      </c>
      <c r="P238" s="82">
        <v>8.8999999999999999E-3</v>
      </c>
      <c r="Q238" s="82">
        <v>0.1084</v>
      </c>
      <c r="R238" s="88">
        <f t="shared" ref="R238:R239" si="191">((K238-D238)/D238)</f>
        <v>1.5314600576539652E-2</v>
      </c>
      <c r="S238" s="88">
        <f t="shared" ref="S238" si="192">((N238-G238)/G238)</f>
        <v>9.2879256965944148E-3</v>
      </c>
      <c r="T238" s="88">
        <f t="shared" ref="T238" si="193">((O238-H238)/H238)</f>
        <v>0</v>
      </c>
      <c r="U238" s="88">
        <f t="shared" ref="U238" si="194">P238-I238</f>
        <v>8.3999999999999995E-3</v>
      </c>
      <c r="V238" s="89">
        <f t="shared" ref="V238" si="195">Q238-J238</f>
        <v>1.0200000000000001E-2</v>
      </c>
    </row>
    <row r="239" spans="1:22" ht="14.4" customHeight="1">
      <c r="A239" s="122"/>
      <c r="B239" s="122"/>
      <c r="C239" s="122" t="s">
        <v>56</v>
      </c>
      <c r="D239" s="122">
        <f>SUM(D234:D238)</f>
        <v>18326134252.851974</v>
      </c>
      <c r="E239" s="122"/>
      <c r="F239" s="122"/>
      <c r="G239" s="122"/>
      <c r="H239" s="122">
        <f>SUM(H234:H238)</f>
        <v>95</v>
      </c>
      <c r="I239" s="122"/>
      <c r="J239" s="122"/>
      <c r="K239" s="122">
        <f>SUM(K234:K238)</f>
        <v>18403213497.005428</v>
      </c>
      <c r="L239" s="71"/>
      <c r="M239" s="122"/>
      <c r="N239" s="122"/>
      <c r="O239" s="122">
        <f>SUM(O234:O238)</f>
        <v>95</v>
      </c>
      <c r="P239" s="122"/>
      <c r="Q239" s="122"/>
      <c r="R239" s="136">
        <f t="shared" si="191"/>
        <v>4.2059739981146595E-3</v>
      </c>
      <c r="S239" s="122"/>
      <c r="T239" s="122"/>
      <c r="U239" s="122"/>
      <c r="V239" s="122"/>
    </row>
    <row r="240" spans="1:22" ht="6" customHeight="1">
      <c r="A240" s="67"/>
      <c r="B240" s="75"/>
      <c r="C240" s="103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68"/>
    </row>
    <row r="241" spans="1:22" ht="15.5">
      <c r="A241" s="196" t="s">
        <v>292</v>
      </c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</row>
    <row r="242" spans="1:22">
      <c r="A242" s="178">
        <v>1</v>
      </c>
      <c r="B242" s="179" t="s">
        <v>293</v>
      </c>
      <c r="C242" s="180" t="s">
        <v>294</v>
      </c>
      <c r="D242" s="64">
        <v>131430219149</v>
      </c>
      <c r="E242" s="59">
        <f>(D242/$D$244)</f>
        <v>0.89695454940990071</v>
      </c>
      <c r="F242" s="92">
        <v>108.35</v>
      </c>
      <c r="G242" s="92">
        <v>108.35</v>
      </c>
      <c r="H242" s="60">
        <v>0</v>
      </c>
      <c r="I242" s="82">
        <v>0.15</v>
      </c>
      <c r="J242" s="82">
        <v>0.15</v>
      </c>
      <c r="K242" s="64">
        <v>131430219149</v>
      </c>
      <c r="L242" s="59">
        <f>(K242/$K$244)</f>
        <v>0.89669998014949381</v>
      </c>
      <c r="M242" s="92">
        <v>108.35</v>
      </c>
      <c r="N242" s="92">
        <v>108.35</v>
      </c>
      <c r="O242" s="60">
        <v>0</v>
      </c>
      <c r="P242" s="82">
        <v>0.15</v>
      </c>
      <c r="Q242" s="82">
        <v>0.15</v>
      </c>
      <c r="R242" s="88">
        <f>((K242-D242)/D242)</f>
        <v>0</v>
      </c>
      <c r="S242" s="88">
        <f>((N242-G242)/G242)</f>
        <v>0</v>
      </c>
      <c r="T242" s="88" t="e">
        <f>((O242-H242)/H242)</f>
        <v>#DIV/0!</v>
      </c>
      <c r="U242" s="88">
        <f>P242-I242</f>
        <v>0</v>
      </c>
      <c r="V242" s="89">
        <f>Q242-J242</f>
        <v>0</v>
      </c>
    </row>
    <row r="243" spans="1:22" ht="14.4" customHeight="1">
      <c r="A243" s="178">
        <v>2</v>
      </c>
      <c r="B243" s="179" t="s">
        <v>295</v>
      </c>
      <c r="C243" s="180" t="s">
        <v>53</v>
      </c>
      <c r="D243" s="64">
        <v>15099188874.48</v>
      </c>
      <c r="E243" s="59">
        <f>(D243/$D$244)</f>
        <v>0.10304545059009923</v>
      </c>
      <c r="F243" s="123">
        <v>1000000</v>
      </c>
      <c r="G243" s="123">
        <v>1000000</v>
      </c>
      <c r="H243" s="60">
        <v>26</v>
      </c>
      <c r="I243" s="82">
        <v>0.2082</v>
      </c>
      <c r="J243" s="82">
        <v>0.2082</v>
      </c>
      <c r="K243" s="64">
        <v>15140787942.01</v>
      </c>
      <c r="L243" s="59">
        <f>(K243/$K$244)</f>
        <v>0.10330001985050608</v>
      </c>
      <c r="M243" s="123">
        <v>1000000</v>
      </c>
      <c r="N243" s="123">
        <v>1000000</v>
      </c>
      <c r="O243" s="60">
        <v>26</v>
      </c>
      <c r="P243" s="82">
        <v>0.22109999999999999</v>
      </c>
      <c r="Q243" s="82">
        <v>0.22109999999999999</v>
      </c>
      <c r="R243" s="88">
        <f>((K243-D243)/D243)</f>
        <v>2.7550531274106813E-3</v>
      </c>
      <c r="S243" s="88">
        <f>((N243-G243)/G243)</f>
        <v>0</v>
      </c>
      <c r="T243" s="88">
        <f>((O243-H243)/H243)</f>
        <v>0</v>
      </c>
      <c r="U243" s="88">
        <f>P243-I243</f>
        <v>1.2899999999999995E-2</v>
      </c>
      <c r="V243" s="89">
        <f>Q243-J243</f>
        <v>1.2899999999999995E-2</v>
      </c>
    </row>
    <row r="244" spans="1:22" ht="15" customHeight="1">
      <c r="A244" s="117"/>
      <c r="B244" s="117"/>
      <c r="C244" s="118" t="s">
        <v>296</v>
      </c>
      <c r="D244" s="122">
        <f>SUM(D242:D243)</f>
        <v>146529408023.48001</v>
      </c>
      <c r="E244" s="124"/>
      <c r="F244" s="125"/>
      <c r="G244" s="125"/>
      <c r="H244" s="122">
        <f>SUM(H242:H243)</f>
        <v>26</v>
      </c>
      <c r="I244" s="133"/>
      <c r="J244" s="133"/>
      <c r="K244" s="122">
        <f>SUM(K242:K243)</f>
        <v>146571007091.01001</v>
      </c>
      <c r="L244" s="124"/>
      <c r="M244" s="125"/>
      <c r="N244" s="125"/>
      <c r="O244" s="122">
        <f>SUM(O242:O243)</f>
        <v>26</v>
      </c>
      <c r="P244" s="133"/>
      <c r="Q244" s="122"/>
      <c r="R244" s="136">
        <f>((K244-D244)/D244)</f>
        <v>2.838956909136827E-4</v>
      </c>
      <c r="S244" s="137"/>
      <c r="T244" s="137"/>
      <c r="U244" s="136"/>
      <c r="V244" s="138"/>
    </row>
    <row r="245" spans="1:22" ht="4.5" customHeight="1">
      <c r="A245" s="67"/>
      <c r="B245" s="198"/>
      <c r="C245" s="198"/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</row>
    <row r="246" spans="1:22" ht="15.5">
      <c r="A246" s="196" t="s">
        <v>297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</row>
    <row r="247" spans="1:22">
      <c r="A247" s="171">
        <v>1</v>
      </c>
      <c r="B247" s="172" t="s">
        <v>298</v>
      </c>
      <c r="C247" s="173" t="s">
        <v>94</v>
      </c>
      <c r="D247" s="126">
        <v>1359464958.3800001</v>
      </c>
      <c r="E247" s="127">
        <f t="shared" ref="E247:E258" si="196">(D247/$D$259)</f>
        <v>8.0096082289399184E-2</v>
      </c>
      <c r="F247" s="123">
        <v>332.17</v>
      </c>
      <c r="G247" s="123">
        <v>332.17</v>
      </c>
      <c r="H247" s="128">
        <v>266</v>
      </c>
      <c r="I247" s="84">
        <v>-6.4000000000000003E-3</v>
      </c>
      <c r="J247" s="84">
        <v>0.36230000000000001</v>
      </c>
      <c r="K247" s="126">
        <v>1381626986.9200001</v>
      </c>
      <c r="L247" s="127">
        <f t="shared" ref="L247:L258" si="197">(K247/$K$259)</f>
        <v>7.9343553832347979E-2</v>
      </c>
      <c r="M247" s="123">
        <v>337.59</v>
      </c>
      <c r="N247" s="123">
        <v>337.59</v>
      </c>
      <c r="O247" s="128">
        <v>266</v>
      </c>
      <c r="P247" s="84">
        <v>1.6424000000000001E-2</v>
      </c>
      <c r="Q247" s="84">
        <v>0.38454300000000002</v>
      </c>
      <c r="R247" s="88">
        <f>((K247-D247)/D247)</f>
        <v>1.6302022647504823E-2</v>
      </c>
      <c r="S247" s="88">
        <f>((N247-G247)/G247)</f>
        <v>1.631694614203558E-2</v>
      </c>
      <c r="T247" s="88">
        <f>((O247-H247)/H247)</f>
        <v>0</v>
      </c>
      <c r="U247" s="88">
        <f>P247-I247</f>
        <v>2.2824000000000001E-2</v>
      </c>
      <c r="V247" s="89">
        <f>Q247-J247</f>
        <v>2.2243000000000013E-2</v>
      </c>
    </row>
    <row r="248" spans="1:22">
      <c r="A248" s="178">
        <v>2</v>
      </c>
      <c r="B248" s="179" t="s">
        <v>299</v>
      </c>
      <c r="C248" s="180" t="s">
        <v>260</v>
      </c>
      <c r="D248" s="126">
        <v>1948526493.6700001</v>
      </c>
      <c r="E248" s="127">
        <f t="shared" si="196"/>
        <v>0.11480203106231297</v>
      </c>
      <c r="F248" s="123">
        <v>55.42</v>
      </c>
      <c r="G248" s="123">
        <v>61.26</v>
      </c>
      <c r="H248" s="128">
        <v>238</v>
      </c>
      <c r="I248" s="84">
        <v>2.7000000000000001E-3</v>
      </c>
      <c r="J248" s="84">
        <v>0.80779999999999996</v>
      </c>
      <c r="K248" s="126">
        <v>1992405689.5799999</v>
      </c>
      <c r="L248" s="127">
        <f t="shared" si="197"/>
        <v>0.11441912294973189</v>
      </c>
      <c r="M248" s="123">
        <v>56.67</v>
      </c>
      <c r="N248" s="123">
        <v>62.64</v>
      </c>
      <c r="O248" s="128">
        <v>238</v>
      </c>
      <c r="P248" s="84">
        <v>2.2499999999999999E-2</v>
      </c>
      <c r="Q248" s="84">
        <v>0.84860000000000002</v>
      </c>
      <c r="R248" s="88">
        <f t="shared" ref="R248:R259" si="198">((K248-D248)/D248)</f>
        <v>2.2519168229195845E-2</v>
      </c>
      <c r="S248" s="88">
        <f t="shared" ref="S248:S259" si="199">((N248-G248)/G248)</f>
        <v>2.2526934378060769E-2</v>
      </c>
      <c r="T248" s="88">
        <f t="shared" ref="T248:T259" si="200">((O248-H248)/H248)</f>
        <v>0</v>
      </c>
      <c r="U248" s="88">
        <f t="shared" ref="U248:U259" si="201">P248-I248</f>
        <v>1.9799999999999998E-2</v>
      </c>
      <c r="V248" s="89">
        <f t="shared" ref="V248:V259" si="202">Q248-J248</f>
        <v>4.0800000000000058E-2</v>
      </c>
    </row>
    <row r="249" spans="1:22">
      <c r="A249" s="178">
        <v>3</v>
      </c>
      <c r="B249" s="179" t="s">
        <v>300</v>
      </c>
      <c r="C249" s="180" t="s">
        <v>44</v>
      </c>
      <c r="D249" s="126">
        <v>475127537.70999998</v>
      </c>
      <c r="E249" s="127">
        <f t="shared" si="196"/>
        <v>2.7993258762424336E-2</v>
      </c>
      <c r="F249" s="123">
        <v>39.72</v>
      </c>
      <c r="G249" s="123">
        <v>40.020000000000003</v>
      </c>
      <c r="H249" s="128">
        <v>218</v>
      </c>
      <c r="I249" s="84">
        <v>5.1000000000000004E-3</v>
      </c>
      <c r="J249" s="84">
        <v>0.38700000000000001</v>
      </c>
      <c r="K249" s="126">
        <v>474677616.01999998</v>
      </c>
      <c r="L249" s="127">
        <f t="shared" si="197"/>
        <v>2.7259607213994175E-2</v>
      </c>
      <c r="M249" s="123">
        <v>39.549999999999997</v>
      </c>
      <c r="N249" s="123">
        <v>39.86</v>
      </c>
      <c r="O249" s="128">
        <v>218</v>
      </c>
      <c r="P249" s="84">
        <v>-8.9999999999999998E-4</v>
      </c>
      <c r="Q249" s="84">
        <v>0.38109999999999999</v>
      </c>
      <c r="R249" s="88">
        <f t="shared" si="198"/>
        <v>-9.4694930158860401E-4</v>
      </c>
      <c r="S249" s="88">
        <f t="shared" si="199"/>
        <v>-3.9980009995003417E-3</v>
      </c>
      <c r="T249" s="88">
        <f t="shared" si="200"/>
        <v>0</v>
      </c>
      <c r="U249" s="88">
        <f t="shared" si="201"/>
        <v>-6.0000000000000001E-3</v>
      </c>
      <c r="V249" s="89">
        <f t="shared" si="202"/>
        <v>-5.9000000000000163E-3</v>
      </c>
    </row>
    <row r="250" spans="1:22">
      <c r="A250" s="178">
        <v>4</v>
      </c>
      <c r="B250" s="179" t="s">
        <v>301</v>
      </c>
      <c r="C250" s="180" t="s">
        <v>44</v>
      </c>
      <c r="D250" s="126">
        <v>912870014.09000003</v>
      </c>
      <c r="E250" s="127">
        <f t="shared" si="196"/>
        <v>5.3783888519794973E-2</v>
      </c>
      <c r="F250" s="123">
        <v>77.518873999999997</v>
      </c>
      <c r="G250" s="123">
        <v>77.879357999999996</v>
      </c>
      <c r="H250" s="128">
        <v>261</v>
      </c>
      <c r="I250" s="84">
        <v>4.0000000000000002E-4</v>
      </c>
      <c r="J250" s="84">
        <v>0.1676</v>
      </c>
      <c r="K250" s="126">
        <v>934122434.92999995</v>
      </c>
      <c r="L250" s="127">
        <f t="shared" si="197"/>
        <v>5.3644431097207547E-2</v>
      </c>
      <c r="M250" s="123">
        <v>79.321241999999998</v>
      </c>
      <c r="N250" s="123">
        <v>79.705522999999999</v>
      </c>
      <c r="O250" s="128">
        <v>261</v>
      </c>
      <c r="P250" s="84">
        <v>2.3300000000000001E-2</v>
      </c>
      <c r="Q250" s="84">
        <v>0.19489999999999999</v>
      </c>
      <c r="R250" s="88">
        <f t="shared" si="198"/>
        <v>2.328088392867797E-2</v>
      </c>
      <c r="S250" s="88">
        <f t="shared" si="199"/>
        <v>2.34486396254063E-2</v>
      </c>
      <c r="T250" s="88">
        <f t="shared" si="200"/>
        <v>0</v>
      </c>
      <c r="U250" s="88">
        <f t="shared" si="201"/>
        <v>2.29E-2</v>
      </c>
      <c r="V250" s="89">
        <f t="shared" si="202"/>
        <v>2.7299999999999991E-2</v>
      </c>
    </row>
    <row r="251" spans="1:22">
      <c r="A251" s="178">
        <v>5</v>
      </c>
      <c r="B251" s="179" t="s">
        <v>302</v>
      </c>
      <c r="C251" s="180" t="s">
        <v>303</v>
      </c>
      <c r="D251" s="126">
        <v>1890547365.71</v>
      </c>
      <c r="E251" s="127">
        <f t="shared" si="196"/>
        <v>0.11138605408142363</v>
      </c>
      <c r="F251" s="123">
        <v>55200</v>
      </c>
      <c r="G251" s="123">
        <v>58750</v>
      </c>
      <c r="H251" s="128">
        <v>313</v>
      </c>
      <c r="I251" s="84">
        <v>2.3E-2</v>
      </c>
      <c r="J251" s="84">
        <v>0.5</v>
      </c>
      <c r="K251" s="126">
        <v>1918868509.9300001</v>
      </c>
      <c r="L251" s="127">
        <f t="shared" si="197"/>
        <v>0.11019605751493908</v>
      </c>
      <c r="M251" s="123">
        <v>54910</v>
      </c>
      <c r="N251" s="123">
        <v>58230</v>
      </c>
      <c r="O251" s="128">
        <v>313</v>
      </c>
      <c r="P251" s="84">
        <v>1.4999999999999999E-2</v>
      </c>
      <c r="Q251" s="84">
        <v>0.52</v>
      </c>
      <c r="R251" s="88">
        <f t="shared" si="198"/>
        <v>1.4980393897385346E-2</v>
      </c>
      <c r="S251" s="88">
        <f t="shared" si="199"/>
        <v>-8.8510638297872347E-3</v>
      </c>
      <c r="T251" s="88">
        <f t="shared" si="200"/>
        <v>0</v>
      </c>
      <c r="U251" s="88">
        <f t="shared" si="201"/>
        <v>-8.0000000000000002E-3</v>
      </c>
      <c r="V251" s="89">
        <f t="shared" si="202"/>
        <v>2.0000000000000018E-2</v>
      </c>
    </row>
    <row r="252" spans="1:22">
      <c r="A252" s="178">
        <v>6</v>
      </c>
      <c r="B252" s="179" t="s">
        <v>304</v>
      </c>
      <c r="C252" s="180" t="s">
        <v>305</v>
      </c>
      <c r="D252" s="126">
        <v>901776266.44000006</v>
      </c>
      <c r="E252" s="127">
        <f t="shared" si="196"/>
        <v>5.3130274228970528E-2</v>
      </c>
      <c r="F252" s="123">
        <v>700</v>
      </c>
      <c r="G252" s="123">
        <v>700</v>
      </c>
      <c r="H252" s="128">
        <v>162</v>
      </c>
      <c r="I252" s="84">
        <v>-1.8100000000000002E-2</v>
      </c>
      <c r="J252" s="84">
        <v>0.10829999999999999</v>
      </c>
      <c r="K252" s="126">
        <v>923060562.13999999</v>
      </c>
      <c r="L252" s="127">
        <f t="shared" si="197"/>
        <v>5.3009174036141783E-2</v>
      </c>
      <c r="M252" s="123">
        <v>700.1</v>
      </c>
      <c r="N252" s="123">
        <v>700.1</v>
      </c>
      <c r="O252" s="128">
        <v>174</v>
      </c>
      <c r="P252" s="84">
        <v>2.3599999999999999E-2</v>
      </c>
      <c r="Q252" s="84">
        <v>0.4279</v>
      </c>
      <c r="R252" s="88">
        <f t="shared" si="198"/>
        <v>2.360263459142178E-2</v>
      </c>
      <c r="S252" s="88">
        <f t="shared" si="199"/>
        <v>1.4285714285717534E-4</v>
      </c>
      <c r="T252" s="88">
        <f t="shared" si="200"/>
        <v>7.407407407407407E-2</v>
      </c>
      <c r="U252" s="88">
        <f t="shared" si="201"/>
        <v>4.1700000000000001E-2</v>
      </c>
      <c r="V252" s="89">
        <f t="shared" si="202"/>
        <v>0.3196</v>
      </c>
    </row>
    <row r="253" spans="1:22">
      <c r="A253" s="178">
        <v>7</v>
      </c>
      <c r="B253" s="179" t="s">
        <v>306</v>
      </c>
      <c r="C253" s="180" t="s">
        <v>305</v>
      </c>
      <c r="D253" s="126">
        <v>993994675.99000001</v>
      </c>
      <c r="E253" s="127">
        <f t="shared" si="196"/>
        <v>5.8563539186911186E-2</v>
      </c>
      <c r="F253" s="123">
        <v>1048</v>
      </c>
      <c r="G253" s="123">
        <v>1048</v>
      </c>
      <c r="H253" s="128">
        <v>1316</v>
      </c>
      <c r="I253" s="84">
        <v>-1.4500000000000001E-2</v>
      </c>
      <c r="J253" s="84">
        <v>6.1199999999999997E-2</v>
      </c>
      <c r="K253" s="126">
        <v>1018745569</v>
      </c>
      <c r="L253" s="127">
        <f t="shared" si="197"/>
        <v>5.8504136543836772E-2</v>
      </c>
      <c r="M253" s="123">
        <v>1645.54</v>
      </c>
      <c r="N253" s="123">
        <v>1645.54</v>
      </c>
      <c r="O253" s="128">
        <v>1793</v>
      </c>
      <c r="P253" s="84">
        <v>2.4899999999999999E-2</v>
      </c>
      <c r="Q253" s="84">
        <v>0.40620000000000001</v>
      </c>
      <c r="R253" s="88">
        <f t="shared" si="198"/>
        <v>2.4900428149022595E-2</v>
      </c>
      <c r="S253" s="88">
        <f t="shared" si="199"/>
        <v>0.57017175572519085</v>
      </c>
      <c r="T253" s="88">
        <f t="shared" si="200"/>
        <v>0.36246200607902734</v>
      </c>
      <c r="U253" s="88">
        <f t="shared" si="201"/>
        <v>3.9399999999999998E-2</v>
      </c>
      <c r="V253" s="89">
        <f t="shared" si="202"/>
        <v>0.34500000000000003</v>
      </c>
    </row>
    <row r="254" spans="1:22">
      <c r="A254" s="178">
        <v>8</v>
      </c>
      <c r="B254" s="179" t="s">
        <v>307</v>
      </c>
      <c r="C254" s="180" t="s">
        <v>308</v>
      </c>
      <c r="D254" s="126">
        <v>153986726.88</v>
      </c>
      <c r="E254" s="127">
        <f t="shared" si="196"/>
        <v>9.0724909617038978E-3</v>
      </c>
      <c r="F254" s="123">
        <v>34.159999999999997</v>
      </c>
      <c r="G254" s="123">
        <v>34.26</v>
      </c>
      <c r="H254" s="128">
        <v>209</v>
      </c>
      <c r="I254" s="84">
        <v>8.5699999999999998E-2</v>
      </c>
      <c r="J254" s="84">
        <v>1.2093</v>
      </c>
      <c r="K254" s="126">
        <v>156396856.12</v>
      </c>
      <c r="L254" s="127">
        <f t="shared" si="197"/>
        <v>8.9814997030640085E-3</v>
      </c>
      <c r="M254" s="123">
        <v>34.69</v>
      </c>
      <c r="N254" s="123">
        <v>34.79</v>
      </c>
      <c r="O254" s="128">
        <v>232</v>
      </c>
      <c r="P254" s="84">
        <v>-4.0800000000000003E-2</v>
      </c>
      <c r="Q254" s="84">
        <v>1.1192</v>
      </c>
      <c r="R254" s="88">
        <f t="shared" si="198"/>
        <v>1.5651538862035779E-2</v>
      </c>
      <c r="S254" s="88">
        <f t="shared" si="199"/>
        <v>1.5469935785172247E-2</v>
      </c>
      <c r="T254" s="88">
        <f t="shared" si="200"/>
        <v>0.11004784688995216</v>
      </c>
      <c r="U254" s="88">
        <f t="shared" si="201"/>
        <v>-0.1265</v>
      </c>
      <c r="V254" s="89">
        <f t="shared" si="202"/>
        <v>-9.0100000000000069E-2</v>
      </c>
    </row>
    <row r="255" spans="1:22">
      <c r="A255" s="178">
        <v>9</v>
      </c>
      <c r="B255" s="179" t="s">
        <v>309</v>
      </c>
      <c r="C255" s="180" t="s">
        <v>308</v>
      </c>
      <c r="D255" s="129">
        <v>855828592.63999999</v>
      </c>
      <c r="E255" s="127">
        <f t="shared" si="196"/>
        <v>5.0423158728121718E-2</v>
      </c>
      <c r="F255" s="123">
        <v>13.77</v>
      </c>
      <c r="G255" s="123">
        <v>13.87</v>
      </c>
      <c r="H255" s="128">
        <v>354</v>
      </c>
      <c r="I255" s="84">
        <v>3.85E-2</v>
      </c>
      <c r="J255" s="84">
        <v>0.23849999999999999</v>
      </c>
      <c r="K255" s="129">
        <v>873236743.04999995</v>
      </c>
      <c r="L255" s="127">
        <f t="shared" si="197"/>
        <v>5.014791053338314E-2</v>
      </c>
      <c r="M255" s="123">
        <v>14.21</v>
      </c>
      <c r="N255" s="123">
        <v>14.31</v>
      </c>
      <c r="O255" s="128">
        <v>369</v>
      </c>
      <c r="P255" s="84">
        <v>0</v>
      </c>
      <c r="Q255" s="84">
        <v>0.23849999999999999</v>
      </c>
      <c r="R255" s="88">
        <f t="shared" si="198"/>
        <v>2.0340697377614514E-2</v>
      </c>
      <c r="S255" s="88">
        <f t="shared" si="199"/>
        <v>3.1723143475126267E-2</v>
      </c>
      <c r="T255" s="88">
        <f t="shared" si="200"/>
        <v>4.2372881355932202E-2</v>
      </c>
      <c r="U255" s="88">
        <f t="shared" si="201"/>
        <v>-3.85E-2</v>
      </c>
      <c r="V255" s="89">
        <f t="shared" si="202"/>
        <v>0</v>
      </c>
    </row>
    <row r="256" spans="1:22" ht="15" customHeight="1">
      <c r="A256" s="178">
        <v>10</v>
      </c>
      <c r="B256" s="179" t="s">
        <v>310</v>
      </c>
      <c r="C256" s="180" t="s">
        <v>308</v>
      </c>
      <c r="D256" s="126">
        <v>149984571.19</v>
      </c>
      <c r="E256" s="127">
        <f t="shared" si="196"/>
        <v>8.8366945261244053E-3</v>
      </c>
      <c r="F256" s="123">
        <v>145.16999999999999</v>
      </c>
      <c r="G256" s="123">
        <v>145.16999999999999</v>
      </c>
      <c r="H256" s="128">
        <v>409</v>
      </c>
      <c r="I256" s="84">
        <v>-5.0000000000000001E-4</v>
      </c>
      <c r="J256" s="84">
        <v>1.9E-2</v>
      </c>
      <c r="K256" s="126">
        <v>149774650.47</v>
      </c>
      <c r="L256" s="127">
        <f t="shared" si="197"/>
        <v>8.6012021730838134E-3</v>
      </c>
      <c r="M256" s="123">
        <v>144.97</v>
      </c>
      <c r="N256" s="123">
        <v>146.97</v>
      </c>
      <c r="O256" s="128">
        <v>407</v>
      </c>
      <c r="P256" s="84">
        <v>4.36E-2</v>
      </c>
      <c r="Q256" s="84">
        <v>6.3399999999999998E-2</v>
      </c>
      <c r="R256" s="88">
        <f t="shared" si="198"/>
        <v>-1.3996154293368741E-3</v>
      </c>
      <c r="S256" s="88">
        <f t="shared" si="199"/>
        <v>1.2399256044637401E-2</v>
      </c>
      <c r="T256" s="88">
        <f t="shared" si="200"/>
        <v>-4.8899755501222494E-3</v>
      </c>
      <c r="U256" s="88">
        <f t="shared" si="201"/>
        <v>4.41E-2</v>
      </c>
      <c r="V256" s="89">
        <f t="shared" si="202"/>
        <v>4.4399999999999995E-2</v>
      </c>
    </row>
    <row r="257" spans="1:26">
      <c r="A257" s="178">
        <v>11</v>
      </c>
      <c r="B257" s="179" t="s">
        <v>311</v>
      </c>
      <c r="C257" s="180" t="s">
        <v>308</v>
      </c>
      <c r="D257" s="126">
        <v>7241764355.7299995</v>
      </c>
      <c r="E257" s="127">
        <f t="shared" si="196"/>
        <v>0.42666561589655549</v>
      </c>
      <c r="F257" s="123">
        <v>52.74</v>
      </c>
      <c r="G257" s="123">
        <v>52.94</v>
      </c>
      <c r="H257" s="128">
        <v>661</v>
      </c>
      <c r="I257" s="84">
        <v>-9.2200000000000004E-2</v>
      </c>
      <c r="J257" s="84">
        <v>0.54520000000000002</v>
      </c>
      <c r="K257" s="126">
        <v>7494623485.8500004</v>
      </c>
      <c r="L257" s="127">
        <f t="shared" si="197"/>
        <v>0.43039841261956385</v>
      </c>
      <c r="M257" s="123">
        <v>54.01</v>
      </c>
      <c r="N257" s="123">
        <v>54.21</v>
      </c>
      <c r="O257" s="128">
        <v>693</v>
      </c>
      <c r="P257" s="84">
        <v>0.1386</v>
      </c>
      <c r="Q257" s="84">
        <v>0.75929999999999997</v>
      </c>
      <c r="R257" s="88">
        <f t="shared" si="198"/>
        <v>3.4916785150559015E-2</v>
      </c>
      <c r="S257" s="88">
        <f t="shared" si="199"/>
        <v>2.398942198715533E-2</v>
      </c>
      <c r="T257" s="88">
        <f t="shared" si="200"/>
        <v>4.8411497730711045E-2</v>
      </c>
      <c r="U257" s="88">
        <f t="shared" si="201"/>
        <v>0.23080000000000001</v>
      </c>
      <c r="V257" s="89">
        <f t="shared" si="202"/>
        <v>0.21409999999999996</v>
      </c>
    </row>
    <row r="258" spans="1:26">
      <c r="A258" s="178">
        <v>12</v>
      </c>
      <c r="B258" s="179" t="s">
        <v>312</v>
      </c>
      <c r="C258" s="180" t="s">
        <v>308</v>
      </c>
      <c r="D258" s="129">
        <v>89055450.260000005</v>
      </c>
      <c r="E258" s="127">
        <f t="shared" si="196"/>
        <v>5.2469117562577361E-3</v>
      </c>
      <c r="F258" s="123">
        <v>51.24</v>
      </c>
      <c r="G258" s="123">
        <v>51.44</v>
      </c>
      <c r="H258" s="128">
        <v>206</v>
      </c>
      <c r="I258" s="84">
        <v>-7.1400000000000005E-2</v>
      </c>
      <c r="J258" s="84">
        <v>0.24249999999999999</v>
      </c>
      <c r="K258" s="129">
        <v>95683775.310000002</v>
      </c>
      <c r="L258" s="127">
        <f t="shared" si="197"/>
        <v>5.4948917827057934E-3</v>
      </c>
      <c r="M258" s="123">
        <v>55.03</v>
      </c>
      <c r="N258" s="123">
        <v>55.23</v>
      </c>
      <c r="O258" s="128">
        <v>240</v>
      </c>
      <c r="P258" s="84">
        <v>0.15379999999999999</v>
      </c>
      <c r="Q258" s="84">
        <v>0.43369999999999997</v>
      </c>
      <c r="R258" s="88">
        <f t="shared" si="198"/>
        <v>7.4429190247743485E-2</v>
      </c>
      <c r="S258" s="88">
        <f t="shared" si="199"/>
        <v>7.3678071539657844E-2</v>
      </c>
      <c r="T258" s="88">
        <f t="shared" si="200"/>
        <v>0.1650485436893204</v>
      </c>
      <c r="U258" s="88">
        <f t="shared" si="201"/>
        <v>0.22520000000000001</v>
      </c>
      <c r="V258" s="89">
        <f t="shared" si="202"/>
        <v>0.19119999999999998</v>
      </c>
    </row>
    <row r="259" spans="1:26">
      <c r="A259" s="139"/>
      <c r="B259" s="139"/>
      <c r="C259" s="140" t="s">
        <v>313</v>
      </c>
      <c r="D259" s="122">
        <f>SUM(D247:D258)</f>
        <v>16972927008.689999</v>
      </c>
      <c r="E259" s="124"/>
      <c r="F259" s="124"/>
      <c r="G259" s="125"/>
      <c r="H259" s="122">
        <f>SUM(H247:H258)</f>
        <v>4613</v>
      </c>
      <c r="I259" s="133"/>
      <c r="J259" s="133"/>
      <c r="K259" s="122">
        <f>SUM(K247:K258)</f>
        <v>17413222879.320004</v>
      </c>
      <c r="L259" s="124"/>
      <c r="M259" s="124"/>
      <c r="N259" s="125"/>
      <c r="O259" s="122">
        <f>SUM(O247:O258)</f>
        <v>5204</v>
      </c>
      <c r="P259" s="133"/>
      <c r="Q259" s="133"/>
      <c r="R259" s="88">
        <f t="shared" si="198"/>
        <v>2.5941068997974069E-2</v>
      </c>
      <c r="S259" s="88" t="e">
        <f t="shared" si="199"/>
        <v>#DIV/0!</v>
      </c>
      <c r="T259" s="88">
        <f t="shared" si="200"/>
        <v>0.12811619336657273</v>
      </c>
      <c r="U259" s="88">
        <f t="shared" si="201"/>
        <v>0</v>
      </c>
      <c r="V259" s="89">
        <f t="shared" si="202"/>
        <v>0</v>
      </c>
      <c r="Z259" s="97"/>
    </row>
    <row r="260" spans="1:26">
      <c r="A260" s="141"/>
      <c r="B260" s="141"/>
      <c r="C260" s="142" t="s">
        <v>314</v>
      </c>
      <c r="D260" s="143">
        <f>SUM(D231,D239,D244,D259)</f>
        <v>7598369629761.166</v>
      </c>
      <c r="E260" s="144"/>
      <c r="F260" s="144"/>
      <c r="G260" s="145"/>
      <c r="H260" s="143">
        <f>SUM(H231,H239,H244,H259)</f>
        <v>1085262</v>
      </c>
      <c r="I260" s="156"/>
      <c r="J260" s="156"/>
      <c r="K260" s="143">
        <f>SUM(K231,K239,K244,K259)</f>
        <v>7655663185982.5332</v>
      </c>
      <c r="L260" s="144"/>
      <c r="M260" s="144"/>
      <c r="N260" s="143"/>
      <c r="O260" s="143">
        <f>SUM(O231,O239,O244,O259)</f>
        <v>1093935</v>
      </c>
      <c r="P260" s="157"/>
      <c r="Q260" s="143"/>
      <c r="R260" s="161"/>
      <c r="S260" s="162"/>
      <c r="T260" s="162"/>
      <c r="U260" s="163"/>
      <c r="V260" s="163"/>
      <c r="Z260" s="97"/>
    </row>
    <row r="261" spans="1:26">
      <c r="A261" s="146" t="s">
        <v>315</v>
      </c>
      <c r="B261" s="147" t="s">
        <v>334</v>
      </c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</row>
    <row r="262" spans="1:26">
      <c r="B262" s="149"/>
    </row>
    <row r="263" spans="1:26">
      <c r="B263" s="149"/>
      <c r="C263" s="150"/>
      <c r="D263" s="151"/>
      <c r="K263" s="151"/>
    </row>
    <row r="264" spans="1:26" ht="15">
      <c r="B264" s="152"/>
      <c r="C264" s="153"/>
      <c r="D264" s="154"/>
      <c r="F264" s="155"/>
      <c r="G264" s="155"/>
      <c r="I264" s="158"/>
      <c r="J264" s="159"/>
    </row>
    <row r="265" spans="1:26">
      <c r="C265" s="149"/>
    </row>
    <row r="266" spans="1:26">
      <c r="K266" s="135"/>
    </row>
    <row r="267" spans="1:26">
      <c r="B267" s="150"/>
    </row>
    <row r="268" spans="1:26">
      <c r="K268" s="160"/>
    </row>
  </sheetData>
  <sheetProtection algorithmName="SHA-512" hashValue="DUZbdsEpzxp3DyJkc/Eb4OR01nGzxoR0HTrfNlUVqTO+MbQq18vmdqImvJ/dK1zWBT24aiMxbCcL2wmepsW3gQ==" saltValue="NJjjvvwVa2d3kOK0YIQgTA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I29" sqref="I29"/>
    </sheetView>
  </sheetViews>
  <sheetFormatPr defaultColWidth="9" defaultRowHeight="14.5"/>
  <cols>
    <col min="1" max="1" width="34" style="20" customWidth="1"/>
    <col min="2" max="2" width="15.6328125" style="20" customWidth="1"/>
    <col min="3" max="3" width="16.08984375" style="20" customWidth="1"/>
    <col min="4" max="5" width="9" style="20"/>
  </cols>
  <sheetData>
    <row r="1" spans="1:7">
      <c r="F1" s="15"/>
      <c r="G1" s="15"/>
    </row>
    <row r="2" spans="1:7" ht="26.5">
      <c r="A2" s="36" t="s">
        <v>316</v>
      </c>
      <c r="B2" s="37" t="s">
        <v>331</v>
      </c>
      <c r="C2" s="37" t="s">
        <v>336</v>
      </c>
      <c r="D2" s="38"/>
      <c r="F2" s="15"/>
      <c r="G2" s="15"/>
    </row>
    <row r="3" spans="1:7">
      <c r="A3" s="39" t="s">
        <v>18</v>
      </c>
      <c r="B3" s="40">
        <f t="shared" ref="B3:C10" si="0">B13</f>
        <v>76.454466515944091</v>
      </c>
      <c r="C3" s="40">
        <f t="shared" si="0"/>
        <v>78.401377862474703</v>
      </c>
      <c r="D3" s="38"/>
      <c r="F3" s="15"/>
      <c r="G3" s="15"/>
    </row>
    <row r="4" spans="1:7" ht="15.65" customHeight="1">
      <c r="A4" s="36" t="s">
        <v>57</v>
      </c>
      <c r="B4" s="41">
        <f t="shared" si="0"/>
        <v>4552.3300924383484</v>
      </c>
      <c r="C4" s="41">
        <f t="shared" si="0"/>
        <v>4598.0782761163418</v>
      </c>
      <c r="D4" s="38"/>
      <c r="F4" s="15"/>
      <c r="G4" s="15"/>
    </row>
    <row r="5" spans="1:7" ht="16.25" customHeight="1">
      <c r="A5" s="36" t="s">
        <v>317</v>
      </c>
      <c r="B5" s="40">
        <f t="shared" si="0"/>
        <v>243.66597265449658</v>
      </c>
      <c r="C5" s="40">
        <f t="shared" si="0"/>
        <v>239.56943582111509</v>
      </c>
      <c r="D5" s="38"/>
      <c r="F5" s="15"/>
      <c r="G5" s="15"/>
    </row>
    <row r="6" spans="1:7">
      <c r="A6" s="36" t="s">
        <v>175</v>
      </c>
      <c r="B6" s="41">
        <f t="shared" si="0"/>
        <v>1901.0283025932881</v>
      </c>
      <c r="C6" s="41">
        <f t="shared" si="0"/>
        <v>1910.1132735016395</v>
      </c>
      <c r="D6" s="38"/>
      <c r="F6" s="15"/>
      <c r="G6" s="15"/>
    </row>
    <row r="7" spans="1:7">
      <c r="A7" s="36" t="s">
        <v>318</v>
      </c>
      <c r="B7" s="40">
        <f t="shared" si="0"/>
        <v>480.11818681235258</v>
      </c>
      <c r="C7" s="40">
        <f t="shared" si="0"/>
        <v>480.96239040530361</v>
      </c>
      <c r="D7" s="38"/>
      <c r="F7" s="15"/>
      <c r="G7" s="15"/>
    </row>
    <row r="8" spans="1:7">
      <c r="A8" s="36" t="s">
        <v>221</v>
      </c>
      <c r="B8" s="42">
        <f t="shared" si="0"/>
        <v>80.347740959834056</v>
      </c>
      <c r="C8" s="42">
        <f t="shared" si="0"/>
        <v>82.072736373080204</v>
      </c>
      <c r="D8" s="38"/>
      <c r="F8" s="15"/>
      <c r="G8" s="15"/>
    </row>
    <row r="9" spans="1:7">
      <c r="A9" s="36" t="s">
        <v>253</v>
      </c>
      <c r="B9" s="40">
        <f t="shared" si="0"/>
        <v>8.1374101051800007</v>
      </c>
      <c r="C9" s="40">
        <f t="shared" si="0"/>
        <v>8.2694178473099988</v>
      </c>
      <c r="D9" s="38"/>
      <c r="F9" s="15"/>
      <c r="G9" s="15"/>
    </row>
    <row r="10" spans="1:7">
      <c r="A10" s="36" t="s">
        <v>319</v>
      </c>
      <c r="B10" s="40">
        <f t="shared" si="0"/>
        <v>74.458988396700391</v>
      </c>
      <c r="C10" s="40">
        <f t="shared" si="0"/>
        <v>75.808834587932679</v>
      </c>
      <c r="D10" s="38"/>
      <c r="F10" s="15"/>
      <c r="G10" s="15"/>
    </row>
    <row r="11" spans="1:7">
      <c r="A11" s="36"/>
      <c r="B11" s="40"/>
      <c r="C11" s="40"/>
      <c r="D11" s="38"/>
      <c r="F11" s="15"/>
      <c r="G11" s="15"/>
    </row>
    <row r="12" spans="1:7">
      <c r="F12" s="15"/>
      <c r="G12" s="15"/>
    </row>
    <row r="13" spans="1:7">
      <c r="A13" s="43" t="s">
        <v>18</v>
      </c>
      <c r="B13" s="44">
        <f>'Weekly Valuation'!D26/1000000000</f>
        <v>76.454466515944091</v>
      </c>
      <c r="C13" s="45">
        <f>'Weekly Valuation'!K26/1000000000</f>
        <v>78.401377862474703</v>
      </c>
      <c r="F13" s="15"/>
      <c r="G13" s="15"/>
    </row>
    <row r="14" spans="1:7">
      <c r="A14" s="46" t="s">
        <v>57</v>
      </c>
      <c r="B14" s="44">
        <f>'Weekly Valuation'!D72/1000000000</f>
        <v>4552.3300924383484</v>
      </c>
      <c r="C14" s="47">
        <f>'Weekly Valuation'!K72/1000000000</f>
        <v>4598.0782761163418</v>
      </c>
      <c r="F14" s="15"/>
      <c r="G14" s="15"/>
    </row>
    <row r="15" spans="1:7">
      <c r="A15" s="46" t="s">
        <v>317</v>
      </c>
      <c r="B15" s="44">
        <f>'Weekly Valuation'!D114/1000000000</f>
        <v>243.66597265449658</v>
      </c>
      <c r="C15" s="45">
        <f>'Weekly Valuation'!K114/1000000000</f>
        <v>239.56943582111509</v>
      </c>
      <c r="F15" s="15"/>
      <c r="G15" s="15"/>
    </row>
    <row r="16" spans="1:7">
      <c r="A16" s="46" t="s">
        <v>175</v>
      </c>
      <c r="B16" s="44">
        <f>'Weekly Valuation'!D156/1000000000</f>
        <v>1901.0283025932881</v>
      </c>
      <c r="C16" s="47">
        <f>'Weekly Valuation'!K156/1000000000</f>
        <v>1910.1132735016395</v>
      </c>
      <c r="F16" s="15"/>
      <c r="G16" s="15"/>
    </row>
    <row r="17" spans="1:7">
      <c r="A17" s="46" t="s">
        <v>318</v>
      </c>
      <c r="B17" s="44">
        <f>'Weekly Valuation'!D165/1000000000</f>
        <v>480.11818681235258</v>
      </c>
      <c r="C17" s="45">
        <f>'Weekly Valuation'!K165/1000000000</f>
        <v>480.96239040530361</v>
      </c>
      <c r="F17" s="15"/>
      <c r="G17" s="15"/>
    </row>
    <row r="18" spans="1:7">
      <c r="A18" s="46" t="s">
        <v>221</v>
      </c>
      <c r="B18" s="44">
        <f>'Weekly Valuation'!D197/1000000000</f>
        <v>80.347740959834056</v>
      </c>
      <c r="C18" s="48">
        <f>'Weekly Valuation'!K197/1000000000</f>
        <v>82.072736373080204</v>
      </c>
      <c r="F18" s="15"/>
      <c r="G18" s="15"/>
    </row>
    <row r="19" spans="1:7">
      <c r="A19" s="46" t="s">
        <v>253</v>
      </c>
      <c r="B19" s="44">
        <f>'Weekly Valuation'!D202/1000000000</f>
        <v>8.1374101051800007</v>
      </c>
      <c r="C19" s="45">
        <f>'Weekly Valuation'!K202/1000000000</f>
        <v>8.2694178473099988</v>
      </c>
      <c r="F19" s="15"/>
      <c r="G19" s="15"/>
    </row>
    <row r="20" spans="1:7">
      <c r="A20" s="46" t="s">
        <v>319</v>
      </c>
      <c r="B20" s="44">
        <f>'Weekly Valuation'!D230/1000000000</f>
        <v>74.458988396700391</v>
      </c>
      <c r="C20" s="45">
        <f>'Weekly Valuation'!K230/1000000000</f>
        <v>75.808834587932679</v>
      </c>
      <c r="F20" s="15"/>
      <c r="G20" s="15"/>
    </row>
    <row r="21" spans="1:7">
      <c r="A21" s="34"/>
      <c r="C21" s="32"/>
      <c r="F21" s="15"/>
      <c r="G21" s="15"/>
    </row>
    <row r="22" spans="1:7">
      <c r="A22" s="34"/>
      <c r="C22" s="30"/>
      <c r="F22" s="15"/>
      <c r="G22" s="15"/>
    </row>
    <row r="23" spans="1:7">
      <c r="A23" s="34"/>
      <c r="B23" s="30"/>
      <c r="C23" s="31"/>
      <c r="F23" s="15"/>
      <c r="G23" s="15"/>
    </row>
    <row r="24" spans="1:7">
      <c r="A24" s="34"/>
      <c r="B24" s="30"/>
      <c r="C24" s="30"/>
      <c r="F24" s="15"/>
      <c r="G24" s="15"/>
    </row>
    <row r="25" spans="1:7">
      <c r="A25" s="169"/>
      <c r="B25" s="167"/>
      <c r="C25" s="167"/>
      <c r="D25" s="15"/>
      <c r="E25" s="15"/>
      <c r="F25" s="15"/>
      <c r="G25" s="15"/>
    </row>
    <row r="26" spans="1:7">
      <c r="A26" s="169"/>
      <c r="B26" s="167"/>
      <c r="C26" s="167"/>
      <c r="D26" s="15"/>
      <c r="E26" s="15"/>
      <c r="F26" s="15"/>
      <c r="G26" s="15"/>
    </row>
    <row r="27" spans="1:7">
      <c r="A27" s="169"/>
      <c r="B27" s="167"/>
      <c r="C27" s="167"/>
      <c r="D27" s="15"/>
      <c r="E27" s="15"/>
      <c r="F27" s="15"/>
      <c r="G27" s="15"/>
    </row>
    <row r="28" spans="1:7">
      <c r="F28" s="15"/>
      <c r="G28" s="15"/>
    </row>
    <row r="29" spans="1:7">
      <c r="F29" s="15"/>
      <c r="G29" s="15"/>
    </row>
  </sheetData>
  <sheetProtection algorithmName="SHA-512" hashValue="88CEsVyaddlB5HXgopcLSPAhraRMUSg2qmSmWxmh73pYW4rcU2bJV7z8tYziaUN8FoF0Gw0RBp6kMivaqDXZJw==" saltValue="nrV6pdmG8qgg2eLUBjpo3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15" sqref="F15"/>
    </sheetView>
  </sheetViews>
  <sheetFormatPr defaultColWidth="9" defaultRowHeight="14.5"/>
  <cols>
    <col min="1" max="1" width="31.36328125" customWidth="1"/>
    <col min="2" max="2" width="17.453125" customWidth="1"/>
    <col min="16" max="16" width="7.54296875" customWidth="1"/>
  </cols>
  <sheetData>
    <row r="1" spans="1:16" ht="15.5">
      <c r="A1" s="26" t="s">
        <v>316</v>
      </c>
      <c r="B1" s="27">
        <v>45996</v>
      </c>
      <c r="C1" s="28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Valuation'!K202</f>
        <v>8269417847.3099995</v>
      </c>
      <c r="C2" s="28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Valuation'!K26</f>
        <v>78401377862.474701</v>
      </c>
      <c r="C3" s="28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Valuation'!K230</f>
        <v>75808834587.932678</v>
      </c>
      <c r="C4" s="28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Valuation'!K197</f>
        <v>82072736373.0802</v>
      </c>
      <c r="C5" s="28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Valuation'!K165</f>
        <v>480962390405.30359</v>
      </c>
      <c r="C6" s="28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Valuation'!K114</f>
        <v>239569435821.11508</v>
      </c>
      <c r="C7" s="28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Valuation'!K156</f>
        <v>1910113273501.6394</v>
      </c>
      <c r="C8" s="28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Valuation'!K72</f>
        <v>4598078276116.3418</v>
      </c>
      <c r="C9" s="28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0"/>
      <c r="B13" s="30"/>
      <c r="C13" s="28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0"/>
      <c r="B14" s="30"/>
      <c r="C14" s="20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4"/>
      <c r="B15" s="3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0"/>
      <c r="B16" s="30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67"/>
      <c r="B17" s="1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68"/>
      <c r="B18" s="1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68"/>
      <c r="B19" s="1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68"/>
      <c r="B20" s="1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69"/>
      <c r="B21" s="1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20"/>
      <c r="B22" s="32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20"/>
      <c r="B23" s="20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35"/>
    </row>
    <row r="33" spans="1:17" ht="1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35"/>
    </row>
  </sheetData>
  <sheetProtection algorithmName="SHA-512" hashValue="hVUIkYAB+f6+QlZpRcGsKQsP95yOMdMRST8W8OIS1cLGg2w8LHvtMZpYjXkB2mejQcjZmJhYCJcd5Uleubx6/w==" saltValue="i5iqB67oP9j8D4yfzDb/Xw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A8" sqref="A8"/>
    </sheetView>
  </sheetViews>
  <sheetFormatPr defaultColWidth="9" defaultRowHeight="14.5"/>
  <cols>
    <col min="1" max="2" width="10.54296875" customWidth="1"/>
    <col min="3" max="3" width="11.08984375" customWidth="1"/>
    <col min="4" max="4" width="10.54296875" customWidth="1"/>
    <col min="5" max="5" width="10.90625" customWidth="1"/>
    <col min="6" max="6" width="11.08984375" customWidth="1"/>
    <col min="7" max="7" width="12.08984375" customWidth="1"/>
    <col min="8" max="8" width="11.6328125" customWidth="1"/>
    <col min="9" max="9" width="11.4531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</row>
    <row r="2" spans="1:14">
      <c r="A2" s="21" t="s">
        <v>320</v>
      </c>
      <c r="B2" s="22">
        <v>45947</v>
      </c>
      <c r="C2" s="22">
        <v>45954</v>
      </c>
      <c r="D2" s="22">
        <v>45961</v>
      </c>
      <c r="E2" s="22">
        <v>45968</v>
      </c>
      <c r="F2" s="22">
        <v>45975</v>
      </c>
      <c r="G2" s="22">
        <v>45982</v>
      </c>
      <c r="H2" s="22">
        <v>45989</v>
      </c>
      <c r="I2" s="22">
        <v>45996</v>
      </c>
      <c r="J2" s="20"/>
      <c r="K2" s="20"/>
      <c r="L2" s="15"/>
      <c r="M2" s="15"/>
      <c r="N2" s="15"/>
    </row>
    <row r="3" spans="1:14">
      <c r="A3" s="21" t="s">
        <v>321</v>
      </c>
      <c r="B3" s="23">
        <f t="shared" ref="B3:I3" si="0">B4</f>
        <v>7020.2119881351573</v>
      </c>
      <c r="C3" s="23">
        <f t="shared" si="0"/>
        <v>7084.74766079442</v>
      </c>
      <c r="D3" s="23">
        <f t="shared" si="0"/>
        <v>7104.7215850315024</v>
      </c>
      <c r="E3" s="23">
        <f t="shared" si="0"/>
        <v>7157.322477516268</v>
      </c>
      <c r="F3" s="23">
        <f t="shared" si="0"/>
        <v>7224.9660672128502</v>
      </c>
      <c r="G3" s="23">
        <f t="shared" si="0"/>
        <v>7259.9310118544208</v>
      </c>
      <c r="H3" s="23">
        <f t="shared" si="0"/>
        <v>7416.5411604761439</v>
      </c>
      <c r="I3" s="23">
        <f t="shared" si="0"/>
        <v>7473.2757425151976</v>
      </c>
      <c r="J3" s="20"/>
      <c r="K3" s="20"/>
      <c r="L3" s="15"/>
      <c r="M3" s="15"/>
      <c r="N3" s="15"/>
    </row>
    <row r="4" spans="1:14">
      <c r="A4" s="20"/>
      <c r="B4" s="24">
        <f>'NAV Trend'!C10/1000000000</f>
        <v>7020.2119881351573</v>
      </c>
      <c r="C4" s="24">
        <f>'NAV Trend'!D10/1000000000</f>
        <v>7084.74766079442</v>
      </c>
      <c r="D4" s="24">
        <f>'NAV Trend'!E10/1000000000</f>
        <v>7104.7215850315024</v>
      </c>
      <c r="E4" s="24">
        <f>'NAV Trend'!F10/1000000000</f>
        <v>7157.322477516268</v>
      </c>
      <c r="F4" s="24">
        <f>'NAV Trend'!G10/1000000000</f>
        <v>7224.9660672128502</v>
      </c>
      <c r="G4" s="24">
        <f>'NAV Trend'!H10/1000000000</f>
        <v>7259.9310118544208</v>
      </c>
      <c r="H4" s="25">
        <f>'NAV Trend'!I10/1000000000</f>
        <v>7416.5411604761439</v>
      </c>
      <c r="I4" s="25">
        <f>'NAV Trend'!J10/1000000000</f>
        <v>7473.2757425151976</v>
      </c>
      <c r="J4" s="20"/>
      <c r="K4" s="20"/>
      <c r="L4" s="15"/>
      <c r="M4" s="15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vOTbf5xqekW0bwbz8kDU0kskeCKUazwuqXkKP88dnInOPFn8EOTU81jiYnzvDIE8WYWU9n46lqInWdyXnk9rKg==" saltValue="oa70objLAmSP3o4y2zh7p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7" sqref="F7"/>
    </sheetView>
  </sheetViews>
  <sheetFormatPr defaultColWidth="9" defaultRowHeight="14.5"/>
  <cols>
    <col min="1" max="1" width="10.6328125" customWidth="1"/>
    <col min="2" max="2" width="11.08984375" customWidth="1"/>
    <col min="3" max="3" width="11.453125" customWidth="1"/>
    <col min="4" max="4" width="11.54296875" customWidth="1"/>
    <col min="5" max="5" width="11.08984375" customWidth="1"/>
    <col min="6" max="7" width="11.36328125" customWidth="1"/>
    <col min="8" max="8" width="11.6328125" customWidth="1"/>
    <col min="9" max="9" width="11.08984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70"/>
    </row>
    <row r="2" spans="1:16">
      <c r="A2" s="21" t="s">
        <v>320</v>
      </c>
      <c r="B2" s="22">
        <v>45947</v>
      </c>
      <c r="C2" s="22">
        <v>45954</v>
      </c>
      <c r="D2" s="22">
        <v>45961</v>
      </c>
      <c r="E2" s="22">
        <v>45968</v>
      </c>
      <c r="F2" s="22">
        <v>45975</v>
      </c>
      <c r="G2" s="22">
        <v>45982</v>
      </c>
      <c r="H2" s="22">
        <v>45989</v>
      </c>
      <c r="I2" s="22">
        <v>45996</v>
      </c>
      <c r="J2" s="20"/>
      <c r="K2" s="15"/>
      <c r="L2" s="15"/>
      <c r="M2" s="15"/>
      <c r="N2" s="15"/>
      <c r="O2" s="15"/>
      <c r="P2" s="170"/>
    </row>
    <row r="3" spans="1:16">
      <c r="A3" s="21" t="s">
        <v>322</v>
      </c>
      <c r="B3" s="23">
        <f t="shared" ref="B3:I3" si="0">B4</f>
        <v>17.680301749159998</v>
      </c>
      <c r="C3" s="23">
        <f t="shared" si="0"/>
        <v>18.29339423531</v>
      </c>
      <c r="D3" s="23">
        <f t="shared" si="0"/>
        <v>17.97007204989</v>
      </c>
      <c r="E3" s="23">
        <f t="shared" si="0"/>
        <v>17.390304867240001</v>
      </c>
      <c r="F3" s="23">
        <f t="shared" si="0"/>
        <v>17.29912062779</v>
      </c>
      <c r="G3" s="23">
        <f t="shared" si="0"/>
        <v>16.915814556049998</v>
      </c>
      <c r="H3" s="23">
        <f t="shared" si="0"/>
        <v>16.97292700869</v>
      </c>
      <c r="I3" s="23">
        <f t="shared" si="0"/>
        <v>17.413222879320003</v>
      </c>
      <c r="J3" s="20"/>
      <c r="K3" s="15"/>
      <c r="L3" s="15"/>
      <c r="M3" s="15"/>
      <c r="N3" s="15"/>
      <c r="O3" s="15"/>
      <c r="P3" s="170"/>
    </row>
    <row r="4" spans="1:16">
      <c r="A4" s="20"/>
      <c r="B4" s="24">
        <f>'NAV Trend'!C16/1000000000</f>
        <v>17.680301749159998</v>
      </c>
      <c r="C4" s="24">
        <f>'NAV Trend'!D16/1000000000</f>
        <v>18.29339423531</v>
      </c>
      <c r="D4" s="24">
        <f>'NAV Trend'!E16/1000000000</f>
        <v>17.97007204989</v>
      </c>
      <c r="E4" s="24">
        <f>'NAV Trend'!F16/1000000000</f>
        <v>17.390304867240001</v>
      </c>
      <c r="F4" s="24">
        <f>'NAV Trend'!G16/1000000000</f>
        <v>17.29912062779</v>
      </c>
      <c r="G4" s="24">
        <f>'NAV Trend'!H16/1000000000</f>
        <v>16.915814556049998</v>
      </c>
      <c r="H4" s="24">
        <f>'NAV Trend'!I16/1000000000</f>
        <v>16.97292700869</v>
      </c>
      <c r="I4" s="25">
        <f>'NAV Trend'!J16/1000000000</f>
        <v>17.413222879320003</v>
      </c>
      <c r="J4" s="20"/>
      <c r="K4" s="15"/>
      <c r="L4" s="15"/>
      <c r="M4" s="15"/>
      <c r="N4" s="15"/>
      <c r="O4" s="15"/>
      <c r="P4" s="17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5"/>
      <c r="P5" s="17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20"/>
      <c r="M6" s="15"/>
      <c r="N6" s="15"/>
      <c r="O6" s="165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15"/>
      <c r="N7" s="15"/>
      <c r="O7" s="165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20"/>
      <c r="M8" s="15"/>
      <c r="N8" s="15"/>
      <c r="O8" s="165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65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65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65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65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5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5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5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5"/>
    </row>
    <row r="18" spans="1:1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spans="1:1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</sheetData>
  <sheetProtection algorithmName="SHA-512" hashValue="NYusuZMhm7XRG1SWoYD7fdHKnhW/iO8WIRGMopEVfmhRwHSwPOW3TWnmyJeqIPlbJb71yKXmcT/4l0kjCifovQ==" saltValue="X8/O3j6gh8gW5muYJNISF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I1" zoomScale="150" zoomScaleNormal="150" workbookViewId="0">
      <selection activeCell="K1" sqref="K1"/>
    </sheetView>
  </sheetViews>
  <sheetFormatPr defaultColWidth="9" defaultRowHeight="14.5"/>
  <cols>
    <col min="1" max="1" width="36.36328125" customWidth="1"/>
    <col min="2" max="2" width="23.54296875" customWidth="1"/>
    <col min="3" max="3" width="22.54296875" customWidth="1"/>
    <col min="4" max="4" width="20.90625" customWidth="1"/>
    <col min="5" max="5" width="22.54296875" customWidth="1"/>
    <col min="6" max="6" width="24.6328125" customWidth="1"/>
    <col min="7" max="7" width="22.453125" customWidth="1"/>
    <col min="8" max="8" width="24.36328125" customWidth="1"/>
    <col min="9" max="9" width="22.54296875" customWidth="1"/>
    <col min="10" max="10" width="21.6328125" customWidth="1"/>
    <col min="11" max="12" width="20.6328125" customWidth="1"/>
    <col min="13" max="13" width="20.54296875" customWidth="1"/>
  </cols>
  <sheetData>
    <row r="1" spans="1:11" ht="15.5">
      <c r="A1" s="1" t="s">
        <v>316</v>
      </c>
      <c r="B1" s="2">
        <v>45940</v>
      </c>
      <c r="C1" s="2">
        <v>45947</v>
      </c>
      <c r="D1" s="2">
        <v>45954</v>
      </c>
      <c r="E1" s="2">
        <v>45961</v>
      </c>
      <c r="F1" s="2">
        <v>45968</v>
      </c>
      <c r="G1" s="2">
        <v>45975</v>
      </c>
      <c r="H1" s="2">
        <v>45982</v>
      </c>
      <c r="I1" s="2">
        <v>45989</v>
      </c>
      <c r="J1" s="2">
        <v>45996</v>
      </c>
    </row>
    <row r="2" spans="1:11">
      <c r="A2" s="3" t="s">
        <v>18</v>
      </c>
      <c r="B2" s="4">
        <v>73550112013.645493</v>
      </c>
      <c r="C2" s="4">
        <v>75813884318.519104</v>
      </c>
      <c r="D2" s="4">
        <v>80081718489.454102</v>
      </c>
      <c r="E2" s="4">
        <v>79941489021.128601</v>
      </c>
      <c r="F2" s="4">
        <v>77622970040.713501</v>
      </c>
      <c r="G2" s="4">
        <v>77103229577.115402</v>
      </c>
      <c r="H2" s="4">
        <v>76470658139.095398</v>
      </c>
      <c r="I2" s="4">
        <v>76454466515.944092</v>
      </c>
      <c r="J2" s="4">
        <v>78401377862.474701</v>
      </c>
    </row>
    <row r="3" spans="1:11">
      <c r="A3" s="3" t="s">
        <v>57</v>
      </c>
      <c r="B3" s="4">
        <v>4172759122177.9399</v>
      </c>
      <c r="C3" s="4">
        <v>4226381970103.9399</v>
      </c>
      <c r="D3" s="4">
        <v>4294338110534.8901</v>
      </c>
      <c r="E3" s="4">
        <v>4345978196238.9199</v>
      </c>
      <c r="F3" s="4">
        <v>4392378656476.5811</v>
      </c>
      <c r="G3" s="4">
        <v>4459546758095.3066</v>
      </c>
      <c r="H3" s="4">
        <v>4500562998487.0645</v>
      </c>
      <c r="I3" s="4">
        <v>4552330092438.3486</v>
      </c>
      <c r="J3" s="4">
        <v>4598078276116.3418</v>
      </c>
    </row>
    <row r="4" spans="1:11">
      <c r="A4" s="3" t="s">
        <v>317</v>
      </c>
      <c r="B4" s="5">
        <v>239780265974</v>
      </c>
      <c r="C4" s="5">
        <v>240267484599.51099</v>
      </c>
      <c r="D4" s="5">
        <v>241861922293.56699</v>
      </c>
      <c r="E4" s="5">
        <v>242068020164.47501</v>
      </c>
      <c r="F4" s="5">
        <v>243268463507.48514</v>
      </c>
      <c r="G4" s="5">
        <v>244019694006.9003</v>
      </c>
      <c r="H4" s="5">
        <v>242652780469.49625</v>
      </c>
      <c r="I4" s="5">
        <v>243665972654.49658</v>
      </c>
      <c r="J4" s="5">
        <v>239569435821.11508</v>
      </c>
    </row>
    <row r="5" spans="1:11">
      <c r="A5" s="3" t="s">
        <v>175</v>
      </c>
      <c r="B5" s="4">
        <v>1916747972369.52</v>
      </c>
      <c r="C5" s="4">
        <v>1951335729434.6101</v>
      </c>
      <c r="D5" s="4">
        <v>1937928770896.0901</v>
      </c>
      <c r="E5" s="4">
        <v>1904125830062.55</v>
      </c>
      <c r="F5" s="4">
        <v>1911276570182.48</v>
      </c>
      <c r="G5" s="4">
        <v>1910381884325.9756</v>
      </c>
      <c r="H5" s="4">
        <v>1905477703934.2476</v>
      </c>
      <c r="I5" s="4">
        <v>1901028302593.2881</v>
      </c>
      <c r="J5" s="4">
        <v>1910113273501.6394</v>
      </c>
    </row>
    <row r="6" spans="1:11">
      <c r="A6" s="3" t="s">
        <v>318</v>
      </c>
      <c r="B6" s="6">
        <v>367969019601.867</v>
      </c>
      <c r="C6" s="6">
        <v>368375144772.14203</v>
      </c>
      <c r="D6" s="6">
        <v>368809278173.31897</v>
      </c>
      <c r="E6" s="5">
        <v>370267322852.34497</v>
      </c>
      <c r="F6" s="5">
        <v>371321637298.57227</v>
      </c>
      <c r="G6" s="5">
        <v>372265278550.55267</v>
      </c>
      <c r="H6" s="5">
        <v>372914421521.18774</v>
      </c>
      <c r="I6" s="5">
        <v>480118186812.3526</v>
      </c>
      <c r="J6" s="5">
        <v>480962390405.30359</v>
      </c>
    </row>
    <row r="7" spans="1:11">
      <c r="A7" s="3" t="s">
        <v>221</v>
      </c>
      <c r="B7" s="7">
        <v>77988718310.700806</v>
      </c>
      <c r="C7" s="7">
        <v>79052496329.9478</v>
      </c>
      <c r="D7" s="7">
        <v>81009282305.293594</v>
      </c>
      <c r="E7" s="7">
        <v>80975307014.121796</v>
      </c>
      <c r="F7" s="7">
        <v>79917304669.356689</v>
      </c>
      <c r="G7" s="7">
        <v>79959427590.508118</v>
      </c>
      <c r="H7" s="7">
        <v>80018041766.047272</v>
      </c>
      <c r="I7" s="7">
        <v>80347740959.834061</v>
      </c>
      <c r="J7" s="7">
        <v>82072736373.0802</v>
      </c>
    </row>
    <row r="8" spans="1:11">
      <c r="A8" s="3" t="s">
        <v>253</v>
      </c>
      <c r="B8" s="6">
        <v>8300396287.1099997</v>
      </c>
      <c r="C8" s="6">
        <v>8424376747.5200005</v>
      </c>
      <c r="D8" s="6">
        <v>8704335367.2000008</v>
      </c>
      <c r="E8" s="6">
        <v>8593567206.5699997</v>
      </c>
      <c r="F8" s="6">
        <v>8328680558.7600002</v>
      </c>
      <c r="G8" s="6">
        <v>8317694966.6799994</v>
      </c>
      <c r="H8" s="6">
        <v>8122250716.4000006</v>
      </c>
      <c r="I8" s="6">
        <v>8137410105.1800003</v>
      </c>
      <c r="J8" s="6">
        <v>8269417847.3099995</v>
      </c>
    </row>
    <row r="9" spans="1:11">
      <c r="A9" s="3" t="s">
        <v>319</v>
      </c>
      <c r="B9" s="6">
        <v>68565919306.980003</v>
      </c>
      <c r="C9" s="6">
        <v>70560901828.968002</v>
      </c>
      <c r="D9" s="6">
        <v>72014242734.605301</v>
      </c>
      <c r="E9" s="6">
        <v>72771852471.391907</v>
      </c>
      <c r="F9" s="6">
        <v>73208194782.318939</v>
      </c>
      <c r="G9" s="6">
        <v>73372100099.812561</v>
      </c>
      <c r="H9" s="6">
        <v>73712156820.88179</v>
      </c>
      <c r="I9" s="6">
        <v>74458988396.700394</v>
      </c>
      <c r="J9" s="6">
        <v>75808834587.932678</v>
      </c>
    </row>
    <row r="10" spans="1:11" ht="15.5">
      <c r="A10" s="8" t="s">
        <v>323</v>
      </c>
      <c r="B10" s="9">
        <f t="shared" ref="B10:J10" si="0">SUM(B2:B9)</f>
        <v>6925661526041.7646</v>
      </c>
      <c r="C10" s="9">
        <f t="shared" si="0"/>
        <v>7020211988135.1572</v>
      </c>
      <c r="D10" s="9">
        <f t="shared" si="0"/>
        <v>7084747660794.4199</v>
      </c>
      <c r="E10" s="9">
        <f t="shared" si="0"/>
        <v>7104721585031.502</v>
      </c>
      <c r="F10" s="9">
        <f t="shared" si="0"/>
        <v>7157322477516.2676</v>
      </c>
      <c r="G10" s="9">
        <f t="shared" si="0"/>
        <v>7224966067212.8506</v>
      </c>
      <c r="H10" s="9">
        <f t="shared" si="0"/>
        <v>7259931011854.4209</v>
      </c>
      <c r="I10" s="9">
        <f t="shared" si="0"/>
        <v>7416541160476.1436</v>
      </c>
      <c r="J10" s="9">
        <f t="shared" si="0"/>
        <v>7473275742515.1973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5">
      <c r="A12" s="12" t="s">
        <v>324</v>
      </c>
      <c r="B12" s="164" t="s">
        <v>325</v>
      </c>
      <c r="C12" s="13">
        <f>(B10+C10)/2</f>
        <v>6972936757088.4609</v>
      </c>
      <c r="D12" s="14">
        <f t="shared" ref="D12:J12" si="1">(C10+D10)/2</f>
        <v>7052479824464.7891</v>
      </c>
      <c r="E12" s="14">
        <f t="shared" si="1"/>
        <v>7094734622912.9609</v>
      </c>
      <c r="F12" s="14">
        <f t="shared" si="1"/>
        <v>7131022031273.8848</v>
      </c>
      <c r="G12" s="14">
        <f t="shared" si="1"/>
        <v>7191144272364.5586</v>
      </c>
      <c r="H12" s="14">
        <f t="shared" si="1"/>
        <v>7242448539533.6357</v>
      </c>
      <c r="I12" s="14">
        <f t="shared" si="1"/>
        <v>7338236086165.2822</v>
      </c>
      <c r="J12" s="14">
        <f t="shared" si="1"/>
        <v>7444908451495.6699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45940</v>
      </c>
      <c r="C15" s="2">
        <v>45947</v>
      </c>
      <c r="D15" s="2">
        <v>45954</v>
      </c>
      <c r="E15" s="2">
        <v>45961</v>
      </c>
      <c r="F15" s="2">
        <v>45968</v>
      </c>
      <c r="G15" s="2">
        <v>45975</v>
      </c>
      <c r="H15" s="2">
        <v>45982</v>
      </c>
      <c r="I15" s="2">
        <v>45989</v>
      </c>
      <c r="J15" s="2">
        <v>45996</v>
      </c>
      <c r="K15" s="15"/>
    </row>
    <row r="16" spans="1:11">
      <c r="A16" s="16" t="s">
        <v>326</v>
      </c>
      <c r="B16" s="17">
        <v>17549594999.560001</v>
      </c>
      <c r="C16" s="17">
        <v>17680301749.16</v>
      </c>
      <c r="D16" s="17">
        <v>18293394235.310001</v>
      </c>
      <c r="E16" s="17">
        <v>17970072049.889999</v>
      </c>
      <c r="F16" s="17">
        <v>17390304867.240002</v>
      </c>
      <c r="G16" s="17">
        <v>17299120627.790001</v>
      </c>
      <c r="H16" s="17">
        <v>16915814556.049999</v>
      </c>
      <c r="I16" s="17">
        <v>16972927008.689999</v>
      </c>
      <c r="J16" s="17">
        <v>17413222879.320004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ScxbWUQ7qpmiWiTVUkLt5klnA1aIadjeQqghl+js1OG4N+BQmwajvs8wwiibPhc0QmpCAbzU0PT6CqTn/F6QOw==" saltValue="BZq7MAEUARnwZvMe8O523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Jibril, M. Saidu</cp:lastModifiedBy>
  <dcterms:created xsi:type="dcterms:W3CDTF">2023-10-09T09:40:00Z</dcterms:created>
  <dcterms:modified xsi:type="dcterms:W3CDTF">2026-01-17T15:15:05Z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