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Mutual Funds Update 2025\"/>
    </mc:Choice>
  </mc:AlternateContent>
  <bookViews>
    <workbookView xWindow="0" yWindow="0" windowWidth="11496" windowHeight="9048" tabRatio="604"/>
  </bookViews>
  <sheets>
    <sheet name="August" sheetId="7" r:id="rId1"/>
    <sheet name="NAV Comparison" sheetId="2" r:id="rId2"/>
    <sheet name="Market Share" sheetId="3" r:id="rId3"/>
    <sheet name="Unitholders" sheetId="6" r:id="rId4"/>
  </sheets>
  <definedNames>
    <definedName name="_Hlk34300669" localSheetId="0">August!$K$63</definedName>
    <definedName name="Component">"Group"</definedName>
    <definedName name="FX_RATE">August!$C$235</definedName>
    <definedName name="pbCountingPages">FALSE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6" l="1"/>
  <c r="B3" i="3"/>
  <c r="K233" i="7"/>
  <c r="C13" i="2" l="1"/>
  <c r="B13" i="2"/>
  <c r="B5" i="3" l="1"/>
  <c r="B4" i="3"/>
  <c r="M224" i="7" l="1"/>
  <c r="M229" i="7"/>
  <c r="N229" i="7"/>
  <c r="O229" i="7"/>
  <c r="P229" i="7"/>
  <c r="Q229" i="7"/>
  <c r="M230" i="7"/>
  <c r="N230" i="7"/>
  <c r="O230" i="7"/>
  <c r="P230" i="7"/>
  <c r="Q230" i="7"/>
  <c r="M231" i="7"/>
  <c r="N231" i="7"/>
  <c r="O231" i="7"/>
  <c r="P231" i="7"/>
  <c r="Q231" i="7"/>
  <c r="M232" i="7"/>
  <c r="N232" i="7"/>
  <c r="O232" i="7"/>
  <c r="P232" i="7"/>
  <c r="Q232" i="7"/>
  <c r="L229" i="7"/>
  <c r="L230" i="7"/>
  <c r="L231" i="7"/>
  <c r="L232" i="7"/>
  <c r="L233" i="7"/>
  <c r="J229" i="7"/>
  <c r="J230" i="7"/>
  <c r="J231" i="7"/>
  <c r="J232" i="7"/>
  <c r="L222" i="7"/>
  <c r="M222" i="7"/>
  <c r="N222" i="7"/>
  <c r="O222" i="7"/>
  <c r="P222" i="7"/>
  <c r="Q222" i="7"/>
  <c r="L223" i="7"/>
  <c r="M223" i="7"/>
  <c r="N223" i="7"/>
  <c r="O223" i="7"/>
  <c r="P223" i="7"/>
  <c r="Q223" i="7"/>
  <c r="J222" i="7"/>
  <c r="J223" i="7"/>
  <c r="L207" i="7"/>
  <c r="M207" i="7"/>
  <c r="N207" i="7"/>
  <c r="O207" i="7"/>
  <c r="P207" i="7"/>
  <c r="Q207" i="7"/>
  <c r="L208" i="7"/>
  <c r="M208" i="7"/>
  <c r="N208" i="7"/>
  <c r="O208" i="7"/>
  <c r="P208" i="7"/>
  <c r="Q208" i="7"/>
  <c r="L209" i="7"/>
  <c r="M209" i="7"/>
  <c r="N209" i="7"/>
  <c r="O209" i="7"/>
  <c r="P209" i="7"/>
  <c r="Q209" i="7"/>
  <c r="L210" i="7"/>
  <c r="M210" i="7"/>
  <c r="N210" i="7"/>
  <c r="O210" i="7"/>
  <c r="P210" i="7"/>
  <c r="Q210" i="7"/>
  <c r="L211" i="7"/>
  <c r="M211" i="7"/>
  <c r="N211" i="7"/>
  <c r="O211" i="7"/>
  <c r="P211" i="7"/>
  <c r="Q211" i="7"/>
  <c r="L212" i="7"/>
  <c r="M212" i="7"/>
  <c r="N212" i="7"/>
  <c r="O212" i="7"/>
  <c r="P212" i="7"/>
  <c r="Q212" i="7"/>
  <c r="L213" i="7"/>
  <c r="M213" i="7"/>
  <c r="N213" i="7"/>
  <c r="O213" i="7"/>
  <c r="P213" i="7"/>
  <c r="Q213" i="7"/>
  <c r="L214" i="7"/>
  <c r="M214" i="7"/>
  <c r="N214" i="7"/>
  <c r="O214" i="7"/>
  <c r="P214" i="7"/>
  <c r="Q214" i="7"/>
  <c r="L215" i="7"/>
  <c r="M215" i="7"/>
  <c r="N215" i="7"/>
  <c r="O215" i="7"/>
  <c r="P215" i="7"/>
  <c r="Q215" i="7"/>
  <c r="L216" i="7"/>
  <c r="M216" i="7"/>
  <c r="N216" i="7"/>
  <c r="O216" i="7"/>
  <c r="P216" i="7"/>
  <c r="Q216" i="7"/>
  <c r="L217" i="7"/>
  <c r="M217" i="7"/>
  <c r="N217" i="7"/>
  <c r="O217" i="7"/>
  <c r="P217" i="7"/>
  <c r="Q217" i="7"/>
  <c r="L218" i="7"/>
  <c r="M218" i="7"/>
  <c r="N218" i="7"/>
  <c r="O218" i="7"/>
  <c r="P218" i="7"/>
  <c r="Q218" i="7"/>
  <c r="L203" i="7"/>
  <c r="M203" i="7"/>
  <c r="N203" i="7"/>
  <c r="O203" i="7"/>
  <c r="P203" i="7"/>
  <c r="Q203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03" i="7"/>
  <c r="L197" i="7"/>
  <c r="M197" i="7"/>
  <c r="N197" i="7"/>
  <c r="O197" i="7"/>
  <c r="P197" i="7"/>
  <c r="Q197" i="7"/>
  <c r="J197" i="7"/>
  <c r="J198" i="7"/>
  <c r="M166" i="7"/>
  <c r="N166" i="7"/>
  <c r="O166" i="7"/>
  <c r="P166" i="7"/>
  <c r="Q166" i="7"/>
  <c r="M167" i="7"/>
  <c r="N167" i="7"/>
  <c r="O167" i="7"/>
  <c r="P167" i="7"/>
  <c r="Q167" i="7"/>
  <c r="M168" i="7"/>
  <c r="N168" i="7"/>
  <c r="O168" i="7"/>
  <c r="P168" i="7"/>
  <c r="Q168" i="7"/>
  <c r="M169" i="7"/>
  <c r="N169" i="7"/>
  <c r="O169" i="7"/>
  <c r="P169" i="7"/>
  <c r="Q169" i="7"/>
  <c r="M170" i="7"/>
  <c r="N170" i="7"/>
  <c r="O170" i="7"/>
  <c r="P170" i="7"/>
  <c r="Q170" i="7"/>
  <c r="M171" i="7"/>
  <c r="N171" i="7"/>
  <c r="O171" i="7"/>
  <c r="P171" i="7"/>
  <c r="Q171" i="7"/>
  <c r="M172" i="7"/>
  <c r="N172" i="7"/>
  <c r="O172" i="7"/>
  <c r="P172" i="7"/>
  <c r="Q172" i="7"/>
  <c r="M173" i="7"/>
  <c r="N173" i="7"/>
  <c r="O173" i="7"/>
  <c r="P173" i="7"/>
  <c r="Q173" i="7"/>
  <c r="M174" i="7"/>
  <c r="N174" i="7"/>
  <c r="O174" i="7"/>
  <c r="P174" i="7"/>
  <c r="Q174" i="7"/>
  <c r="M175" i="7"/>
  <c r="N175" i="7"/>
  <c r="O175" i="7"/>
  <c r="P175" i="7"/>
  <c r="Q175" i="7"/>
  <c r="M176" i="7"/>
  <c r="N176" i="7"/>
  <c r="O176" i="7"/>
  <c r="P176" i="7"/>
  <c r="Q176" i="7"/>
  <c r="M177" i="7"/>
  <c r="N177" i="7"/>
  <c r="O177" i="7"/>
  <c r="P177" i="7"/>
  <c r="Q177" i="7"/>
  <c r="M178" i="7"/>
  <c r="N178" i="7"/>
  <c r="O178" i="7"/>
  <c r="P178" i="7"/>
  <c r="Q178" i="7"/>
  <c r="M179" i="7"/>
  <c r="N179" i="7"/>
  <c r="O179" i="7"/>
  <c r="P179" i="7"/>
  <c r="Q179" i="7"/>
  <c r="M180" i="7"/>
  <c r="N180" i="7"/>
  <c r="O180" i="7"/>
  <c r="P180" i="7"/>
  <c r="Q180" i="7"/>
  <c r="M181" i="7"/>
  <c r="N181" i="7"/>
  <c r="O181" i="7"/>
  <c r="P181" i="7"/>
  <c r="Q181" i="7"/>
  <c r="M182" i="7"/>
  <c r="N182" i="7"/>
  <c r="O182" i="7"/>
  <c r="P182" i="7"/>
  <c r="Q182" i="7"/>
  <c r="M183" i="7"/>
  <c r="N183" i="7"/>
  <c r="O183" i="7"/>
  <c r="P183" i="7"/>
  <c r="Q183" i="7"/>
  <c r="M184" i="7"/>
  <c r="N184" i="7"/>
  <c r="O184" i="7"/>
  <c r="P184" i="7"/>
  <c r="Q184" i="7"/>
  <c r="M185" i="7"/>
  <c r="N185" i="7"/>
  <c r="O185" i="7"/>
  <c r="P185" i="7"/>
  <c r="Q185" i="7"/>
  <c r="M186" i="7"/>
  <c r="N186" i="7"/>
  <c r="O186" i="7"/>
  <c r="P186" i="7"/>
  <c r="Q186" i="7"/>
  <c r="M187" i="7"/>
  <c r="N187" i="7"/>
  <c r="O187" i="7"/>
  <c r="P187" i="7"/>
  <c r="Q187" i="7"/>
  <c r="M188" i="7"/>
  <c r="N188" i="7"/>
  <c r="O188" i="7"/>
  <c r="P188" i="7"/>
  <c r="Q188" i="7"/>
  <c r="M189" i="7"/>
  <c r="N189" i="7"/>
  <c r="O189" i="7"/>
  <c r="P189" i="7"/>
  <c r="Q189" i="7"/>
  <c r="M190" i="7"/>
  <c r="N190" i="7"/>
  <c r="O190" i="7"/>
  <c r="P190" i="7"/>
  <c r="Q190" i="7"/>
  <c r="M191" i="7"/>
  <c r="N191" i="7"/>
  <c r="O191" i="7"/>
  <c r="P191" i="7"/>
  <c r="Q191" i="7"/>
  <c r="M192" i="7"/>
  <c r="N192" i="7"/>
  <c r="O192" i="7"/>
  <c r="P192" i="7"/>
  <c r="Q192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L157" i="7"/>
  <c r="M157" i="7"/>
  <c r="N157" i="7"/>
  <c r="O157" i="7"/>
  <c r="P157" i="7"/>
  <c r="Q157" i="7"/>
  <c r="L158" i="7"/>
  <c r="M158" i="7"/>
  <c r="N158" i="7"/>
  <c r="O158" i="7"/>
  <c r="P158" i="7"/>
  <c r="Q158" i="7"/>
  <c r="L159" i="7"/>
  <c r="M159" i="7"/>
  <c r="N159" i="7"/>
  <c r="O159" i="7"/>
  <c r="P159" i="7"/>
  <c r="Q159" i="7"/>
  <c r="L160" i="7"/>
  <c r="M160" i="7"/>
  <c r="N160" i="7"/>
  <c r="O160" i="7"/>
  <c r="P160" i="7"/>
  <c r="Q160" i="7"/>
  <c r="L161" i="7"/>
  <c r="M161" i="7"/>
  <c r="N161" i="7"/>
  <c r="O161" i="7"/>
  <c r="P161" i="7"/>
  <c r="Q161" i="7"/>
  <c r="J157" i="7"/>
  <c r="J158" i="7"/>
  <c r="J159" i="7"/>
  <c r="J160" i="7"/>
  <c r="J161" i="7"/>
  <c r="J162" i="7"/>
  <c r="L135" i="7"/>
  <c r="M135" i="7"/>
  <c r="N135" i="7"/>
  <c r="O135" i="7"/>
  <c r="P135" i="7"/>
  <c r="Q135" i="7"/>
  <c r="L136" i="7"/>
  <c r="M136" i="7"/>
  <c r="N136" i="7"/>
  <c r="O136" i="7"/>
  <c r="P136" i="7"/>
  <c r="Q136" i="7"/>
  <c r="L137" i="7"/>
  <c r="M137" i="7"/>
  <c r="N137" i="7"/>
  <c r="O137" i="7"/>
  <c r="P137" i="7"/>
  <c r="Q137" i="7"/>
  <c r="L138" i="7"/>
  <c r="M138" i="7"/>
  <c r="N138" i="7"/>
  <c r="O138" i="7"/>
  <c r="P138" i="7"/>
  <c r="Q138" i="7"/>
  <c r="L139" i="7"/>
  <c r="M139" i="7"/>
  <c r="N139" i="7"/>
  <c r="O139" i="7"/>
  <c r="P139" i="7"/>
  <c r="Q139" i="7"/>
  <c r="L140" i="7"/>
  <c r="M140" i="7"/>
  <c r="N140" i="7"/>
  <c r="O140" i="7"/>
  <c r="P140" i="7"/>
  <c r="Q140" i="7"/>
  <c r="L141" i="7"/>
  <c r="M141" i="7"/>
  <c r="N141" i="7"/>
  <c r="O141" i="7"/>
  <c r="P141" i="7"/>
  <c r="Q141" i="7"/>
  <c r="L142" i="7"/>
  <c r="M142" i="7"/>
  <c r="N142" i="7"/>
  <c r="O142" i="7"/>
  <c r="P142" i="7"/>
  <c r="Q142" i="7"/>
  <c r="L143" i="7"/>
  <c r="M143" i="7"/>
  <c r="N143" i="7"/>
  <c r="O143" i="7"/>
  <c r="P143" i="7"/>
  <c r="Q143" i="7"/>
  <c r="L144" i="7"/>
  <c r="M144" i="7"/>
  <c r="N144" i="7"/>
  <c r="O144" i="7"/>
  <c r="P144" i="7"/>
  <c r="Q144" i="7"/>
  <c r="L145" i="7"/>
  <c r="M145" i="7"/>
  <c r="N145" i="7"/>
  <c r="O145" i="7"/>
  <c r="P145" i="7"/>
  <c r="Q145" i="7"/>
  <c r="L146" i="7"/>
  <c r="M146" i="7"/>
  <c r="N146" i="7"/>
  <c r="O146" i="7"/>
  <c r="P146" i="7"/>
  <c r="Q146" i="7"/>
  <c r="L147" i="7"/>
  <c r="M147" i="7"/>
  <c r="N147" i="7"/>
  <c r="O147" i="7"/>
  <c r="P147" i="7"/>
  <c r="Q147" i="7"/>
  <c r="L148" i="7"/>
  <c r="M148" i="7"/>
  <c r="N148" i="7"/>
  <c r="O148" i="7"/>
  <c r="P148" i="7"/>
  <c r="Q148" i="7"/>
  <c r="L149" i="7"/>
  <c r="M149" i="7"/>
  <c r="N149" i="7"/>
  <c r="O149" i="7"/>
  <c r="P149" i="7"/>
  <c r="Q149" i="7"/>
  <c r="L150" i="7"/>
  <c r="M150" i="7"/>
  <c r="N150" i="7"/>
  <c r="O150" i="7"/>
  <c r="P150" i="7"/>
  <c r="Q150" i="7"/>
  <c r="L151" i="7"/>
  <c r="M151" i="7"/>
  <c r="N151" i="7"/>
  <c r="O151" i="7"/>
  <c r="P151" i="7"/>
  <c r="Q151" i="7"/>
  <c r="L152" i="7"/>
  <c r="M152" i="7"/>
  <c r="N152" i="7"/>
  <c r="O152" i="7"/>
  <c r="P152" i="7"/>
  <c r="Q152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L73" i="7"/>
  <c r="M73" i="7"/>
  <c r="N73" i="7"/>
  <c r="O73" i="7"/>
  <c r="P73" i="7"/>
  <c r="Q73" i="7"/>
  <c r="L74" i="7"/>
  <c r="M74" i="7"/>
  <c r="N74" i="7"/>
  <c r="O74" i="7"/>
  <c r="P74" i="7"/>
  <c r="Q74" i="7"/>
  <c r="L75" i="7"/>
  <c r="M75" i="7"/>
  <c r="N75" i="7"/>
  <c r="O75" i="7"/>
  <c r="P75" i="7"/>
  <c r="Q75" i="7"/>
  <c r="L76" i="7"/>
  <c r="M76" i="7"/>
  <c r="N76" i="7"/>
  <c r="O76" i="7"/>
  <c r="P76" i="7"/>
  <c r="Q76" i="7"/>
  <c r="L77" i="7"/>
  <c r="M77" i="7"/>
  <c r="N77" i="7"/>
  <c r="O77" i="7"/>
  <c r="P77" i="7"/>
  <c r="Q77" i="7"/>
  <c r="L78" i="7"/>
  <c r="M78" i="7"/>
  <c r="N78" i="7"/>
  <c r="O78" i="7"/>
  <c r="P78" i="7"/>
  <c r="Q78" i="7"/>
  <c r="L79" i="7"/>
  <c r="M79" i="7"/>
  <c r="N79" i="7"/>
  <c r="O79" i="7"/>
  <c r="P79" i="7"/>
  <c r="Q79" i="7"/>
  <c r="L80" i="7"/>
  <c r="M80" i="7"/>
  <c r="N80" i="7"/>
  <c r="O80" i="7"/>
  <c r="P80" i="7"/>
  <c r="Q80" i="7"/>
  <c r="L81" i="7"/>
  <c r="M81" i="7"/>
  <c r="N81" i="7"/>
  <c r="O81" i="7"/>
  <c r="P81" i="7"/>
  <c r="Q81" i="7"/>
  <c r="L82" i="7"/>
  <c r="M82" i="7"/>
  <c r="N82" i="7"/>
  <c r="O82" i="7"/>
  <c r="P82" i="7"/>
  <c r="Q82" i="7"/>
  <c r="L83" i="7"/>
  <c r="M83" i="7"/>
  <c r="N83" i="7"/>
  <c r="O83" i="7"/>
  <c r="P83" i="7"/>
  <c r="Q83" i="7"/>
  <c r="L84" i="7"/>
  <c r="M84" i="7"/>
  <c r="N84" i="7"/>
  <c r="O84" i="7"/>
  <c r="P84" i="7"/>
  <c r="Q84" i="7"/>
  <c r="L85" i="7"/>
  <c r="M85" i="7"/>
  <c r="N85" i="7"/>
  <c r="O85" i="7"/>
  <c r="P85" i="7"/>
  <c r="Q85" i="7"/>
  <c r="L86" i="7"/>
  <c r="M86" i="7"/>
  <c r="N86" i="7"/>
  <c r="O86" i="7"/>
  <c r="P86" i="7"/>
  <c r="Q86" i="7"/>
  <c r="L87" i="7"/>
  <c r="M87" i="7"/>
  <c r="N87" i="7"/>
  <c r="O87" i="7"/>
  <c r="P87" i="7"/>
  <c r="Q87" i="7"/>
  <c r="L88" i="7"/>
  <c r="M88" i="7"/>
  <c r="N88" i="7"/>
  <c r="O88" i="7"/>
  <c r="P88" i="7"/>
  <c r="Q88" i="7"/>
  <c r="L89" i="7"/>
  <c r="M89" i="7"/>
  <c r="N89" i="7"/>
  <c r="O89" i="7"/>
  <c r="P89" i="7"/>
  <c r="Q89" i="7"/>
  <c r="L90" i="7"/>
  <c r="M90" i="7"/>
  <c r="N90" i="7"/>
  <c r="O90" i="7"/>
  <c r="P90" i="7"/>
  <c r="Q90" i="7"/>
  <c r="L91" i="7"/>
  <c r="M91" i="7"/>
  <c r="N91" i="7"/>
  <c r="O91" i="7"/>
  <c r="P91" i="7"/>
  <c r="Q91" i="7"/>
  <c r="L92" i="7"/>
  <c r="M92" i="7"/>
  <c r="N92" i="7"/>
  <c r="O92" i="7"/>
  <c r="P92" i="7"/>
  <c r="Q92" i="7"/>
  <c r="L93" i="7"/>
  <c r="M93" i="7"/>
  <c r="N93" i="7"/>
  <c r="O93" i="7"/>
  <c r="P93" i="7"/>
  <c r="Q93" i="7"/>
  <c r="L94" i="7"/>
  <c r="M94" i="7"/>
  <c r="N94" i="7"/>
  <c r="O94" i="7"/>
  <c r="P94" i="7"/>
  <c r="Q94" i="7"/>
  <c r="L95" i="7"/>
  <c r="M95" i="7"/>
  <c r="N95" i="7"/>
  <c r="O95" i="7"/>
  <c r="P95" i="7"/>
  <c r="Q95" i="7"/>
  <c r="L96" i="7"/>
  <c r="M96" i="7"/>
  <c r="N96" i="7"/>
  <c r="O96" i="7"/>
  <c r="P96" i="7"/>
  <c r="Q96" i="7"/>
  <c r="L97" i="7"/>
  <c r="M97" i="7"/>
  <c r="N97" i="7"/>
  <c r="O97" i="7"/>
  <c r="P97" i="7"/>
  <c r="Q97" i="7"/>
  <c r="L98" i="7"/>
  <c r="M98" i="7"/>
  <c r="N98" i="7"/>
  <c r="O98" i="7"/>
  <c r="P98" i="7"/>
  <c r="Q98" i="7"/>
  <c r="L99" i="7"/>
  <c r="M99" i="7"/>
  <c r="N99" i="7"/>
  <c r="O99" i="7"/>
  <c r="P99" i="7"/>
  <c r="Q99" i="7"/>
  <c r="L100" i="7"/>
  <c r="M100" i="7"/>
  <c r="N100" i="7"/>
  <c r="O100" i="7"/>
  <c r="P100" i="7"/>
  <c r="Q100" i="7"/>
  <c r="L101" i="7"/>
  <c r="M101" i="7"/>
  <c r="N101" i="7"/>
  <c r="O101" i="7"/>
  <c r="P101" i="7"/>
  <c r="Q101" i="7"/>
  <c r="L102" i="7"/>
  <c r="M102" i="7"/>
  <c r="N102" i="7"/>
  <c r="O102" i="7"/>
  <c r="P102" i="7"/>
  <c r="Q102" i="7"/>
  <c r="L103" i="7"/>
  <c r="M103" i="7"/>
  <c r="N103" i="7"/>
  <c r="O103" i="7"/>
  <c r="P103" i="7"/>
  <c r="Q103" i="7"/>
  <c r="L104" i="7"/>
  <c r="M104" i="7"/>
  <c r="N104" i="7"/>
  <c r="O104" i="7"/>
  <c r="P104" i="7"/>
  <c r="Q104" i="7"/>
  <c r="L105" i="7"/>
  <c r="M105" i="7"/>
  <c r="N105" i="7"/>
  <c r="O105" i="7"/>
  <c r="P105" i="7"/>
  <c r="Q105" i="7"/>
  <c r="L106" i="7"/>
  <c r="M106" i="7"/>
  <c r="N106" i="7"/>
  <c r="O106" i="7"/>
  <c r="P106" i="7"/>
  <c r="Q106" i="7"/>
  <c r="L107" i="7"/>
  <c r="M107" i="7"/>
  <c r="N107" i="7"/>
  <c r="O107" i="7"/>
  <c r="P107" i="7"/>
  <c r="Q107" i="7"/>
  <c r="L108" i="7"/>
  <c r="M108" i="7"/>
  <c r="N108" i="7"/>
  <c r="O108" i="7"/>
  <c r="P108" i="7"/>
  <c r="Q108" i="7"/>
  <c r="L109" i="7"/>
  <c r="M109" i="7"/>
  <c r="N109" i="7"/>
  <c r="O109" i="7"/>
  <c r="P109" i="7"/>
  <c r="Q109" i="7"/>
  <c r="L110" i="7"/>
  <c r="M110" i="7"/>
  <c r="N110" i="7"/>
  <c r="O110" i="7"/>
  <c r="P110" i="7"/>
  <c r="Q110" i="7"/>
  <c r="J111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L28" i="7"/>
  <c r="M28" i="7"/>
  <c r="N28" i="7"/>
  <c r="O28" i="7"/>
  <c r="P28" i="7"/>
  <c r="Q28" i="7"/>
  <c r="L29" i="7"/>
  <c r="M29" i="7"/>
  <c r="N29" i="7"/>
  <c r="O29" i="7"/>
  <c r="P29" i="7"/>
  <c r="Q29" i="7"/>
  <c r="L30" i="7"/>
  <c r="M30" i="7"/>
  <c r="N30" i="7"/>
  <c r="O30" i="7"/>
  <c r="P30" i="7"/>
  <c r="Q30" i="7"/>
  <c r="L31" i="7"/>
  <c r="M31" i="7"/>
  <c r="N31" i="7"/>
  <c r="O31" i="7"/>
  <c r="P31" i="7"/>
  <c r="Q31" i="7"/>
  <c r="L32" i="7"/>
  <c r="M32" i="7"/>
  <c r="N32" i="7"/>
  <c r="O32" i="7"/>
  <c r="P32" i="7"/>
  <c r="Q32" i="7"/>
  <c r="L33" i="7"/>
  <c r="M33" i="7"/>
  <c r="N33" i="7"/>
  <c r="O33" i="7"/>
  <c r="P33" i="7"/>
  <c r="Q33" i="7"/>
  <c r="L34" i="7"/>
  <c r="M34" i="7"/>
  <c r="N34" i="7"/>
  <c r="O34" i="7"/>
  <c r="P34" i="7"/>
  <c r="Q34" i="7"/>
  <c r="L35" i="7"/>
  <c r="M35" i="7"/>
  <c r="N35" i="7"/>
  <c r="O35" i="7"/>
  <c r="P35" i="7"/>
  <c r="Q35" i="7"/>
  <c r="L36" i="7"/>
  <c r="M36" i="7"/>
  <c r="N36" i="7"/>
  <c r="O36" i="7"/>
  <c r="P36" i="7"/>
  <c r="Q36" i="7"/>
  <c r="L37" i="7"/>
  <c r="M37" i="7"/>
  <c r="N37" i="7"/>
  <c r="O37" i="7"/>
  <c r="P37" i="7"/>
  <c r="Q37" i="7"/>
  <c r="L38" i="7"/>
  <c r="M38" i="7"/>
  <c r="N38" i="7"/>
  <c r="O38" i="7"/>
  <c r="P38" i="7"/>
  <c r="Q38" i="7"/>
  <c r="L39" i="7"/>
  <c r="M39" i="7"/>
  <c r="N39" i="7"/>
  <c r="O39" i="7"/>
  <c r="P39" i="7"/>
  <c r="Q39" i="7"/>
  <c r="L40" i="7"/>
  <c r="M40" i="7"/>
  <c r="N40" i="7"/>
  <c r="O40" i="7"/>
  <c r="P40" i="7"/>
  <c r="Q40" i="7"/>
  <c r="L41" i="7"/>
  <c r="M41" i="7"/>
  <c r="N41" i="7"/>
  <c r="O41" i="7"/>
  <c r="P41" i="7"/>
  <c r="Q41" i="7"/>
  <c r="L42" i="7"/>
  <c r="M42" i="7"/>
  <c r="N42" i="7"/>
  <c r="O42" i="7"/>
  <c r="P42" i="7"/>
  <c r="Q42" i="7"/>
  <c r="L43" i="7"/>
  <c r="M43" i="7"/>
  <c r="N43" i="7"/>
  <c r="O43" i="7"/>
  <c r="P43" i="7"/>
  <c r="Q43" i="7"/>
  <c r="L44" i="7"/>
  <c r="M44" i="7"/>
  <c r="N44" i="7"/>
  <c r="O44" i="7"/>
  <c r="P44" i="7"/>
  <c r="Q44" i="7"/>
  <c r="L45" i="7"/>
  <c r="M45" i="7"/>
  <c r="N45" i="7"/>
  <c r="O45" i="7"/>
  <c r="P45" i="7"/>
  <c r="Q45" i="7"/>
  <c r="L46" i="7"/>
  <c r="M46" i="7"/>
  <c r="N46" i="7"/>
  <c r="O46" i="7"/>
  <c r="P46" i="7"/>
  <c r="Q46" i="7"/>
  <c r="L47" i="7"/>
  <c r="M47" i="7"/>
  <c r="N47" i="7"/>
  <c r="O47" i="7"/>
  <c r="P47" i="7"/>
  <c r="Q47" i="7"/>
  <c r="L48" i="7"/>
  <c r="M48" i="7"/>
  <c r="N48" i="7"/>
  <c r="O48" i="7"/>
  <c r="P48" i="7"/>
  <c r="Q48" i="7"/>
  <c r="L49" i="7"/>
  <c r="M49" i="7"/>
  <c r="N49" i="7"/>
  <c r="O49" i="7"/>
  <c r="P49" i="7"/>
  <c r="Q49" i="7"/>
  <c r="L50" i="7"/>
  <c r="M50" i="7"/>
  <c r="N50" i="7"/>
  <c r="O50" i="7"/>
  <c r="P50" i="7"/>
  <c r="Q50" i="7"/>
  <c r="L51" i="7"/>
  <c r="M51" i="7"/>
  <c r="N51" i="7"/>
  <c r="O51" i="7"/>
  <c r="P51" i="7"/>
  <c r="Q51" i="7"/>
  <c r="L52" i="7"/>
  <c r="M52" i="7"/>
  <c r="N52" i="7"/>
  <c r="O52" i="7"/>
  <c r="P52" i="7"/>
  <c r="Q52" i="7"/>
  <c r="L53" i="7"/>
  <c r="M53" i="7"/>
  <c r="N53" i="7"/>
  <c r="O53" i="7"/>
  <c r="P53" i="7"/>
  <c r="Q53" i="7"/>
  <c r="L54" i="7"/>
  <c r="M54" i="7"/>
  <c r="N54" i="7"/>
  <c r="O54" i="7"/>
  <c r="P54" i="7"/>
  <c r="Q54" i="7"/>
  <c r="L55" i="7"/>
  <c r="M55" i="7"/>
  <c r="N55" i="7"/>
  <c r="O55" i="7"/>
  <c r="P55" i="7"/>
  <c r="Q55" i="7"/>
  <c r="L56" i="7"/>
  <c r="M56" i="7"/>
  <c r="N56" i="7"/>
  <c r="O56" i="7"/>
  <c r="P56" i="7"/>
  <c r="Q56" i="7"/>
  <c r="L57" i="7"/>
  <c r="M57" i="7"/>
  <c r="N57" i="7"/>
  <c r="O57" i="7"/>
  <c r="P57" i="7"/>
  <c r="Q57" i="7"/>
  <c r="L58" i="7"/>
  <c r="M58" i="7"/>
  <c r="N58" i="7"/>
  <c r="O58" i="7"/>
  <c r="P58" i="7"/>
  <c r="Q58" i="7"/>
  <c r="L59" i="7"/>
  <c r="M59" i="7"/>
  <c r="N59" i="7"/>
  <c r="O59" i="7"/>
  <c r="P59" i="7"/>
  <c r="Q59" i="7"/>
  <c r="L60" i="7"/>
  <c r="M60" i="7"/>
  <c r="N60" i="7"/>
  <c r="O60" i="7"/>
  <c r="P60" i="7"/>
  <c r="Q60" i="7"/>
  <c r="L61" i="7"/>
  <c r="M61" i="7"/>
  <c r="N61" i="7"/>
  <c r="O61" i="7"/>
  <c r="P61" i="7"/>
  <c r="Q61" i="7"/>
  <c r="L62" i="7"/>
  <c r="M62" i="7"/>
  <c r="N62" i="7"/>
  <c r="O62" i="7"/>
  <c r="P62" i="7"/>
  <c r="Q62" i="7"/>
  <c r="L63" i="7"/>
  <c r="M63" i="7"/>
  <c r="N63" i="7"/>
  <c r="O63" i="7"/>
  <c r="P63" i="7"/>
  <c r="Q63" i="7"/>
  <c r="L64" i="7"/>
  <c r="M64" i="7"/>
  <c r="N64" i="7"/>
  <c r="O64" i="7"/>
  <c r="P64" i="7"/>
  <c r="Q64" i="7"/>
  <c r="L65" i="7"/>
  <c r="M65" i="7"/>
  <c r="N65" i="7"/>
  <c r="O65" i="7"/>
  <c r="P65" i="7"/>
  <c r="Q65" i="7"/>
  <c r="L66" i="7"/>
  <c r="M66" i="7"/>
  <c r="N66" i="7"/>
  <c r="O66" i="7"/>
  <c r="P66" i="7"/>
  <c r="Q66" i="7"/>
  <c r="L67" i="7"/>
  <c r="M67" i="7"/>
  <c r="N67" i="7"/>
  <c r="O67" i="7"/>
  <c r="P67" i="7"/>
  <c r="Q67" i="7"/>
  <c r="L68" i="7"/>
  <c r="M68" i="7"/>
  <c r="N68" i="7"/>
  <c r="O68" i="7"/>
  <c r="P68" i="7"/>
  <c r="Q68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L6" i="7"/>
  <c r="M6" i="7"/>
  <c r="N6" i="7"/>
  <c r="O6" i="7"/>
  <c r="P6" i="7"/>
  <c r="Q6" i="7"/>
  <c r="L7" i="7"/>
  <c r="M7" i="7"/>
  <c r="N7" i="7"/>
  <c r="O7" i="7"/>
  <c r="P7" i="7"/>
  <c r="Q7" i="7"/>
  <c r="L8" i="7"/>
  <c r="M8" i="7"/>
  <c r="N8" i="7"/>
  <c r="O8" i="7"/>
  <c r="P8" i="7"/>
  <c r="Q8" i="7"/>
  <c r="L9" i="7"/>
  <c r="M9" i="7"/>
  <c r="N9" i="7"/>
  <c r="O9" i="7"/>
  <c r="P9" i="7"/>
  <c r="Q9" i="7"/>
  <c r="L10" i="7"/>
  <c r="M10" i="7"/>
  <c r="N10" i="7"/>
  <c r="O10" i="7"/>
  <c r="P10" i="7"/>
  <c r="Q10" i="7"/>
  <c r="L11" i="7"/>
  <c r="M11" i="7"/>
  <c r="N11" i="7"/>
  <c r="O11" i="7"/>
  <c r="P11" i="7"/>
  <c r="Q11" i="7"/>
  <c r="L12" i="7"/>
  <c r="M12" i="7"/>
  <c r="N12" i="7"/>
  <c r="O12" i="7"/>
  <c r="P12" i="7"/>
  <c r="Q12" i="7"/>
  <c r="L13" i="7"/>
  <c r="M13" i="7"/>
  <c r="N13" i="7"/>
  <c r="O13" i="7"/>
  <c r="P13" i="7"/>
  <c r="Q13" i="7"/>
  <c r="L14" i="7"/>
  <c r="M14" i="7"/>
  <c r="N14" i="7"/>
  <c r="O14" i="7"/>
  <c r="P14" i="7"/>
  <c r="Q14" i="7"/>
  <c r="L15" i="7"/>
  <c r="M15" i="7"/>
  <c r="N15" i="7"/>
  <c r="O15" i="7"/>
  <c r="P15" i="7"/>
  <c r="Q15" i="7"/>
  <c r="L16" i="7"/>
  <c r="M16" i="7"/>
  <c r="N16" i="7"/>
  <c r="O16" i="7"/>
  <c r="P16" i="7"/>
  <c r="Q16" i="7"/>
  <c r="L17" i="7"/>
  <c r="M17" i="7"/>
  <c r="N17" i="7"/>
  <c r="O17" i="7"/>
  <c r="P17" i="7"/>
  <c r="Q17" i="7"/>
  <c r="L18" i="7"/>
  <c r="M18" i="7"/>
  <c r="N18" i="7"/>
  <c r="O18" i="7"/>
  <c r="P18" i="7"/>
  <c r="Q18" i="7"/>
  <c r="L19" i="7"/>
  <c r="M19" i="7"/>
  <c r="N19" i="7"/>
  <c r="O19" i="7"/>
  <c r="P19" i="7"/>
  <c r="Q19" i="7"/>
  <c r="L20" i="7"/>
  <c r="M20" i="7"/>
  <c r="N20" i="7"/>
  <c r="O20" i="7"/>
  <c r="P20" i="7"/>
  <c r="Q20" i="7"/>
  <c r="L21" i="7"/>
  <c r="M21" i="7"/>
  <c r="N21" i="7"/>
  <c r="O21" i="7"/>
  <c r="P21" i="7"/>
  <c r="Q21" i="7"/>
  <c r="L22" i="7"/>
  <c r="M22" i="7"/>
  <c r="N22" i="7"/>
  <c r="O22" i="7"/>
  <c r="P22" i="7"/>
  <c r="Q22" i="7"/>
  <c r="L23" i="7"/>
  <c r="M23" i="7"/>
  <c r="N23" i="7"/>
  <c r="O23" i="7"/>
  <c r="P23" i="7"/>
  <c r="Q23" i="7"/>
  <c r="J24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I228" i="7"/>
  <c r="M124" i="7" l="1"/>
  <c r="N124" i="7"/>
  <c r="P124" i="7"/>
  <c r="M125" i="7"/>
  <c r="N125" i="7"/>
  <c r="P125" i="7"/>
  <c r="K224" i="7"/>
  <c r="I224" i="7"/>
  <c r="T233" i="7"/>
  <c r="I233" i="7"/>
  <c r="H223" i="7"/>
  <c r="D223" i="7"/>
  <c r="I48" i="7"/>
  <c r="L221" i="7" l="1"/>
  <c r="J228" i="7"/>
  <c r="J221" i="7"/>
  <c r="S148" i="7"/>
  <c r="R148" i="7"/>
  <c r="K148" i="7"/>
  <c r="G148" i="7"/>
  <c r="E148" i="7"/>
  <c r="D148" i="7"/>
  <c r="S131" i="7"/>
  <c r="R131" i="7"/>
  <c r="K131" i="7"/>
  <c r="G131" i="7"/>
  <c r="N131" i="7" s="1"/>
  <c r="E131" i="7"/>
  <c r="D131" i="7"/>
  <c r="S143" i="7"/>
  <c r="R143" i="7"/>
  <c r="K143" i="7"/>
  <c r="G143" i="7"/>
  <c r="F143" i="7"/>
  <c r="E143" i="7"/>
  <c r="D143" i="7"/>
  <c r="S140" i="7"/>
  <c r="R140" i="7"/>
  <c r="K140" i="7"/>
  <c r="G140" i="7"/>
  <c r="E140" i="7"/>
  <c r="S139" i="7"/>
  <c r="R139" i="7"/>
  <c r="K139" i="7"/>
  <c r="G139" i="7"/>
  <c r="E139" i="7"/>
  <c r="D139" i="7"/>
  <c r="T54" i="7"/>
  <c r="H39" i="7"/>
  <c r="S136" i="7"/>
  <c r="R136" i="7"/>
  <c r="K136" i="7"/>
  <c r="G136" i="7"/>
  <c r="E136" i="7"/>
  <c r="D136" i="7"/>
  <c r="D78" i="7"/>
  <c r="H78" i="7"/>
  <c r="H105" i="7"/>
  <c r="S151" i="7"/>
  <c r="R151" i="7"/>
  <c r="K151" i="7"/>
  <c r="G151" i="7"/>
  <c r="F151" i="7"/>
  <c r="E151" i="7"/>
  <c r="H151" i="7" s="1"/>
  <c r="D151" i="7"/>
  <c r="S121" i="7"/>
  <c r="R121" i="7"/>
  <c r="K121" i="7"/>
  <c r="G121" i="7"/>
  <c r="N121" i="7" s="1"/>
  <c r="E121" i="7"/>
  <c r="D121" i="7"/>
  <c r="S228" i="7"/>
  <c r="R228" i="7"/>
  <c r="K228" i="7"/>
  <c r="G228" i="7"/>
  <c r="E228" i="7"/>
  <c r="D228" i="7"/>
  <c r="S117" i="7"/>
  <c r="R117" i="7"/>
  <c r="K117" i="7"/>
  <c r="G117" i="7"/>
  <c r="N117" i="7" s="1"/>
  <c r="F117" i="7"/>
  <c r="E117" i="7"/>
  <c r="D117" i="7"/>
  <c r="S118" i="7"/>
  <c r="R118" i="7"/>
  <c r="K118" i="7"/>
  <c r="G118" i="7"/>
  <c r="N118" i="7" s="1"/>
  <c r="E118" i="7"/>
  <c r="D118" i="7"/>
  <c r="K142" i="7"/>
  <c r="R142" i="7"/>
  <c r="S142" i="7"/>
  <c r="G142" i="7"/>
  <c r="E142" i="7"/>
  <c r="D142" i="7"/>
  <c r="T43" i="7"/>
  <c r="T171" i="7"/>
  <c r="S152" i="7"/>
  <c r="R152" i="7"/>
  <c r="K152" i="7"/>
  <c r="G152" i="7"/>
  <c r="E152" i="7"/>
  <c r="D152" i="7"/>
  <c r="R146" i="7"/>
  <c r="S146" i="7"/>
  <c r="K146" i="7"/>
  <c r="D146" i="7"/>
  <c r="K126" i="7"/>
  <c r="G126" i="7"/>
  <c r="E126" i="7"/>
  <c r="D126" i="7"/>
  <c r="T130" i="7"/>
  <c r="S130" i="7"/>
  <c r="R130" i="7"/>
  <c r="K130" i="7"/>
  <c r="G130" i="7"/>
  <c r="N130" i="7" s="1"/>
  <c r="F130" i="7"/>
  <c r="E130" i="7"/>
  <c r="D130" i="7"/>
  <c r="T216" i="7"/>
  <c r="T96" i="7"/>
  <c r="K116" i="7"/>
  <c r="G116" i="7"/>
  <c r="N116" i="7" s="1"/>
  <c r="E116" i="7"/>
  <c r="D116" i="7"/>
  <c r="S135" i="7"/>
  <c r="R135" i="7"/>
  <c r="K135" i="7"/>
  <c r="G135" i="7"/>
  <c r="E135" i="7"/>
  <c r="D135" i="7"/>
  <c r="S119" i="7"/>
  <c r="R119" i="7"/>
  <c r="K119" i="7"/>
  <c r="D119" i="7"/>
  <c r="E119" i="7"/>
  <c r="G119" i="7"/>
  <c r="S145" i="7"/>
  <c r="R145" i="7"/>
  <c r="K145" i="7"/>
  <c r="G145" i="7"/>
  <c r="F145" i="7"/>
  <c r="E145" i="7"/>
  <c r="D145" i="7"/>
  <c r="T37" i="7"/>
  <c r="T137" i="7"/>
  <c r="S137" i="7"/>
  <c r="R137" i="7"/>
  <c r="K137" i="7"/>
  <c r="G137" i="7"/>
  <c r="E137" i="7"/>
  <c r="D137" i="7"/>
  <c r="S134" i="7"/>
  <c r="R134" i="7"/>
  <c r="K134" i="7"/>
  <c r="G134" i="7"/>
  <c r="E134" i="7"/>
  <c r="D134" i="7"/>
  <c r="R115" i="7"/>
  <c r="S115" i="7"/>
  <c r="K115" i="7"/>
  <c r="G115" i="7"/>
  <c r="F115" i="7"/>
  <c r="E115" i="7"/>
  <c r="D115" i="7"/>
  <c r="S150" i="7"/>
  <c r="R150" i="7"/>
  <c r="K150" i="7"/>
  <c r="G150" i="7"/>
  <c r="E150" i="7"/>
  <c r="D150" i="7"/>
  <c r="K122" i="7"/>
  <c r="G122" i="7"/>
  <c r="E122" i="7"/>
  <c r="D122" i="7"/>
  <c r="K141" i="7"/>
  <c r="G141" i="7"/>
  <c r="E141" i="7"/>
  <c r="D141" i="7"/>
  <c r="S124" i="7"/>
  <c r="R124" i="7"/>
  <c r="S125" i="7"/>
  <c r="R125" i="7"/>
  <c r="S230" i="7"/>
  <c r="R230" i="7"/>
  <c r="S128" i="7"/>
  <c r="R128" i="7"/>
  <c r="K128" i="7"/>
  <c r="G128" i="7"/>
  <c r="E128" i="7"/>
  <c r="D128" i="7"/>
  <c r="R147" i="7"/>
  <c r="S147" i="7"/>
  <c r="K147" i="7"/>
  <c r="G147" i="7"/>
  <c r="E147" i="7"/>
  <c r="D147" i="7"/>
  <c r="S127" i="7"/>
  <c r="R127" i="7"/>
  <c r="K127" i="7"/>
  <c r="G127" i="7"/>
  <c r="D127" i="7"/>
  <c r="S144" i="7"/>
  <c r="R144" i="7"/>
  <c r="K144" i="7"/>
  <c r="G144" i="7"/>
  <c r="F144" i="7"/>
  <c r="E144" i="7"/>
  <c r="D144" i="7"/>
  <c r="S129" i="7"/>
  <c r="R129" i="7"/>
  <c r="K129" i="7"/>
  <c r="G129" i="7"/>
  <c r="N129" i="7" s="1"/>
  <c r="E129" i="7"/>
  <c r="D129" i="7"/>
  <c r="K149" i="7"/>
  <c r="G149" i="7"/>
  <c r="E149" i="7"/>
  <c r="D149" i="7"/>
  <c r="M228" i="7"/>
  <c r="S120" i="7"/>
  <c r="R120" i="7"/>
  <c r="K120" i="7"/>
  <c r="G120" i="7"/>
  <c r="N120" i="7" s="1"/>
  <c r="E120" i="7"/>
  <c r="D120" i="7"/>
  <c r="S123" i="7"/>
  <c r="R123" i="7"/>
  <c r="K123" i="7"/>
  <c r="G123" i="7"/>
  <c r="N123" i="7" s="1"/>
  <c r="E123" i="7"/>
  <c r="D123" i="7"/>
  <c r="H232" i="7"/>
  <c r="H231" i="7"/>
  <c r="H230" i="7"/>
  <c r="H229" i="7"/>
  <c r="N127" i="7" l="1"/>
  <c r="N128" i="7"/>
  <c r="N122" i="7"/>
  <c r="N119" i="7"/>
  <c r="N126" i="7"/>
  <c r="M122" i="7"/>
  <c r="P122" i="7"/>
  <c r="M119" i="7"/>
  <c r="P119" i="7"/>
  <c r="M116" i="7"/>
  <c r="P116" i="7"/>
  <c r="M118" i="7"/>
  <c r="P118" i="7"/>
  <c r="M123" i="7"/>
  <c r="P123" i="7"/>
  <c r="P228" i="7"/>
  <c r="L228" i="7"/>
  <c r="M126" i="7"/>
  <c r="P126" i="7"/>
  <c r="M129" i="7"/>
  <c r="P129" i="7"/>
  <c r="M127" i="7"/>
  <c r="P127" i="7"/>
  <c r="M128" i="7"/>
  <c r="P128" i="7"/>
  <c r="M120" i="7"/>
  <c r="P120" i="7"/>
  <c r="M130" i="7"/>
  <c r="P130" i="7"/>
  <c r="M117" i="7"/>
  <c r="P117" i="7"/>
  <c r="M121" i="7"/>
  <c r="P121" i="7"/>
  <c r="M131" i="7"/>
  <c r="P131" i="7"/>
  <c r="H136" i="7"/>
  <c r="H140" i="7"/>
  <c r="H228" i="7"/>
  <c r="O228" i="7" s="1"/>
  <c r="N228" i="7"/>
  <c r="M196" i="7"/>
  <c r="N196" i="7"/>
  <c r="P196" i="7"/>
  <c r="Q228" i="7" l="1"/>
  <c r="S126" i="7" l="1"/>
  <c r="R126" i="7"/>
  <c r="H187" i="7" l="1"/>
  <c r="H62" i="7"/>
  <c r="H148" i="7"/>
  <c r="H109" i="7"/>
  <c r="H152" i="7"/>
  <c r="H67" i="7"/>
  <c r="H157" i="7" l="1"/>
  <c r="S149" i="7" l="1"/>
  <c r="R149" i="7"/>
  <c r="S122" i="7"/>
  <c r="R122" i="7"/>
  <c r="H41" i="7"/>
  <c r="H58" i="7" l="1"/>
  <c r="H79" i="7"/>
  <c r="H146" i="7" l="1"/>
  <c r="S141" i="7"/>
  <c r="R141" i="7"/>
  <c r="K153" i="7" l="1"/>
  <c r="H167" i="7"/>
  <c r="H168" i="7"/>
  <c r="H169" i="7"/>
  <c r="H170" i="7"/>
  <c r="H171" i="7"/>
  <c r="H172" i="7"/>
  <c r="H173" i="7"/>
  <c r="H174" i="7"/>
  <c r="H175" i="7"/>
  <c r="L124" i="7" l="1"/>
  <c r="L125" i="7"/>
  <c r="L122" i="7"/>
  <c r="L119" i="7"/>
  <c r="L123" i="7"/>
  <c r="L128" i="7"/>
  <c r="L120" i="7"/>
  <c r="L116" i="7"/>
  <c r="L126" i="7"/>
  <c r="L130" i="7"/>
  <c r="L118" i="7"/>
  <c r="L129" i="7"/>
  <c r="L117" i="7"/>
  <c r="L127" i="7"/>
  <c r="L121" i="7"/>
  <c r="L131" i="7"/>
  <c r="S116" i="7"/>
  <c r="R116" i="7"/>
  <c r="H52" i="7" l="1"/>
  <c r="H126" i="7" l="1"/>
  <c r="O126" i="7" l="1"/>
  <c r="Q126" i="7"/>
  <c r="H207" i="7"/>
  <c r="H118" i="7"/>
  <c r="O118" i="7" l="1"/>
  <c r="Q118" i="7"/>
  <c r="H33" i="7"/>
  <c r="H31" i="7" l="1"/>
  <c r="H141" i="7" l="1"/>
  <c r="H49" i="7" l="1"/>
  <c r="H44" i="7" l="1"/>
  <c r="H156" i="7" l="1"/>
  <c r="H98" i="7" l="1"/>
  <c r="H107" i="7" l="1"/>
  <c r="T162" i="7" l="1"/>
  <c r="B10" i="6" s="1"/>
  <c r="K162" i="7"/>
  <c r="P206" i="7"/>
  <c r="N206" i="7"/>
  <c r="M206" i="7"/>
  <c r="I162" i="7"/>
  <c r="B8" i="3" l="1"/>
  <c r="M162" i="7"/>
  <c r="C9" i="2"/>
  <c r="H210" i="7"/>
  <c r="H15" i="7" l="1"/>
  <c r="H138" i="7" l="1"/>
  <c r="H83" i="7"/>
  <c r="H181" i="7"/>
  <c r="H22" i="7"/>
  <c r="H166" i="7" l="1"/>
  <c r="H176" i="7"/>
  <c r="H177" i="7"/>
  <c r="H178" i="7"/>
  <c r="H180" i="7"/>
  <c r="H179" i="7"/>
  <c r="H182" i="7"/>
  <c r="H183" i="7"/>
  <c r="H184" i="7"/>
  <c r="H185" i="7"/>
  <c r="H186" i="7"/>
  <c r="H188" i="7"/>
  <c r="H189" i="7"/>
  <c r="H190" i="7"/>
  <c r="H191" i="7"/>
  <c r="H192" i="7"/>
  <c r="H165" i="7"/>
  <c r="H222" i="7"/>
  <c r="P156" i="7" l="1"/>
  <c r="N156" i="7"/>
  <c r="M156" i="7"/>
  <c r="H208" i="7" l="1"/>
  <c r="H209" i="7"/>
  <c r="H211" i="7"/>
  <c r="H212" i="7"/>
  <c r="H213" i="7"/>
  <c r="H214" i="7"/>
  <c r="H215" i="7"/>
  <c r="H216" i="7"/>
  <c r="H217" i="7"/>
  <c r="H218" i="7"/>
  <c r="H206" i="7" l="1"/>
  <c r="H203" i="7"/>
  <c r="H202" i="7"/>
  <c r="H196" i="7"/>
  <c r="H197" i="7"/>
  <c r="H158" i="7"/>
  <c r="H159" i="7"/>
  <c r="H160" i="7"/>
  <c r="H161" i="7"/>
  <c r="H135" i="7"/>
  <c r="H137" i="7"/>
  <c r="H139" i="7"/>
  <c r="H142" i="7"/>
  <c r="H143" i="7"/>
  <c r="H144" i="7"/>
  <c r="H145" i="7"/>
  <c r="H147" i="7"/>
  <c r="H149" i="7"/>
  <c r="H150" i="7"/>
  <c r="H134" i="7"/>
  <c r="H116" i="7"/>
  <c r="H117" i="7"/>
  <c r="H119" i="7"/>
  <c r="H120" i="7"/>
  <c r="H121" i="7"/>
  <c r="H122" i="7"/>
  <c r="H123" i="7"/>
  <c r="H124" i="7"/>
  <c r="H125" i="7"/>
  <c r="H127" i="7"/>
  <c r="H128" i="7"/>
  <c r="H129" i="7"/>
  <c r="H130" i="7"/>
  <c r="H131" i="7"/>
  <c r="Q124" i="7" l="1"/>
  <c r="O124" i="7"/>
  <c r="Q125" i="7"/>
  <c r="O125" i="7"/>
  <c r="O120" i="7"/>
  <c r="Q120" i="7"/>
  <c r="O119" i="7"/>
  <c r="Q119" i="7"/>
  <c r="Q131" i="7"/>
  <c r="O131" i="7"/>
  <c r="O117" i="7"/>
  <c r="Q117" i="7"/>
  <c r="O130" i="7"/>
  <c r="Q130" i="7"/>
  <c r="O116" i="7"/>
  <c r="Q116" i="7"/>
  <c r="O129" i="7"/>
  <c r="Q129" i="7"/>
  <c r="O128" i="7"/>
  <c r="Q128" i="7"/>
  <c r="O127" i="7"/>
  <c r="Q127" i="7"/>
  <c r="Q123" i="7"/>
  <c r="O123" i="7"/>
  <c r="O122" i="7"/>
  <c r="Q122" i="7"/>
  <c r="Q121" i="7"/>
  <c r="O121" i="7"/>
  <c r="Q196" i="7"/>
  <c r="O196" i="7"/>
  <c r="Q206" i="7"/>
  <c r="O206" i="7"/>
  <c r="Q156" i="7"/>
  <c r="O156" i="7"/>
  <c r="H73" i="7"/>
  <c r="H74" i="7"/>
  <c r="H75" i="7"/>
  <c r="H76" i="7"/>
  <c r="H77" i="7"/>
  <c r="H80" i="7"/>
  <c r="H81" i="7"/>
  <c r="H82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9" i="7"/>
  <c r="H100" i="7"/>
  <c r="H101" i="7"/>
  <c r="H102" i="7"/>
  <c r="H103" i="7"/>
  <c r="H104" i="7"/>
  <c r="H106" i="7"/>
  <c r="H108" i="7"/>
  <c r="H110" i="7"/>
  <c r="H72" i="7"/>
  <c r="H8" i="7"/>
  <c r="H9" i="7"/>
  <c r="H10" i="7"/>
  <c r="H11" i="7"/>
  <c r="H12" i="7"/>
  <c r="H13" i="7"/>
  <c r="H14" i="7"/>
  <c r="H16" i="7"/>
  <c r="H17" i="7"/>
  <c r="H18" i="7"/>
  <c r="H19" i="7"/>
  <c r="H20" i="7"/>
  <c r="H21" i="7"/>
  <c r="H23" i="7"/>
  <c r="H6" i="7"/>
  <c r="H7" i="7"/>
  <c r="H5" i="7"/>
  <c r="H115" i="7" l="1"/>
  <c r="H28" i="7"/>
  <c r="H29" i="7"/>
  <c r="H30" i="7"/>
  <c r="H32" i="7"/>
  <c r="H34" i="7"/>
  <c r="H35" i="7"/>
  <c r="H36" i="7"/>
  <c r="H37" i="7"/>
  <c r="H38" i="7"/>
  <c r="H40" i="7"/>
  <c r="H42" i="7"/>
  <c r="H43" i="7"/>
  <c r="H45" i="7"/>
  <c r="H46" i="7"/>
  <c r="H47" i="7"/>
  <c r="H48" i="7"/>
  <c r="H50" i="7"/>
  <c r="H51" i="7"/>
  <c r="H53" i="7"/>
  <c r="H54" i="7"/>
  <c r="H55" i="7"/>
  <c r="H56" i="7"/>
  <c r="H57" i="7"/>
  <c r="H59" i="7"/>
  <c r="H60" i="7"/>
  <c r="H61" i="7"/>
  <c r="H63" i="7"/>
  <c r="H64" i="7"/>
  <c r="H65" i="7"/>
  <c r="H66" i="7"/>
  <c r="H68" i="7"/>
  <c r="T224" i="7" l="1"/>
  <c r="B13" i="6" s="1"/>
  <c r="Q202" i="7"/>
  <c r="P202" i="7"/>
  <c r="O202" i="7"/>
  <c r="N202" i="7"/>
  <c r="M202" i="7"/>
  <c r="T198" i="7"/>
  <c r="B12" i="6" s="1"/>
  <c r="K198" i="7"/>
  <c r="I198" i="7"/>
  <c r="P221" i="7"/>
  <c r="N221" i="7"/>
  <c r="M221" i="7"/>
  <c r="H221" i="7"/>
  <c r="K193" i="7"/>
  <c r="I193" i="7"/>
  <c r="T193" i="7"/>
  <c r="B11" i="6" s="1"/>
  <c r="P165" i="7"/>
  <c r="N165" i="7"/>
  <c r="M165" i="7"/>
  <c r="Q165" i="7"/>
  <c r="L156" i="7"/>
  <c r="T153" i="7"/>
  <c r="B9" i="6" s="1"/>
  <c r="P115" i="7"/>
  <c r="N115" i="7"/>
  <c r="M115" i="7"/>
  <c r="Q115" i="7"/>
  <c r="T111" i="7"/>
  <c r="B8" i="6" s="1"/>
  <c r="K111" i="7"/>
  <c r="I111" i="7"/>
  <c r="P72" i="7"/>
  <c r="N72" i="7"/>
  <c r="M72" i="7"/>
  <c r="T69" i="7"/>
  <c r="B7" i="6" s="1"/>
  <c r="K69" i="7"/>
  <c r="I69" i="7"/>
  <c r="P27" i="7"/>
  <c r="N27" i="7"/>
  <c r="M27" i="7"/>
  <c r="H27" i="7"/>
  <c r="Q27" i="7" s="1"/>
  <c r="T24" i="7"/>
  <c r="B6" i="6" s="1"/>
  <c r="K24" i="7"/>
  <c r="I24" i="7"/>
  <c r="P5" i="7"/>
  <c r="N5" i="7"/>
  <c r="M5" i="7"/>
  <c r="Q5" i="7"/>
  <c r="L168" i="7" l="1"/>
  <c r="L167" i="7"/>
  <c r="L169" i="7"/>
  <c r="L171" i="7"/>
  <c r="L173" i="7"/>
  <c r="L175" i="7"/>
  <c r="L177" i="7"/>
  <c r="L179" i="7"/>
  <c r="L181" i="7"/>
  <c r="L183" i="7"/>
  <c r="L185" i="7"/>
  <c r="L187" i="7"/>
  <c r="L189" i="7"/>
  <c r="L191" i="7"/>
  <c r="L166" i="7"/>
  <c r="L170" i="7"/>
  <c r="L172" i="7"/>
  <c r="L174" i="7"/>
  <c r="L176" i="7"/>
  <c r="L178" i="7"/>
  <c r="L180" i="7"/>
  <c r="L182" i="7"/>
  <c r="L184" i="7"/>
  <c r="L186" i="7"/>
  <c r="L188" i="7"/>
  <c r="L190" i="7"/>
  <c r="L192" i="7"/>
  <c r="B7" i="3"/>
  <c r="L196" i="7"/>
  <c r="B2" i="3"/>
  <c r="J196" i="7"/>
  <c r="B10" i="3"/>
  <c r="B6" i="3"/>
  <c r="C11" i="2"/>
  <c r="M198" i="7"/>
  <c r="L206" i="7"/>
  <c r="C12" i="2"/>
  <c r="J206" i="7"/>
  <c r="C10" i="2"/>
  <c r="C7" i="2"/>
  <c r="C5" i="2"/>
  <c r="M24" i="7"/>
  <c r="C6" i="2"/>
  <c r="M69" i="7"/>
  <c r="M111" i="7"/>
  <c r="M193" i="7"/>
  <c r="J156" i="7"/>
  <c r="Q134" i="7"/>
  <c r="N134" i="7"/>
  <c r="J72" i="7"/>
  <c r="L202" i="7"/>
  <c r="O115" i="7"/>
  <c r="J165" i="7"/>
  <c r="L27" i="7"/>
  <c r="J202" i="7"/>
  <c r="T225" i="7"/>
  <c r="T234" i="7" s="1"/>
  <c r="L72" i="7"/>
  <c r="M134" i="7"/>
  <c r="P134" i="7"/>
  <c r="O165" i="7"/>
  <c r="L5" i="7"/>
  <c r="Q72" i="7"/>
  <c r="O72" i="7"/>
  <c r="Q221" i="7"/>
  <c r="O221" i="7"/>
  <c r="J5" i="7"/>
  <c r="O5" i="7"/>
  <c r="J27" i="7"/>
  <c r="O27" i="7"/>
  <c r="L165" i="7"/>
  <c r="B9" i="3" l="1"/>
  <c r="C8" i="2"/>
  <c r="O134" i="7"/>
  <c r="K225" i="7"/>
  <c r="L115" i="7"/>
  <c r="L134" i="7"/>
  <c r="K234" i="7" l="1"/>
  <c r="I153" i="7"/>
  <c r="L24" i="7" l="1"/>
  <c r="L224" i="7"/>
  <c r="L153" i="7"/>
  <c r="L111" i="7"/>
  <c r="L198" i="7"/>
  <c r="L162" i="7"/>
  <c r="L69" i="7"/>
  <c r="L193" i="7"/>
  <c r="J117" i="7"/>
  <c r="J129" i="7"/>
  <c r="J118" i="7"/>
  <c r="J130" i="7"/>
  <c r="J121" i="7"/>
  <c r="J120" i="7"/>
  <c r="J122" i="7"/>
  <c r="J123" i="7"/>
  <c r="J124" i="7"/>
  <c r="J116" i="7"/>
  <c r="J119" i="7"/>
  <c r="J125" i="7"/>
  <c r="J126" i="7"/>
  <c r="J127" i="7"/>
  <c r="J128" i="7"/>
  <c r="J131" i="7"/>
  <c r="J134" i="7"/>
  <c r="I225" i="7"/>
  <c r="M153" i="7"/>
  <c r="J115" i="7"/>
  <c r="I234" i="7" l="1"/>
  <c r="J233" i="7" l="1"/>
  <c r="J224" i="7"/>
</calcChain>
</file>

<file path=xl/sharedStrings.xml><?xml version="1.0" encoding="utf-8"?>
<sst xmlns="http://schemas.openxmlformats.org/spreadsheetml/2006/main" count="474" uniqueCount="317">
  <si>
    <t>S/N</t>
  </si>
  <si>
    <t>FUND</t>
  </si>
  <si>
    <t>FUND MANAGER</t>
  </si>
  <si>
    <t>TOTAL VALUE OF INVESTMENT (N)</t>
  </si>
  <si>
    <t>TOTAL INCOME (N)</t>
  </si>
  <si>
    <t>UNREALIZED CAPITAL GAIN/LOSS (N)</t>
  </si>
  <si>
    <t>TOTAL EXPENSES (N)</t>
  </si>
  <si>
    <t>NET INCOME/LOSS (N)</t>
  </si>
  <si>
    <t>% ON TOTAL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</si>
  <si>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</si>
  <si>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</si>
  <si>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</si>
  <si>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</si>
  <si>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</si>
  <si>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</si>
  <si>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</si>
  <si>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</si>
  <si>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</si>
  <si>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</si>
  <si>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</si>
  <si>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</si>
  <si>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</si>
  <si>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</si>
  <si>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</si>
  <si>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</si>
  <si>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</si>
  <si>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</si>
  <si>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</si>
  <si>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</si>
  <si>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</si>
  <si>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</si>
  <si>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</si>
  <si>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</si>
  <si>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</si>
  <si>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</si>
  <si>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</si>
  <si>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</si>
  <si>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</si>
  <si>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</si>
  <si>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</si>
  <si>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</si>
  <si>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</si>
  <si>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</si>
  <si>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</si>
  <si>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</si>
  <si>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</si>
  <si>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</si>
  <si>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</si>
  <si>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</si>
  <si>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</si>
  <si>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</si>
  <si>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</si>
  <si>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</si>
  <si>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</si>
  <si>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</si>
  <si>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</si>
  <si>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</si>
  <si>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</si>
  <si>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</si>
  <si>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</si>
  <si>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</si>
  <si>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</si>
  <si>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</si>
  <si>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</si>
  <si>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</si>
  <si>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</si>
  <si>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</si>
  <si>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</si>
  <si>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</si>
  <si>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</si>
  <si>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</si>
  <si>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</si>
  <si>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</si>
  <si>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</si>
  <si>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</si>
  <si>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</si>
  <si>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</si>
  <si>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</si>
  <si>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</si>
  <si>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</si>
  <si>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</si>
  <si>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</si>
  <si>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</si>
  <si>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</si>
  <si>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</si>
  <si>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</si>
  <si>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</si>
  <si>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</si>
  <si>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</si>
  <si>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</si>
  <si>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</si>
  <si>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</si>
  <si>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</si>
  <si>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</si>
  <si>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</si>
  <si>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</si>
  <si>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</si>
  <si>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</si>
  <si>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</si>
  <si>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</si>
  <si>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</si>
  <si>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</si>
  <si>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</si>
  <si>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</si>
  <si>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</si>
  <si>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</si>
  <si>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</si>
  <si>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</si>
  <si>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</si>
  <si>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</si>
  <si>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</si>
  <si>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</si>
  <si>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</si>
  <si>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</si>
  <si>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</si>
  <si>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</si>
  <si>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</si>
  <si>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</si>
  <si>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</si>
  <si>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</si>
  <si>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</si>
  <si>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</si>
  <si>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</si>
  <si>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</si>
  <si>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</si>
  <si>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</si>
  <si>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</si>
  <si>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</si>
  <si>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</si>
  <si>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</si>
  <si>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</si>
  <si>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</si>
  <si>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</si>
  <si>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</si>
  <si>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</si>
  <si>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</si>
  <si>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</si>
  <si>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</si>
  <si>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</si>
  <si>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</si>
  <si>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</si>
  <si>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</si>
  <si>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</si>
  <si>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</si>
  <si>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Norrenberger Investment &amp; Capital Management Limited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</si>
  <si>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</si>
  <si>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</si>
  <si>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</si>
  <si>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</si>
  <si>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</si>
  <si>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</si>
  <si>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</si>
  <si>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</si>
  <si>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</si>
  <si>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</si>
  <si>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</si>
  <si>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</si>
  <si>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</si>
  <si>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</si>
  <si>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</si>
  <si>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</si>
  <si>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</si>
  <si>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</si>
  <si>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</si>
  <si>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</si>
  <si>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</si>
  <si>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</si>
  <si>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</si>
  <si>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</si>
  <si>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</si>
  <si>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</si>
  <si>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</si>
  <si>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</si>
  <si>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</si>
  <si>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</si>
  <si>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</si>
  <si>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</si>
  <si>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</si>
  <si>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</si>
  <si>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</si>
  <si>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</si>
  <si>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</si>
  <si>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</si>
  <si>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Zenith Balanced Strategy Fund</t>
  </si>
  <si>
    <t>ETHICAL FUNDS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</si>
  <si>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</si>
  <si>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</si>
  <si>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</si>
  <si>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</si>
  <si>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</si>
  <si>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</si>
  <si>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</si>
  <si>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</si>
  <si>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</si>
  <si>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</si>
  <si>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</si>
  <si>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</si>
  <si>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</si>
  <si>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</si>
  <si>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</si>
  <si>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</si>
  <si>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</si>
  <si>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</si>
  <si>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</si>
  <si>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</si>
  <si>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</si>
  <si>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</si>
  <si>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</si>
  <si>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Cowry Equity Fund</t>
  </si>
  <si>
    <t>CardinalStone Equity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</si>
  <si>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</si>
  <si>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</si>
  <si>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</si>
  <si>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</si>
  <si>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</si>
  <si>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Comercio Partners Money Market Fund</t>
  </si>
  <si>
    <t>Comercio Partners Asset Management Limited</t>
  </si>
  <si>
    <t>BALANCED</t>
  </si>
  <si>
    <t>Lotus Waqf (Endowment) Fund</t>
  </si>
  <si>
    <t>Marble Halal Commodities Fund</t>
  </si>
  <si>
    <t xml:space="preserve">Marble Capital Limited </t>
  </si>
  <si>
    <t>Marble Halal Fixed Income Fund</t>
  </si>
  <si>
    <t>FSDH Halal Fund</t>
  </si>
  <si>
    <t>Alpha Morgan Balanced Fund</t>
  </si>
  <si>
    <t>Alpha Morgan Capital Managers Limited</t>
  </si>
  <si>
    <t>Cowry Balanced Fund</t>
  </si>
  <si>
    <t>The Nigeria Football Fund</t>
  </si>
  <si>
    <t>GTI Asset Management &amp; Trust Limited</t>
  </si>
  <si>
    <t>GTI Balanced Fund</t>
  </si>
  <si>
    <t>Housing Solution Fund</t>
  </si>
  <si>
    <t>FUNDCO Capital Managers Limited</t>
  </si>
  <si>
    <t>Coral Money Market Fund</t>
  </si>
  <si>
    <t>AIICO Eurobond Fund</t>
  </si>
  <si>
    <t>RMBN Dollar Fixed Income Fund</t>
  </si>
  <si>
    <t>Lead Dollar Fixed Income Fund</t>
  </si>
  <si>
    <t>Lead Asset Management Limited</t>
  </si>
  <si>
    <t>Meristem Dollar Fund</t>
  </si>
  <si>
    <t>CardinalStone Dollar Fund</t>
  </si>
  <si>
    <t>Comercio Partners Dollar Fund</t>
  </si>
  <si>
    <t>Cowry Eurobond Fund</t>
  </si>
  <si>
    <t>EDC Dollar Fund</t>
  </si>
  <si>
    <t>Cowry Fixed Income Fund</t>
  </si>
  <si>
    <t>Guaranty Trust Fixed Income Fund</t>
  </si>
  <si>
    <t>Utica Custodian Assured Fixed Income Fund</t>
  </si>
  <si>
    <t>Utica Capital Limited</t>
  </si>
  <si>
    <t>Nigeria Bond Fund</t>
  </si>
  <si>
    <t>Meristem Fixed Income Fund</t>
  </si>
  <si>
    <t>Comercio Partners Fixed Income Fund</t>
  </si>
  <si>
    <t>FBN Bond Fund</t>
  </si>
  <si>
    <t>Norrenberger Turbo Fixed Income Fund</t>
  </si>
  <si>
    <t>Norrenberger Investment &amp; Capital Mgt. Ltd.</t>
  </si>
  <si>
    <t>GTI  Money Market Fund</t>
  </si>
  <si>
    <t>Growth and Development Asset Management Limited</t>
  </si>
  <si>
    <t>Halo Equity Fund</t>
  </si>
  <si>
    <t>Zrosk Magna Equity Fund</t>
  </si>
  <si>
    <t>Zrosk Investment Management Limited</t>
  </si>
  <si>
    <t>Hillcrest Balanced Fund</t>
  </si>
  <si>
    <t>Hillcrest Capital Management Limited</t>
  </si>
  <si>
    <t>Coronation Dollar Fund</t>
  </si>
  <si>
    <t>Coronation Premium Fixed Income Fund</t>
  </si>
  <si>
    <t>Emerging Africa Halal Fund</t>
  </si>
  <si>
    <t>Chapel Hill Denham Money Market Fund</t>
  </si>
  <si>
    <t>Norrenberger Investment and Capital Mgt Limited</t>
  </si>
  <si>
    <t>United Capital Stable Fixed Income Fund</t>
  </si>
  <si>
    <t>Radix Horizon Fund</t>
  </si>
  <si>
    <t>Radix Capital Partners Limited</t>
  </si>
  <si>
    <t>CardinalStone Money Market Fund</t>
  </si>
  <si>
    <t>FSL Money Market Fund</t>
  </si>
  <si>
    <t>FSL  Asset Management Limited</t>
  </si>
  <si>
    <t>Guaranty Trust Investment Fund 724</t>
  </si>
  <si>
    <t>Guaranty Trust Dollar Fund</t>
  </si>
  <si>
    <t>ARM Short-Term Eurobond Fund</t>
  </si>
  <si>
    <t>ARM Sharia Compliant Fixed Income Fund</t>
  </si>
  <si>
    <t>FSL Eurobond Fund</t>
  </si>
  <si>
    <t>FSL Asset Management Limited</t>
  </si>
  <si>
    <t>Halo Nigeria Capital Management Limited</t>
  </si>
  <si>
    <t>Mango Naira Money Maket Fund</t>
  </si>
  <si>
    <t>Mango Asset Management Limited</t>
  </si>
  <si>
    <t>CardinalStone Asset Management Limited</t>
  </si>
  <si>
    <t>CardinalStone Balanced Fund</t>
  </si>
  <si>
    <t xml:space="preserve">Greenwich Asset Management Ltd </t>
  </si>
  <si>
    <t>Parthian Dollar Fixed Income Fund</t>
  </si>
  <si>
    <t>Parthian Capital Ltd.</t>
  </si>
  <si>
    <t>Parthian Money Market Fund</t>
  </si>
  <si>
    <t>MOFI Real Estate Investment Fund</t>
  </si>
  <si>
    <t>Zedcrest Money Market Fund</t>
  </si>
  <si>
    <t>Zedcrest Investment Managers Limited</t>
  </si>
  <si>
    <t>Zedcrest Dollar Fund</t>
  </si>
  <si>
    <t>Zedcrest Fixed Income Fund</t>
  </si>
  <si>
    <t>STL Dollar Fund</t>
  </si>
  <si>
    <t>STL Asset Mgt. Limited</t>
  </si>
  <si>
    <t>STL Money Market Fund</t>
  </si>
  <si>
    <t>STL Balanced Fund</t>
  </si>
  <si>
    <t>MONTHLY UPDATE ON REGISTERED MUTUAL FUNDS AS AT 31ST AUGUST, 2025</t>
  </si>
  <si>
    <t>ARM Specialized Dollar Fund</t>
  </si>
  <si>
    <t>Clean Energy Fund</t>
  </si>
  <si>
    <t>Fundco Capital Managers Limited</t>
  </si>
  <si>
    <t>FBN Blended Dollar Fund</t>
  </si>
  <si>
    <t>FCMB-TLG Private Debt Fund</t>
  </si>
  <si>
    <t>FCMB Asset Management Limited</t>
  </si>
  <si>
    <t>United Capital Children Investment Fund</t>
  </si>
  <si>
    <t>NET ASSET VALUE (N) PREVIOUS - JULY</t>
  </si>
  <si>
    <t>Trustbanc Fixed Income Fund</t>
  </si>
  <si>
    <t>CFG AM Fixed Income Naira Fund</t>
  </si>
  <si>
    <t>CFG Asset Management Limited</t>
  </si>
  <si>
    <t>CFG AM Fixed Income Dollar Fund</t>
  </si>
  <si>
    <t>DLM Money Market Fund</t>
  </si>
  <si>
    <t>Vetiva USD Fixed Income Fund</t>
  </si>
  <si>
    <t>Greenwich Fixed Income Dollar Fund</t>
  </si>
  <si>
    <t>AVA GAM Mony Market Fund</t>
  </si>
  <si>
    <t>One17 Halal Fund</t>
  </si>
  <si>
    <t>One17 Capital Limited</t>
  </si>
  <si>
    <r>
      <t>US$/NG</t>
    </r>
    <r>
      <rPr>
        <strike/>
        <sz val="8"/>
        <color theme="0"/>
        <rFont val="Century Gothic"/>
        <family val="2"/>
      </rPr>
      <t>N</t>
    </r>
    <r>
      <rPr>
        <sz val="8"/>
        <color theme="0"/>
        <rFont val="Century Gothic"/>
        <family val="2"/>
      </rPr>
      <t xml:space="preserve"> I&amp;E as at 29th August, 2025 = N1531.5703</t>
    </r>
  </si>
  <si>
    <t>Mutual Funds Total</t>
  </si>
  <si>
    <t>Jul 2025</t>
  </si>
  <si>
    <t>Aug 2025</t>
  </si>
  <si>
    <t>SPECIALISED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</si>
</sst>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</numFmts>
  <fonts count="4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charset val="134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0"/>
      <color rgb="FFFF0000"/>
      <name val="Calibri"/>
      <family val="2"/>
      <scheme val="minor"/>
    </font>
    <font>
      <b/>
      <sz val="12"/>
      <name val="Arial Narrow"/>
      <family val="2"/>
    </font>
    <font>
      <b/>
      <sz val="11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11"/>
      <color theme="0"/>
      <name val="Calibri"/>
      <family val="2"/>
      <scheme val="minor"/>
    </font>
    <font>
      <b/>
      <sz val="28"/>
      <color theme="0"/>
      <name val="Segoe UI Black"/>
      <family val="2"/>
    </font>
    <font>
      <sz val="8"/>
      <color theme="0"/>
      <name val="Century Gothic"/>
      <family val="2"/>
    </font>
    <font>
      <sz val="10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strike/>
      <sz val="8"/>
      <color theme="0"/>
      <name val="Century Gothic"/>
      <family val="2"/>
    </font>
    <font>
      <sz val="10"/>
      <name val="Arial Narrow"/>
      <family val="2"/>
    </font>
    <font>
      <b/>
      <sz val="8"/>
      <color theme="0"/>
      <name val="Century Gothic"/>
      <family val="2"/>
    </font>
    <font>
      <b/>
      <sz val="9"/>
      <name val="Century Gothic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8"/>
      <color theme="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76805932798245"/>
        <bgColor indexed="64"/>
      </patternFill>
    </fill>
    <fill>
      <patternFill patternType="solid">
        <fgColor theme="5" tint="0.7997680593279824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7985778374584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79857783745845"/>
        <bgColor indexed="64"/>
      </patternFill>
    </fill>
    <fill>
      <patternFill patternType="solid">
        <fgColor theme="6" tint="0.79979857783745845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8" tint="0.79979857783745845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64">
    <xf numFmtId="0" fontId="0" fillId="0" borderId="0"/>
    <xf numFmtId="164" fontId="9" fillId="0" borderId="0" applyFont="0" applyFill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165" fontId="10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3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2" fillId="27" borderId="0" applyNumberFormat="0" applyBorder="0" applyAlignment="0" applyProtection="0"/>
    <xf numFmtId="17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49" fontId="6" fillId="0" borderId="0"/>
    <xf numFmtId="49" fontId="6" fillId="0" borderId="0"/>
    <xf numFmtId="49" fontId="6" fillId="0" borderId="0"/>
    <xf numFmtId="49" fontId="6" fillId="0" borderId="0"/>
    <xf numFmtId="0" fontId="6" fillId="0" borderId="0"/>
    <xf numFmtId="37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0" fontId="9" fillId="28" borderId="3" applyNumberFormat="0" applyFont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</cellStyleXfs>
  <cellXfs count="132">
    <xf numFmtId="0" fontId="0" fillId="0" borderId="0" xfId="0"/>
    <xf numFmtId="0" fontId="2" fillId="2" borderId="0" xfId="0" applyFont="1" applyFill="1" applyAlignment="1">
      <alignment wrapText="1"/>
    </xf>
    <xf numFmtId="0" fontId="4" fillId="0" borderId="0" xfId="0" applyFont="1"/>
    <xf numFmtId="0" fontId="5" fillId="3" borderId="0" xfId="0" applyFont="1" applyFill="1"/>
    <xf numFmtId="0" fontId="5" fillId="0" borderId="0" xfId="0" applyFont="1"/>
    <xf numFmtId="0" fontId="8" fillId="0" borderId="0" xfId="0" applyFont="1"/>
    <xf numFmtId="0" fontId="5" fillId="2" borderId="0" xfId="0" applyFont="1" applyFill="1"/>
    <xf numFmtId="0" fontId="17" fillId="0" borderId="0" xfId="0" applyFont="1"/>
    <xf numFmtId="49" fontId="7" fillId="5" borderId="2" xfId="0" applyNumberFormat="1" applyFont="1" applyFill="1" applyBorder="1" applyAlignment="1">
      <alignment horizontal="center" vertical="top" wrapText="1"/>
    </xf>
    <xf numFmtId="164" fontId="7" fillId="5" borderId="2" xfId="1" applyFont="1" applyFill="1" applyBorder="1" applyAlignment="1">
      <alignment horizontal="center" vertical="top" wrapText="1"/>
    </xf>
    <xf numFmtId="0" fontId="18" fillId="0" borderId="0" xfId="0" applyFont="1" applyAlignment="1">
      <alignment horizontal="right"/>
    </xf>
    <xf numFmtId="164" fontId="20" fillId="2" borderId="0" xfId="1" applyFont="1" applyFill="1" applyBorder="1"/>
    <xf numFmtId="4" fontId="21" fillId="2" borderId="0" xfId="0" applyNumberFormat="1" applyFont="1" applyFill="1"/>
    <xf numFmtId="4" fontId="21" fillId="2" borderId="0" xfId="0" applyNumberFormat="1" applyFont="1" applyFill="1" applyAlignment="1">
      <alignment horizontal="right"/>
    </xf>
    <xf numFmtId="4" fontId="20" fillId="2" borderId="0" xfId="0" applyNumberFormat="1" applyFont="1" applyFill="1" applyAlignment="1">
      <alignment horizontal="right"/>
    </xf>
    <xf numFmtId="0" fontId="19" fillId="0" borderId="0" xfId="0" applyFont="1" applyAlignment="1">
      <alignment horizontal="right"/>
    </xf>
    <xf numFmtId="4" fontId="20" fillId="2" borderId="0" xfId="0" applyNumberFormat="1" applyFont="1" applyFill="1"/>
    <xf numFmtId="164" fontId="21" fillId="2" borderId="0" xfId="1" applyFont="1" applyFill="1" applyBorder="1" applyAlignment="1">
      <alignment horizontal="right" vertical="top" wrapText="1"/>
    </xf>
    <xf numFmtId="164" fontId="20" fillId="2" borderId="0" xfId="1" applyFont="1" applyFill="1" applyBorder="1" applyAlignment="1">
      <alignment horizontal="right" vertical="top" wrapText="1"/>
    </xf>
    <xf numFmtId="0" fontId="22" fillId="0" borderId="0" xfId="0" applyFont="1"/>
    <xf numFmtId="173" fontId="27" fillId="2" borderId="2" xfId="0" applyNumberFormat="1" applyFont="1" applyFill="1" applyBorder="1" applyAlignment="1">
      <alignment horizontal="right" wrapText="1"/>
    </xf>
    <xf numFmtId="164" fontId="27" fillId="2" borderId="2" xfId="1" applyFont="1" applyFill="1" applyBorder="1" applyAlignment="1">
      <alignment wrapText="1"/>
    </xf>
    <xf numFmtId="164" fontId="27" fillId="2" borderId="2" xfId="1" applyFont="1" applyFill="1" applyBorder="1"/>
    <xf numFmtId="164" fontId="27" fillId="2" borderId="2" xfId="1" applyFont="1" applyFill="1" applyBorder="1" applyAlignment="1"/>
    <xf numFmtId="164" fontId="27" fillId="2" borderId="2" xfId="1" applyFont="1" applyFill="1" applyBorder="1" applyAlignment="1">
      <alignment horizontal="left"/>
    </xf>
    <xf numFmtId="10" fontId="27" fillId="2" borderId="2" xfId="0" applyNumberFormat="1" applyFont="1" applyFill="1" applyBorder="1" applyAlignment="1">
      <alignment horizontal="center"/>
    </xf>
    <xf numFmtId="10" fontId="26" fillId="6" borderId="2" xfId="0" applyNumberFormat="1" applyFont="1" applyFill="1" applyBorder="1" applyAlignment="1">
      <alignment horizontal="center" vertical="center"/>
    </xf>
    <xf numFmtId="10" fontId="27" fillId="6" borderId="2" xfId="0" applyNumberFormat="1" applyFont="1" applyFill="1" applyBorder="1" applyAlignment="1">
      <alignment horizontal="center" vertical="center"/>
    </xf>
    <xf numFmtId="172" fontId="27" fillId="6" borderId="2" xfId="0" applyNumberFormat="1" applyFont="1" applyFill="1" applyBorder="1" applyAlignment="1">
      <alignment horizontal="right" vertical="center"/>
    </xf>
    <xf numFmtId="164" fontId="27" fillId="2" borderId="2" xfId="1" applyFont="1" applyFill="1" applyBorder="1" applyAlignment="1">
      <alignment vertical="center" wrapText="1"/>
    </xf>
    <xf numFmtId="164" fontId="27" fillId="0" borderId="2" xfId="1" applyFont="1" applyBorder="1"/>
    <xf numFmtId="164" fontId="26" fillId="2" borderId="2" xfId="1" applyFont="1" applyFill="1" applyBorder="1" applyAlignment="1">
      <alignment horizontal="left"/>
    </xf>
    <xf numFmtId="10" fontId="26" fillId="2" borderId="2" xfId="0" applyNumberFormat="1" applyFont="1" applyFill="1" applyBorder="1" applyAlignment="1">
      <alignment horizontal="center"/>
    </xf>
    <xf numFmtId="172" fontId="26" fillId="6" borderId="2" xfId="0" applyNumberFormat="1" applyFont="1" applyFill="1" applyBorder="1" applyAlignment="1">
      <alignment horizontal="right" vertical="center"/>
    </xf>
    <xf numFmtId="164" fontId="26" fillId="2" borderId="2" xfId="1" applyFont="1" applyFill="1" applyBorder="1"/>
    <xf numFmtId="164" fontId="27" fillId="0" borderId="2" xfId="1" applyFont="1" applyFill="1" applyBorder="1"/>
    <xf numFmtId="164" fontId="27" fillId="7" borderId="2" xfId="1" applyFont="1" applyFill="1" applyBorder="1"/>
    <xf numFmtId="172" fontId="27" fillId="6" borderId="2" xfId="0" applyNumberFormat="1" applyFont="1" applyFill="1" applyBorder="1" applyAlignment="1">
      <alignment horizontal="center" vertical="center"/>
    </xf>
    <xf numFmtId="164" fontId="27" fillId="2" borderId="2" xfId="1" applyFont="1" applyFill="1" applyBorder="1" applyAlignment="1">
      <alignment vertical="top" wrapText="1"/>
    </xf>
    <xf numFmtId="172" fontId="26" fillId="6" borderId="2" xfId="0" applyNumberFormat="1" applyFont="1" applyFill="1" applyBorder="1" applyAlignment="1">
      <alignment horizontal="center" vertical="center"/>
    </xf>
    <xf numFmtId="164" fontId="27" fillId="2" borderId="2" xfId="1" applyFont="1" applyFill="1" applyBorder="1" applyAlignment="1">
      <alignment horizontal="right"/>
    </xf>
    <xf numFmtId="164" fontId="27" fillId="0" borderId="2" xfId="1" applyFont="1" applyBorder="1" applyAlignment="1">
      <alignment wrapText="1"/>
    </xf>
    <xf numFmtId="49" fontId="27" fillId="2" borderId="2" xfId="0" applyNumberFormat="1" applyFont="1" applyFill="1" applyBorder="1" applyAlignment="1">
      <alignment wrapText="1"/>
    </xf>
    <xf numFmtId="4" fontId="27" fillId="2" borderId="2" xfId="0" applyNumberFormat="1" applyFont="1" applyFill="1" applyBorder="1" applyAlignment="1">
      <alignment wrapText="1"/>
    </xf>
    <xf numFmtId="0" fontId="27" fillId="2" borderId="2" xfId="0" applyFont="1" applyFill="1" applyBorder="1" applyAlignment="1">
      <alignment wrapText="1"/>
    </xf>
    <xf numFmtId="49" fontId="27" fillId="2" borderId="2" xfId="0" applyNumberFormat="1" applyFont="1" applyFill="1" applyBorder="1"/>
    <xf numFmtId="164" fontId="27" fillId="0" borderId="2" xfId="1" applyFont="1" applyFill="1" applyBorder="1" applyAlignment="1">
      <alignment horizontal="right"/>
    </xf>
    <xf numFmtId="164" fontId="27" fillId="0" borderId="2" xfId="1" applyFont="1" applyBorder="1" applyAlignment="1"/>
    <xf numFmtId="164" fontId="26" fillId="2" borderId="2" xfId="1" applyFont="1" applyFill="1" applyBorder="1" applyAlignment="1"/>
    <xf numFmtId="164" fontId="27" fillId="2" borderId="2" xfId="1" applyFont="1" applyFill="1" applyBorder="1" applyAlignment="1">
      <alignment horizontal="left" vertical="top" wrapText="1"/>
    </xf>
    <xf numFmtId="164" fontId="27" fillId="2" borderId="2" xfId="1" applyFont="1" applyFill="1" applyBorder="1" applyAlignment="1">
      <alignment horizontal="right" vertical="top" wrapText="1"/>
    </xf>
    <xf numFmtId="164" fontId="27" fillId="2" borderId="2" xfId="1" applyFont="1" applyFill="1" applyBorder="1" applyAlignment="1">
      <alignment horizontal="center" vertical="top" wrapText="1"/>
    </xf>
    <xf numFmtId="164" fontId="27" fillId="0" borderId="2" xfId="1" applyFont="1" applyFill="1" applyBorder="1" applyAlignment="1">
      <alignment horizontal="right" vertical="top" wrapText="1"/>
    </xf>
    <xf numFmtId="164" fontId="26" fillId="2" borderId="2" xfId="1" applyFont="1" applyFill="1" applyBorder="1" applyAlignment="1">
      <alignment wrapText="1"/>
    </xf>
    <xf numFmtId="10" fontId="26" fillId="6" borderId="2" xfId="0" applyNumberFormat="1" applyFont="1" applyFill="1" applyBorder="1" applyAlignment="1">
      <alignment horizontal="right" vertical="center"/>
    </xf>
    <xf numFmtId="173" fontId="27" fillId="2" borderId="2" xfId="0" applyNumberFormat="1" applyFont="1" applyFill="1" applyBorder="1" applyAlignment="1">
      <alignment horizontal="center" wrapText="1"/>
    </xf>
    <xf numFmtId="164" fontId="27" fillId="2" borderId="2" xfId="1" applyFont="1" applyFill="1" applyBorder="1" applyAlignment="1">
      <alignment horizontal="right" wrapText="1"/>
    </xf>
    <xf numFmtId="0" fontId="27" fillId="2" borderId="2" xfId="0" applyFont="1" applyFill="1" applyBorder="1" applyAlignment="1">
      <alignment horizontal="right" wrapText="1"/>
    </xf>
    <xf numFmtId="2" fontId="27" fillId="2" borderId="2" xfId="0" applyNumberFormat="1" applyFont="1" applyFill="1" applyBorder="1"/>
    <xf numFmtId="2" fontId="27" fillId="2" borderId="2" xfId="0" applyNumberFormat="1" applyFont="1" applyFill="1" applyBorder="1" applyAlignment="1">
      <alignment wrapText="1"/>
    </xf>
    <xf numFmtId="164" fontId="27" fillId="0" borderId="2" xfId="1" applyFont="1" applyFill="1" applyBorder="1" applyAlignment="1" applyProtection="1"/>
    <xf numFmtId="2" fontId="27" fillId="2" borderId="2" xfId="463" applyNumberFormat="1" applyFont="1" applyFill="1" applyBorder="1" applyAlignment="1">
      <alignment wrapText="1"/>
    </xf>
    <xf numFmtId="172" fontId="27" fillId="2" borderId="2" xfId="0" applyNumberFormat="1" applyFont="1" applyFill="1" applyBorder="1" applyAlignment="1">
      <alignment horizontal="right"/>
    </xf>
    <xf numFmtId="171" fontId="27" fillId="0" borderId="2" xfId="0" applyNumberFormat="1" applyFont="1" applyBorder="1"/>
    <xf numFmtId="172" fontId="27" fillId="2" borderId="2" xfId="0" applyNumberFormat="1" applyFont="1" applyFill="1" applyBorder="1"/>
    <xf numFmtId="174" fontId="27" fillId="0" borderId="2" xfId="0" applyNumberFormat="1" applyFont="1" applyBorder="1"/>
    <xf numFmtId="173" fontId="27" fillId="2" borderId="2" xfId="0" applyNumberFormat="1" applyFont="1" applyFill="1" applyBorder="1"/>
    <xf numFmtId="164" fontId="26" fillId="5" borderId="2" xfId="1" applyFont="1" applyFill="1" applyBorder="1"/>
    <xf numFmtId="10" fontId="26" fillId="5" borderId="2" xfId="0" applyNumberFormat="1" applyFont="1" applyFill="1" applyBorder="1"/>
    <xf numFmtId="10" fontId="26" fillId="5" borderId="2" xfId="0" applyNumberFormat="1" applyFont="1" applyFill="1" applyBorder="1" applyAlignment="1">
      <alignment horizontal="right" vertical="center"/>
    </xf>
    <xf numFmtId="172" fontId="26" fillId="5" borderId="2" xfId="0" applyNumberFormat="1" applyFont="1" applyFill="1" applyBorder="1" applyAlignment="1">
      <alignment horizontal="right" vertical="center"/>
    </xf>
    <xf numFmtId="164" fontId="26" fillId="2" borderId="2" xfId="1" applyFont="1" applyFill="1" applyBorder="1" applyAlignment="1">
      <alignment horizontal="right"/>
    </xf>
    <xf numFmtId="164" fontId="28" fillId="2" borderId="0" xfId="1" applyFont="1" applyFill="1"/>
    <xf numFmtId="164" fontId="28" fillId="2" borderId="0" xfId="1" applyFont="1" applyFill="1" applyBorder="1" applyAlignment="1"/>
    <xf numFmtId="0" fontId="24" fillId="9" borderId="0" xfId="0" applyFont="1" applyFill="1" applyAlignment="1">
      <alignment horizontal="left"/>
    </xf>
    <xf numFmtId="0" fontId="24" fillId="2" borderId="0" xfId="0" applyFont="1" applyFill="1" applyAlignment="1">
      <alignment horizontal="left"/>
    </xf>
    <xf numFmtId="49" fontId="26" fillId="2" borderId="2" xfId="0" applyNumberFormat="1" applyFont="1" applyFill="1" applyBorder="1" applyAlignment="1">
      <alignment horizontal="right"/>
    </xf>
    <xf numFmtId="10" fontId="26" fillId="2" borderId="2" xfId="0" applyNumberFormat="1" applyFont="1" applyFill="1" applyBorder="1"/>
    <xf numFmtId="10" fontId="26" fillId="2" borderId="2" xfId="0" applyNumberFormat="1" applyFont="1" applyFill="1" applyBorder="1" applyAlignment="1">
      <alignment horizontal="right" vertical="center"/>
    </xf>
    <xf numFmtId="172" fontId="26" fillId="2" borderId="2" xfId="0" applyNumberFormat="1" applyFont="1" applyFill="1" applyBorder="1" applyAlignment="1">
      <alignment horizontal="right" vertical="center"/>
    </xf>
    <xf numFmtId="164" fontId="7" fillId="15" borderId="2" xfId="1" applyFont="1" applyFill="1" applyBorder="1"/>
    <xf numFmtId="0" fontId="25" fillId="15" borderId="2" xfId="0" applyFont="1" applyFill="1" applyBorder="1"/>
    <xf numFmtId="164" fontId="25" fillId="15" borderId="2" xfId="1" applyFont="1" applyFill="1" applyBorder="1"/>
    <xf numFmtId="0" fontId="30" fillId="0" borderId="0" xfId="0" applyFont="1"/>
    <xf numFmtId="164" fontId="30" fillId="0" borderId="0" xfId="1" applyFont="1" applyBorder="1"/>
    <xf numFmtId="4" fontId="30" fillId="2" borderId="0" xfId="0" applyNumberFormat="1" applyFont="1" applyFill="1"/>
    <xf numFmtId="172" fontId="30" fillId="2" borderId="0" xfId="0" applyNumberFormat="1" applyFont="1" applyFill="1"/>
    <xf numFmtId="0" fontId="31" fillId="9" borderId="0" xfId="0" applyFont="1" applyFill="1" applyAlignment="1">
      <alignment horizontal="right" vertical="center"/>
    </xf>
    <xf numFmtId="0" fontId="27" fillId="0" borderId="2" xfId="0" applyFont="1" applyBorder="1" applyAlignment="1">
      <alignment horizontal="right"/>
    </xf>
    <xf numFmtId="0" fontId="33" fillId="0" borderId="0" xfId="0" applyFont="1"/>
    <xf numFmtId="0" fontId="34" fillId="0" borderId="0" xfId="0" applyFont="1" applyAlignment="1">
      <alignment horizontal="right"/>
    </xf>
    <xf numFmtId="16" fontId="34" fillId="2" borderId="0" xfId="0" quotePrefix="1" applyNumberFormat="1" applyFont="1" applyFill="1" applyAlignment="1">
      <alignment horizontal="right" wrapText="1"/>
    </xf>
    <xf numFmtId="0" fontId="34" fillId="0" borderId="0" xfId="0" applyFont="1" applyAlignment="1">
      <alignment horizontal="right" wrapText="1"/>
    </xf>
    <xf numFmtId="2" fontId="33" fillId="0" borderId="0" xfId="0" applyNumberFormat="1" applyFont="1"/>
    <xf numFmtId="43" fontId="33" fillId="0" borderId="0" xfId="200" applyFont="1" applyBorder="1"/>
    <xf numFmtId="164" fontId="33" fillId="0" borderId="0" xfId="1" applyFont="1"/>
    <xf numFmtId="16" fontId="34" fillId="2" borderId="0" xfId="0" applyNumberFormat="1" applyFont="1" applyFill="1"/>
    <xf numFmtId="0" fontId="34" fillId="0" borderId="2" xfId="0" applyFont="1" applyBorder="1" applyAlignment="1">
      <alignment horizontal="right"/>
    </xf>
    <xf numFmtId="16" fontId="34" fillId="2" borderId="2" xfId="0" quotePrefix="1" applyNumberFormat="1" applyFont="1" applyFill="1" applyBorder="1" applyAlignment="1">
      <alignment horizontal="right"/>
    </xf>
    <xf numFmtId="164" fontId="33" fillId="2" borderId="2" xfId="1" applyFont="1" applyFill="1" applyBorder="1" applyAlignment="1">
      <alignment horizontal="right" vertical="top" wrapText="1"/>
    </xf>
    <xf numFmtId="164" fontId="33" fillId="2" borderId="2" xfId="1" applyFont="1" applyFill="1" applyBorder="1"/>
    <xf numFmtId="4" fontId="33" fillId="2" borderId="2" xfId="0" applyNumberFormat="1" applyFont="1" applyFill="1" applyBorder="1"/>
    <xf numFmtId="4" fontId="33" fillId="2" borderId="2" xfId="0" applyNumberFormat="1" applyFont="1" applyFill="1" applyBorder="1" applyAlignment="1">
      <alignment horizontal="right"/>
    </xf>
    <xf numFmtId="0" fontId="35" fillId="0" borderId="1" xfId="0" applyFont="1" applyBorder="1" applyAlignment="1">
      <alignment horizontal="right"/>
    </xf>
    <xf numFmtId="164" fontId="36" fillId="2" borderId="2" xfId="1" applyFont="1" applyFill="1" applyBorder="1"/>
    <xf numFmtId="43" fontId="22" fillId="0" borderId="0" xfId="200" applyFont="1"/>
    <xf numFmtId="4" fontId="36" fillId="2" borderId="2" xfId="0" applyNumberFormat="1" applyFont="1" applyFill="1" applyBorder="1"/>
    <xf numFmtId="4" fontId="36" fillId="2" borderId="2" xfId="0" applyNumberFormat="1" applyFont="1" applyFill="1" applyBorder="1" applyAlignment="1">
      <alignment horizontal="right"/>
    </xf>
    <xf numFmtId="172" fontId="24" fillId="2" borderId="2" xfId="0" applyNumberFormat="1" applyFont="1" applyFill="1" applyBorder="1"/>
    <xf numFmtId="0" fontId="37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4" fontId="37" fillId="2" borderId="1" xfId="0" applyNumberFormat="1" applyFont="1" applyFill="1" applyBorder="1" applyAlignment="1">
      <alignment horizontal="right"/>
    </xf>
    <xf numFmtId="4" fontId="37" fillId="2" borderId="0" xfId="0" applyNumberFormat="1" applyFont="1" applyFill="1" applyAlignment="1">
      <alignment horizontal="right"/>
    </xf>
    <xf numFmtId="0" fontId="38" fillId="0" borderId="1" xfId="0" applyFont="1" applyBorder="1" applyAlignment="1">
      <alignment horizontal="right"/>
    </xf>
    <xf numFmtId="0" fontId="38" fillId="0" borderId="0" xfId="0" applyFont="1" applyAlignment="1">
      <alignment horizontal="right"/>
    </xf>
    <xf numFmtId="171" fontId="39" fillId="0" borderId="0" xfId="200" applyNumberFormat="1" applyFont="1"/>
    <xf numFmtId="174" fontId="39" fillId="0" borderId="0" xfId="1" applyNumberFormat="1" applyFont="1"/>
    <xf numFmtId="49" fontId="23" fillId="4" borderId="2" xfId="0" applyNumberFormat="1" applyFont="1" applyFill="1" applyBorder="1" applyAlignment="1">
      <alignment horizontal="center"/>
    </xf>
    <xf numFmtId="0" fontId="23" fillId="4" borderId="2" xfId="0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top" wrapText="1"/>
    </xf>
    <xf numFmtId="164" fontId="26" fillId="2" borderId="2" xfId="1" applyFont="1" applyFill="1" applyBorder="1" applyAlignment="1">
      <alignment horizontal="right"/>
    </xf>
    <xf numFmtId="173" fontId="26" fillId="2" borderId="2" xfId="0" applyNumberFormat="1" applyFont="1" applyFill="1" applyBorder="1" applyAlignment="1">
      <alignment horizontal="center"/>
    </xf>
    <xf numFmtId="49" fontId="26" fillId="2" borderId="2" xfId="0" applyNumberFormat="1" applyFont="1" applyFill="1" applyBorder="1" applyAlignment="1">
      <alignment horizontal="center" wrapText="1"/>
    </xf>
    <xf numFmtId="172" fontId="32" fillId="2" borderId="2" xfId="0" applyNumberFormat="1" applyFont="1" applyFill="1" applyBorder="1" applyAlignment="1">
      <alignment horizontal="center" wrapText="1"/>
    </xf>
    <xf numFmtId="173" fontId="27" fillId="2" borderId="2" xfId="0" applyNumberFormat="1" applyFont="1" applyFill="1" applyBorder="1" applyAlignment="1">
      <alignment horizontal="center" wrapText="1"/>
    </xf>
    <xf numFmtId="173" fontId="26" fillId="2" borderId="2" xfId="0" applyNumberFormat="1" applyFont="1" applyFill="1" applyBorder="1" applyAlignment="1">
      <alignment horizontal="center" wrapText="1"/>
    </xf>
    <xf numFmtId="164" fontId="7" fillId="15" borderId="2" xfId="1" applyFont="1" applyFill="1" applyBorder="1" applyAlignment="1">
      <alignment horizontal="right"/>
    </xf>
    <xf numFmtId="164" fontId="26" fillId="5" borderId="2" xfId="1" applyFont="1" applyFill="1" applyBorder="1" applyAlignment="1">
      <alignment horizontal="right"/>
    </xf>
    <xf numFmtId="0" fontId="32" fillId="2" borderId="2" xfId="0" applyFont="1" applyFill="1" applyBorder="1" applyAlignment="1">
      <alignment horizontal="center" wrapText="1"/>
    </xf>
    <xf numFmtId="2" fontId="32" fillId="2" borderId="2" xfId="0" applyNumberFormat="1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</cellXfs>
  <cellStyles count="464">
    <cellStyle name="20% - Accent1 2" xfId="2"/>
    <cellStyle name="20% - Accent1 2 2" xfId="3"/>
    <cellStyle name="20% - Accent1 2 3" xfId="4"/>
    <cellStyle name="20% - Accent1 3" xfId="5"/>
    <cellStyle name="20% - Accent1 3 2" xfId="6"/>
    <cellStyle name="20% - Accent1 3 3" xfId="7"/>
    <cellStyle name="20% - Accent1 4" xfId="8"/>
    <cellStyle name="20% - Accent1 4 2" xfId="9"/>
    <cellStyle name="20% - Accent1 5" xfId="10"/>
    <cellStyle name="20% - Accent1 6" xfId="11"/>
    <cellStyle name="20% - Accent2 2" xfId="12"/>
    <cellStyle name="20% - Accent2 2 2" xfId="13"/>
    <cellStyle name="20% - Accent2 2 3" xfId="14"/>
    <cellStyle name="20% - Accent2 3" xfId="15"/>
    <cellStyle name="20% - Accent2 3 2" xfId="16"/>
    <cellStyle name="20% - Accent2 3 3" xfId="17"/>
    <cellStyle name="20% - Accent2 4" xfId="18"/>
    <cellStyle name="20% - Accent2 4 2" xfId="19"/>
    <cellStyle name="20% - Accent2 5" xfId="20"/>
    <cellStyle name="20% - Accent2 6" xfId="21"/>
    <cellStyle name="20% - Accent3 2" xfId="22"/>
    <cellStyle name="20% - Accent3 2 2" xfId="23"/>
    <cellStyle name="20% - Accent3 2 3" xfId="24"/>
    <cellStyle name="20% - Accent3 3" xfId="25"/>
    <cellStyle name="20% - Accent3 3 2" xfId="26"/>
    <cellStyle name="20% - Accent3 3 3" xfId="27"/>
    <cellStyle name="20% - Accent3 4" xfId="28"/>
    <cellStyle name="20% - Accent3 4 2" xfId="29"/>
    <cellStyle name="20% - Accent3 5" xfId="30"/>
    <cellStyle name="20% - Accent3 6" xfId="31"/>
    <cellStyle name="20% - Accent4 2" xfId="32"/>
    <cellStyle name="20% - Accent4 2 2" xfId="33"/>
    <cellStyle name="20% - Accent4 2 3" xfId="34"/>
    <cellStyle name="20% - Accent4 3" xfId="35"/>
    <cellStyle name="20% - Accent4 3 2" xfId="36"/>
    <cellStyle name="20% - Accent4 3 3" xfId="37"/>
    <cellStyle name="20% - Accent4 4" xfId="38"/>
    <cellStyle name="20% - Accent4 4 2" xfId="39"/>
    <cellStyle name="20% - Accent4 5" xfId="40"/>
    <cellStyle name="20% - Accent4 6" xfId="41"/>
    <cellStyle name="20% - Accent5 2" xfId="42"/>
    <cellStyle name="20% - Accent5 2 2" xfId="43"/>
    <cellStyle name="20% - Accent5 2 3" xfId="44"/>
    <cellStyle name="20% - Accent5 3" xfId="45"/>
    <cellStyle name="20% - Accent5 3 2" xfId="46"/>
    <cellStyle name="20% - Accent5 3 3" xfId="47"/>
    <cellStyle name="20% - Accent5 4" xfId="48"/>
    <cellStyle name="20% - Accent5 4 2" xfId="49"/>
    <cellStyle name="20% - Accent5 5" xfId="50"/>
    <cellStyle name="20% - Accent5 6" xfId="51"/>
    <cellStyle name="20% - Accent6 2" xfId="52"/>
    <cellStyle name="20% - Accent6 2 2" xfId="53"/>
    <cellStyle name="20% - Accent6 2 3" xfId="54"/>
    <cellStyle name="20% - Accent6 3" xfId="55"/>
    <cellStyle name="20% - Accent6 3 2" xfId="56"/>
    <cellStyle name="20% - Accent6 3 3" xfId="57"/>
    <cellStyle name="20% - Accent6 4" xfId="58"/>
    <cellStyle name="20% - Accent6 4 2" xfId="59"/>
    <cellStyle name="20% - Accent6 5" xfId="60"/>
    <cellStyle name="20% - Accent6 6" xfId="61"/>
    <cellStyle name="40% - Accent1 2" xfId="62"/>
    <cellStyle name="40% - Accent1 2 2" xfId="63"/>
    <cellStyle name="40% - Accent1 2 3" xfId="64"/>
    <cellStyle name="40% - Accent1 3" xfId="65"/>
    <cellStyle name="40% - Accent1 3 2" xfId="66"/>
    <cellStyle name="40% - Accent1 3 3" xfId="67"/>
    <cellStyle name="40% - Accent1 4" xfId="68"/>
    <cellStyle name="40% - Accent1 4 2" xfId="69"/>
    <cellStyle name="40% - Accent1 5" xfId="70"/>
    <cellStyle name="40% - Accent1 6" xfId="71"/>
    <cellStyle name="40% - Accent2 2" xfId="72"/>
    <cellStyle name="40% - Accent2 2 2" xfId="73"/>
    <cellStyle name="40% - Accent2 2 3" xfId="74"/>
    <cellStyle name="40% - Accent2 3" xfId="75"/>
    <cellStyle name="40% - Accent2 3 2" xfId="76"/>
    <cellStyle name="40% - Accent2 3 3" xfId="77"/>
    <cellStyle name="40% - Accent2 4" xfId="78"/>
    <cellStyle name="40% - Accent2 4 2" xfId="79"/>
    <cellStyle name="40% - Accent2 5" xfId="80"/>
    <cellStyle name="40% - Accent2 6" xfId="81"/>
    <cellStyle name="40% - Accent3 2" xfId="82"/>
    <cellStyle name="40% - Accent3 2 2" xfId="83"/>
    <cellStyle name="40% - Accent3 2 3" xfId="84"/>
    <cellStyle name="40% - Accent3 3" xfId="85"/>
    <cellStyle name="40% - Accent3 3 2" xfId="86"/>
    <cellStyle name="40% - Accent3 3 3" xfId="87"/>
    <cellStyle name="40% - Accent3 4" xfId="88"/>
    <cellStyle name="40% - Accent3 4 2" xfId="89"/>
    <cellStyle name="40% - Accent3 5" xfId="90"/>
    <cellStyle name="40% - Accent3 6" xfId="91"/>
    <cellStyle name="40% - Accent4 2" xfId="92"/>
    <cellStyle name="40% - Accent4 2 2" xfId="93"/>
    <cellStyle name="40% - Accent4 2 3" xfId="94"/>
    <cellStyle name="40% - Accent4 3" xfId="95"/>
    <cellStyle name="40% - Accent4 3 2" xfId="96"/>
    <cellStyle name="40% - Accent4 3 3" xfId="97"/>
    <cellStyle name="40% - Accent4 4" xfId="98"/>
    <cellStyle name="40% - Accent4 4 2" xfId="99"/>
    <cellStyle name="40% - Accent4 5" xfId="100"/>
    <cellStyle name="40% - Accent4 6" xfId="101"/>
    <cellStyle name="40% - Accent5 2" xfId="102"/>
    <cellStyle name="40% - Accent5 2 2" xfId="103"/>
    <cellStyle name="40% - Accent5 2 3" xfId="104"/>
    <cellStyle name="40% - Accent5 3" xfId="105"/>
    <cellStyle name="40% - Accent5 3 2" xfId="106"/>
    <cellStyle name="40% - Accent5 3 3" xfId="107"/>
    <cellStyle name="40% - Accent5 4" xfId="108"/>
    <cellStyle name="40% - Accent5 4 2" xfId="109"/>
    <cellStyle name="40% - Accent5 5" xfId="110"/>
    <cellStyle name="40% - Accent5 6" xfId="111"/>
    <cellStyle name="40% - Accent6 2" xfId="112"/>
    <cellStyle name="40% - Accent6 2 2" xfId="113"/>
    <cellStyle name="40% - Accent6 2 3" xfId="114"/>
    <cellStyle name="40% - Accent6 3" xfId="115"/>
    <cellStyle name="40% - Accent6 3 2" xfId="116"/>
    <cellStyle name="40% - Accent6 3 3" xfId="117"/>
    <cellStyle name="40% - Accent6 4" xfId="118"/>
    <cellStyle name="40% - Accent6 4 2" xfId="119"/>
    <cellStyle name="40% - Accent6 5" xfId="120"/>
    <cellStyle name="40% - Accent6 6" xfId="121"/>
    <cellStyle name="60% - Accent1 2" xfId="122"/>
    <cellStyle name="60% - Accent1 2 2" xfId="123"/>
    <cellStyle name="60% - Accent1 2 3" xfId="124"/>
    <cellStyle name="60% - Accent1 3" xfId="125"/>
    <cellStyle name="60% - Accent1 3 2" xfId="126"/>
    <cellStyle name="60% - Accent1 3 3" xfId="127"/>
    <cellStyle name="60% - Accent1 4" xfId="128"/>
    <cellStyle name="60% - Accent1 4 2" xfId="129"/>
    <cellStyle name="60% - Accent1 5" xfId="130"/>
    <cellStyle name="60% - Accent1 6" xfId="131"/>
    <cellStyle name="60% - Accent2 2" xfId="132"/>
    <cellStyle name="60% - Accent2 2 2" xfId="133"/>
    <cellStyle name="60% - Accent2 2 3" xfId="134"/>
    <cellStyle name="60% - Accent2 3" xfId="135"/>
    <cellStyle name="60% - Accent2 3 2" xfId="136"/>
    <cellStyle name="60% - Accent2 3 3" xfId="137"/>
    <cellStyle name="60% - Accent2 4" xfId="138"/>
    <cellStyle name="60% - Accent2 4 2" xfId="139"/>
    <cellStyle name="60% - Accent2 5" xfId="140"/>
    <cellStyle name="60% - Accent2 6" xfId="141"/>
    <cellStyle name="60% - Accent3 2" xfId="142"/>
    <cellStyle name="60% - Accent3 2 2" xfId="143"/>
    <cellStyle name="60% - Accent3 2 3" xfId="144"/>
    <cellStyle name="60% - Accent3 3" xfId="145"/>
    <cellStyle name="60% - Accent3 3 2" xfId="146"/>
    <cellStyle name="60% - Accent3 3 3" xfId="147"/>
    <cellStyle name="60% - Accent3 4" xfId="148"/>
    <cellStyle name="60% - Accent3 4 2" xfId="149"/>
    <cellStyle name="60% - Accent3 5" xfId="150"/>
    <cellStyle name="60% - Accent3 6" xfId="151"/>
    <cellStyle name="60% - Accent4 2" xfId="152"/>
    <cellStyle name="60% - Accent4 2 2" xfId="153"/>
    <cellStyle name="60% - Accent4 2 3" xfId="154"/>
    <cellStyle name="60% - Accent4 3" xfId="155"/>
    <cellStyle name="60% - Accent4 3 2" xfId="156"/>
    <cellStyle name="60% - Accent4 3 3" xfId="157"/>
    <cellStyle name="60% - Accent4 4" xfId="158"/>
    <cellStyle name="60% - Accent4 4 2" xfId="159"/>
    <cellStyle name="60% - Accent4 5" xfId="160"/>
    <cellStyle name="60% - Accent4 6" xfId="161"/>
    <cellStyle name="60% - Accent5 2" xfId="162"/>
    <cellStyle name="60% - Accent5 2 2" xfId="163"/>
    <cellStyle name="60% - Accent5 2 3" xfId="164"/>
    <cellStyle name="60% - Accent5 3" xfId="165"/>
    <cellStyle name="60% - Accent5 3 2" xfId="166"/>
    <cellStyle name="60% - Accent5 3 3" xfId="167"/>
    <cellStyle name="60% - Accent5 4" xfId="168"/>
    <cellStyle name="60% - Accent5 4 2" xfId="169"/>
    <cellStyle name="60% - Accent5 5" xfId="170"/>
    <cellStyle name="60% - Accent5 6" xfId="171"/>
    <cellStyle name="60% - Accent6 2" xfId="172"/>
    <cellStyle name="60% - Accent6 2 2" xfId="173"/>
    <cellStyle name="60% - Accent6 2 3" xfId="174"/>
    <cellStyle name="60% - Accent6 3" xfId="175"/>
    <cellStyle name="60% - Accent6 3 2" xfId="176"/>
    <cellStyle name="60% - Accent6 3 3" xfId="177"/>
    <cellStyle name="60% - Accent6 4" xfId="178"/>
    <cellStyle name="60% - Accent6 4 2" xfId="179"/>
    <cellStyle name="60% - Accent6 5" xfId="180"/>
    <cellStyle name="60% - Accent6 6" xfId="181"/>
    <cellStyle name="Comma" xfId="1" builtinId="3"/>
    <cellStyle name="Comma 10" xfId="182"/>
    <cellStyle name="Comma 10 13" xfId="183"/>
    <cellStyle name="Comma 11" xfId="184"/>
    <cellStyle name="Comma 12" xfId="185"/>
    <cellStyle name="Comma 12 2" xfId="186"/>
    <cellStyle name="Comma 12 3" xfId="187"/>
    <cellStyle name="Comma 13" xfId="188"/>
    <cellStyle name="Comma 13 2" xfId="189"/>
    <cellStyle name="Comma 13 3" xfId="190"/>
    <cellStyle name="Comma 14" xfId="191"/>
    <cellStyle name="Comma 15" xfId="192"/>
    <cellStyle name="Comma 15 2" xfId="193"/>
    <cellStyle name="Comma 15 3" xfId="194"/>
    <cellStyle name="Comma 16" xfId="195"/>
    <cellStyle name="Comma 16 2" xfId="196"/>
    <cellStyle name="Comma 16 3" xfId="197"/>
    <cellStyle name="Comma 17" xfId="198"/>
    <cellStyle name="Comma 18" xfId="199"/>
    <cellStyle name="Comma 2" xfId="200"/>
    <cellStyle name="Comma 2 10" xfId="201"/>
    <cellStyle name="Comma 2 10 2" xfId="202"/>
    <cellStyle name="Comma 2 11" xfId="203"/>
    <cellStyle name="Comma 2 11 2" xfId="204"/>
    <cellStyle name="Comma 2 12" xfId="205"/>
    <cellStyle name="Comma 2 13" xfId="206"/>
    <cellStyle name="Comma 2 2" xfId="207"/>
    <cellStyle name="Comma 2 2 2" xfId="208"/>
    <cellStyle name="Comma 2 2 2 2" xfId="209"/>
    <cellStyle name="Comma 2 2 2 2 2" xfId="210"/>
    <cellStyle name="Comma 2 2 2 2 3" xfId="211"/>
    <cellStyle name="Comma 2 2 2 3" xfId="212"/>
    <cellStyle name="Comma 2 3" xfId="213"/>
    <cellStyle name="Comma 2 3 2" xfId="214"/>
    <cellStyle name="Comma 2 4" xfId="215"/>
    <cellStyle name="Comma 2 4 2" xfId="216"/>
    <cellStyle name="Comma 2 5" xfId="217"/>
    <cellStyle name="Comma 2 5 2" xfId="218"/>
    <cellStyle name="Comma 2 6" xfId="219"/>
    <cellStyle name="Comma 2 6 2" xfId="220"/>
    <cellStyle name="Comma 2 7" xfId="221"/>
    <cellStyle name="Comma 2 7 2" xfId="222"/>
    <cellStyle name="Comma 2 8" xfId="223"/>
    <cellStyle name="Comma 2 8 2" xfId="224"/>
    <cellStyle name="Comma 2 9" xfId="225"/>
    <cellStyle name="Comma 2 9 2" xfId="226"/>
    <cellStyle name="Comma 3" xfId="227"/>
    <cellStyle name="Comma 3 2" xfId="228"/>
    <cellStyle name="Comma 3 2 2" xfId="229"/>
    <cellStyle name="Comma 3 3" xfId="230"/>
    <cellStyle name="Comma 3 4" xfId="231"/>
    <cellStyle name="Comma 3 4 3" xfId="232"/>
    <cellStyle name="Comma 3 4 4" xfId="233"/>
    <cellStyle name="Comma 4" xfId="234"/>
    <cellStyle name="Comma 4 2" xfId="235"/>
    <cellStyle name="Comma 4 3" xfId="236"/>
    <cellStyle name="Comma 5" xfId="237"/>
    <cellStyle name="Comma 6" xfId="238"/>
    <cellStyle name="Comma 7" xfId="239"/>
    <cellStyle name="Comma 8" xfId="240"/>
    <cellStyle name="Comma 8 2" xfId="241"/>
    <cellStyle name="Comma 9" xfId="242"/>
    <cellStyle name="Neutral 2" xfId="243"/>
    <cellStyle name="Normal" xfId="0" builtinId="0"/>
    <cellStyle name="Normal - Style1" xfId="244"/>
    <cellStyle name="Normal 10" xfId="245"/>
    <cellStyle name="Normal 10 2" xfId="246"/>
    <cellStyle name="Normal 10 3" xfId="247"/>
    <cellStyle name="Normal 11" xfId="248"/>
    <cellStyle name="Normal 11 2" xfId="249"/>
    <cellStyle name="Normal 11 3" xfId="250"/>
    <cellStyle name="Normal 12" xfId="251"/>
    <cellStyle name="Normal 12 2" xfId="252"/>
    <cellStyle name="Normal 12 2 2" xfId="253"/>
    <cellStyle name="Normal 12 2 3" xfId="254"/>
    <cellStyle name="Normal 12 3" xfId="255"/>
    <cellStyle name="Normal 12 4" xfId="256"/>
    <cellStyle name="Normal 13" xfId="257"/>
    <cellStyle name="Normal 13 2" xfId="258"/>
    <cellStyle name="Normal 13 3" xfId="259"/>
    <cellStyle name="Normal 14" xfId="260"/>
    <cellStyle name="Normal 14 2" xfId="261"/>
    <cellStyle name="Normal 15" xfId="262"/>
    <cellStyle name="Normal 15 2" xfId="263"/>
    <cellStyle name="Normal 15 3" xfId="264"/>
    <cellStyle name="Normal 16" xfId="265"/>
    <cellStyle name="Normal 16 2" xfId="266"/>
    <cellStyle name="Normal 16 3" xfId="267"/>
    <cellStyle name="Normal 17" xfId="268"/>
    <cellStyle name="Normal 17 2" xfId="269"/>
    <cellStyle name="Normal 17 3" xfId="270"/>
    <cellStyle name="Normal 18" xfId="271"/>
    <cellStyle name="Normal 18 2" xfId="272"/>
    <cellStyle name="Normal 18 3" xfId="273"/>
    <cellStyle name="Normal 19" xfId="274"/>
    <cellStyle name="Normal 19 2" xfId="275"/>
    <cellStyle name="Normal 19 3" xfId="276"/>
    <cellStyle name="Normal 2" xfId="277"/>
    <cellStyle name="Normal 2 2" xfId="278"/>
    <cellStyle name="Normal 2 2 2" xfId="279"/>
    <cellStyle name="Normal 2 3" xfId="280"/>
    <cellStyle name="Normal 2 4" xfId="281"/>
    <cellStyle name="Normal 2 5" xfId="282"/>
    <cellStyle name="Normal 2 6" xfId="283"/>
    <cellStyle name="Normal 20" xfId="284"/>
    <cellStyle name="Normal 20 2" xfId="285"/>
    <cellStyle name="Normal 20 3" xfId="286"/>
    <cellStyle name="Normal 21" xfId="287"/>
    <cellStyle name="Normal 21 2" xfId="288"/>
    <cellStyle name="Normal 21 3" xfId="289"/>
    <cellStyle name="Normal 22" xfId="290"/>
    <cellStyle name="Normal 22 2" xfId="291"/>
    <cellStyle name="Normal 22 3" xfId="292"/>
    <cellStyle name="Normal 23" xfId="293"/>
    <cellStyle name="Normal 23 2" xfId="294"/>
    <cellStyle name="Normal 23 3" xfId="295"/>
    <cellStyle name="Normal 24" xfId="296"/>
    <cellStyle name="Normal 24 2" xfId="297"/>
    <cellStyle name="Normal 24 3" xfId="298"/>
    <cellStyle name="Normal 25" xfId="299"/>
    <cellStyle name="Normal 25 2" xfId="300"/>
    <cellStyle name="Normal 25 3" xfId="301"/>
    <cellStyle name="Normal 26" xfId="302"/>
    <cellStyle name="Normal 26 2" xfId="303"/>
    <cellStyle name="Normal 26 3" xfId="304"/>
    <cellStyle name="Normal 27" xfId="305"/>
    <cellStyle name="Normal 27 2" xfId="306"/>
    <cellStyle name="Normal 27 2 2" xfId="307"/>
    <cellStyle name="Normal 27 3" xfId="308"/>
    <cellStyle name="Normal 28" xfId="309"/>
    <cellStyle name="Normal 28 2" xfId="310"/>
    <cellStyle name="Normal 29" xfId="311"/>
    <cellStyle name="Normal 29 2" xfId="312"/>
    <cellStyle name="Normal 3" xfId="313"/>
    <cellStyle name="Normal 3 2" xfId="314"/>
    <cellStyle name="Normal 3 2 2" xfId="315"/>
    <cellStyle name="Normal 3 2 3" xfId="316"/>
    <cellStyle name="Normal 3 3" xfId="317"/>
    <cellStyle name="Normal 3 4" xfId="318"/>
    <cellStyle name="Normal 30" xfId="319"/>
    <cellStyle name="Normal 30 2" xfId="320"/>
    <cellStyle name="Normal 31" xfId="321"/>
    <cellStyle name="Normal 31 2" xfId="322"/>
    <cellStyle name="Normal 32" xfId="323"/>
    <cellStyle name="Normal 32 2" xfId="324"/>
    <cellStyle name="Normal 33" xfId="325"/>
    <cellStyle name="Normal 33 2" xfId="326"/>
    <cellStyle name="Normal 34" xfId="327"/>
    <cellStyle name="Normal 34 2" xfId="328"/>
    <cellStyle name="Normal 35" xfId="329"/>
    <cellStyle name="Normal 35 2" xfId="330"/>
    <cellStyle name="Normal 36" xfId="331"/>
    <cellStyle name="Normal 36 2" xfId="332"/>
    <cellStyle name="Normal 37" xfId="333"/>
    <cellStyle name="Normal 37 2" xfId="334"/>
    <cellStyle name="Normal 38" xfId="335"/>
    <cellStyle name="Normal 38 2" xfId="336"/>
    <cellStyle name="Normal 39" xfId="337"/>
    <cellStyle name="Normal 39 2" xfId="338"/>
    <cellStyle name="Normal 4" xfId="339"/>
    <cellStyle name="Normal 4 2" xfId="340"/>
    <cellStyle name="Normal 40" xfId="341"/>
    <cellStyle name="Normal 40 2" xfId="342"/>
    <cellStyle name="Normal 41" xfId="343"/>
    <cellStyle name="Normal 41 2" xfId="344"/>
    <cellStyle name="Normal 42" xfId="345"/>
    <cellStyle name="Normal 42 2" xfId="346"/>
    <cellStyle name="Normal 43" xfId="347"/>
    <cellStyle name="Normal 43 2" xfId="348"/>
    <cellStyle name="Normal 44" xfId="349"/>
    <cellStyle name="Normal 44 2" xfId="350"/>
    <cellStyle name="Normal 45" xfId="351"/>
    <cellStyle name="Normal 45 2" xfId="352"/>
    <cellStyle name="Normal 46" xfId="353"/>
    <cellStyle name="Normal 46 2" xfId="354"/>
    <cellStyle name="Normal 47" xfId="355"/>
    <cellStyle name="Normal 47 2" xfId="356"/>
    <cellStyle name="Normal 48" xfId="357"/>
    <cellStyle name="Normal 48 2" xfId="358"/>
    <cellStyle name="Normal 49" xfId="359"/>
    <cellStyle name="Normal 49 2" xfId="360"/>
    <cellStyle name="Normal 5" xfId="361"/>
    <cellStyle name="Normal 50" xfId="362"/>
    <cellStyle name="Normal 50 2" xfId="363"/>
    <cellStyle name="Normal 51" xfId="364"/>
    <cellStyle name="Normal 51 2" xfId="365"/>
    <cellStyle name="Normal 52" xfId="366"/>
    <cellStyle name="Normal 52 2" xfId="367"/>
    <cellStyle name="Normal 53" xfId="368"/>
    <cellStyle name="Normal 53 2" xfId="369"/>
    <cellStyle name="Normal 54" xfId="370"/>
    <cellStyle name="Normal 54 2" xfId="371"/>
    <cellStyle name="Normal 55" xfId="372"/>
    <cellStyle name="Normal 55 2" xfId="373"/>
    <cellStyle name="Normal 56" xfId="374"/>
    <cellStyle name="Normal 56 2" xfId="375"/>
    <cellStyle name="Normal 57" xfId="376"/>
    <cellStyle name="Normal 57 2" xfId="377"/>
    <cellStyle name="Normal 58" xfId="378"/>
    <cellStyle name="Normal 58 2" xfId="379"/>
    <cellStyle name="Normal 59" xfId="380"/>
    <cellStyle name="Normal 59 2" xfId="381"/>
    <cellStyle name="Normal 6" xfId="382"/>
    <cellStyle name="Normal 6 2" xfId="383"/>
    <cellStyle name="Normal 6 3" xfId="384"/>
    <cellStyle name="Normal 60" xfId="385"/>
    <cellStyle name="Normal 60 2" xfId="386"/>
    <cellStyle name="Normal 61" xfId="387"/>
    <cellStyle name="Normal 61 2" xfId="388"/>
    <cellStyle name="Normal 62" xfId="389"/>
    <cellStyle name="Normal 62 2" xfId="390"/>
    <cellStyle name="Normal 63" xfId="391"/>
    <cellStyle name="Normal 63 2" xfId="392"/>
    <cellStyle name="Normal 64" xfId="393"/>
    <cellStyle name="Normal 64 2" xfId="394"/>
    <cellStyle name="Normal 65" xfId="395"/>
    <cellStyle name="Normal 65 2" xfId="396"/>
    <cellStyle name="Normal 66" xfId="397"/>
    <cellStyle name="Normal 66 2" xfId="398"/>
    <cellStyle name="Normal 67" xfId="399"/>
    <cellStyle name="Normal 67 2" xfId="400"/>
    <cellStyle name="Normal 68" xfId="401"/>
    <cellStyle name="Normal 68 2" xfId="402"/>
    <cellStyle name="Normal 69" xfId="403"/>
    <cellStyle name="Normal 69 2" xfId="404"/>
    <cellStyle name="Normal 7" xfId="405"/>
    <cellStyle name="Normal 7 2" xfId="406"/>
    <cellStyle name="Normal 7 3" xfId="407"/>
    <cellStyle name="Normal 70" xfId="408"/>
    <cellStyle name="Normal 71" xfId="409"/>
    <cellStyle name="Normal 72" xfId="410"/>
    <cellStyle name="Normal 73" xfId="411"/>
    <cellStyle name="Normal 74" xfId="412"/>
    <cellStyle name="Normal 75" xfId="463"/>
    <cellStyle name="Normal 8" xfId="413"/>
    <cellStyle name="Normal 8 2" xfId="414"/>
    <cellStyle name="Normal 8 3" xfId="415"/>
    <cellStyle name="Normal 9" xfId="416"/>
    <cellStyle name="Normal 9 2" xfId="417"/>
    <cellStyle name="Normal 9 3" xfId="418"/>
    <cellStyle name="Note 10" xfId="419"/>
    <cellStyle name="Note 10 2" xfId="420"/>
    <cellStyle name="Note 10 3" xfId="421"/>
    <cellStyle name="Note 11" xfId="422"/>
    <cellStyle name="Note 11 2" xfId="423"/>
    <cellStyle name="Note 11 3" xfId="424"/>
    <cellStyle name="Note 12" xfId="425"/>
    <cellStyle name="Note 12 2" xfId="426"/>
    <cellStyle name="Note 12 3" xfId="427"/>
    <cellStyle name="Note 13" xfId="428"/>
    <cellStyle name="Note 13 2" xfId="429"/>
    <cellStyle name="Note 14" xfId="430"/>
    <cellStyle name="Note 14 2" xfId="431"/>
    <cellStyle name="Note 2" xfId="432"/>
    <cellStyle name="Note 2 2" xfId="433"/>
    <cellStyle name="Note 2 3" xfId="434"/>
    <cellStyle name="Note 3" xfId="435"/>
    <cellStyle name="Note 3 2" xfId="436"/>
    <cellStyle name="Note 3 3" xfId="437"/>
    <cellStyle name="Note 4" xfId="438"/>
    <cellStyle name="Note 4 2" xfId="439"/>
    <cellStyle name="Note 4 3" xfId="440"/>
    <cellStyle name="Note 5" xfId="441"/>
    <cellStyle name="Note 5 2" xfId="442"/>
    <cellStyle name="Note 5 3" xfId="443"/>
    <cellStyle name="Note 6" xfId="444"/>
    <cellStyle name="Note 6 2" xfId="445"/>
    <cellStyle name="Note 6 3" xfId="446"/>
    <cellStyle name="Note 7" xfId="447"/>
    <cellStyle name="Note 7 2" xfId="448"/>
    <cellStyle name="Note 7 3" xfId="449"/>
    <cellStyle name="Note 8" xfId="450"/>
    <cellStyle name="Note 8 2" xfId="451"/>
    <cellStyle name="Note 8 3" xfId="452"/>
    <cellStyle name="Note 9" xfId="453"/>
    <cellStyle name="Note 9 2" xfId="454"/>
    <cellStyle name="Note 9 3" xfId="455"/>
    <cellStyle name="Percent 2" xfId="456"/>
    <cellStyle name="Percent 2 2" xfId="457"/>
    <cellStyle name="Percent 2 2 2" xfId="458"/>
    <cellStyle name="Percent 3" xfId="459"/>
    <cellStyle name="Percent 4" xfId="460"/>
    <cellStyle name="Title 2" xfId="461"/>
    <cellStyle name="Title 3" xfId="462"/>
  </cellStyles>
  <dxfs count="0"/>
  <tableStyles count="0" defaultTableStyle="TableStyleMedium2" defaultPivotStyle="PivotStyleLight16"/>
  <colors>
    <mruColors>
      <color rgb="FF0C6856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894520418539775E-2"/>
          <c:y val="0.12704984405832453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Jul 2025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Comparison'!$B$5:$B$13</c:f>
              <c:numCache>
                <c:formatCode>_-* #,##0.00_-;\-* #,##0.00_-;_-* "-"??_-;_-@_-</c:formatCode>
                <c:ptCount val="9"/>
                <c:pt idx="0" formatCode="0.00">
                  <c:v>66.406113220960009</c:v>
                </c:pt>
                <c:pt idx="1">
                  <c:v>3486.7623653120704</c:v>
                </c:pt>
                <c:pt idx="2" formatCode="0.00">
                  <c:v>219.07189169631997</c:v>
                </c:pt>
                <c:pt idx="3">
                  <c:v>1964.46643918118</c:v>
                </c:pt>
                <c:pt idx="4" formatCode="0.00">
                  <c:v>418.14732028246999</c:v>
                </c:pt>
                <c:pt idx="5" formatCode="0.00">
                  <c:v>75.255158315529997</c:v>
                </c:pt>
                <c:pt idx="6" formatCode="0.00">
                  <c:v>8.4979001396100013</c:v>
                </c:pt>
                <c:pt idx="7" formatCode="0.00">
                  <c:v>64.364207372529989</c:v>
                </c:pt>
                <c:pt idx="8" formatCode="0.00">
                  <c:v>17.932540491500276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6-46ED-89A2-2B50ABB45C22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Aug 2025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Comparison'!$A$5:$A$13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Comparison'!$C$5:$C$13</c:f>
              <c:numCache>
                <c:formatCode>_(* #,##0.00_);_(* \(#,##0.00\);_(* "-"??_);_(@_)</c:formatCode>
                <c:ptCount val="9"/>
                <c:pt idx="0">
                  <c:v>68.756951083019999</c:v>
                </c:pt>
                <c:pt idx="1">
                  <c:v>3758.7482996931194</c:v>
                </c:pt>
                <c:pt idx="2">
                  <c:v>230.15572161177997</c:v>
                </c:pt>
                <c:pt idx="3">
                  <c:v>1991.8866115911712</c:v>
                </c:pt>
                <c:pt idx="4">
                  <c:v>422.11119852865988</c:v>
                </c:pt>
                <c:pt idx="5">
                  <c:v>75.582820293180006</c:v>
                </c:pt>
                <c:pt idx="6">
                  <c:v>8.1968864990100005</c:v>
                </c:pt>
                <c:pt idx="7">
                  <c:v>66.624801821220004</c:v>
                </c:pt>
                <c:pt idx="8" formatCode="0.00">
                  <c:v>18.363298180155798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6-46ED-89A2-2B50ABB45C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430612036398778"/>
          <c:y val="0.16516634114243717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Aug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C18-4D5B-93F2-F392B61358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C18-4D5B-93F2-F392B61358B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C18-4D5B-93F2-F392B61358B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C18-4D5B-93F2-F392B61358BF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C18-4D5B-93F2-F392B61358BF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C18-4D5B-93F2-F392B61358BF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C18-4D5B-93F2-F392B61358BF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C18-4D5B-93F2-F392B61358BF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18-4D5B-93F2-F392B61358BF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C18-4D5B-93F2-F392B61358BF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18-4D5B-93F2-F392B61358BF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C18-4D5B-93F2-F392B61358BF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C18-4D5B-93F2-F392B61358BF}"/>
                </c:ext>
              </c:extLst>
            </c:dLbl>
            <c:dLbl>
              <c:idx val="5"/>
              <c:layout>
                <c:manualLayout>
                  <c:x val="2.5388238053242668E-2"/>
                  <c:y val="-0.161208784369368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C18-4D5B-93F2-F392B61358BF}"/>
                </c:ext>
              </c:extLst>
            </c:dLbl>
            <c:dLbl>
              <c:idx val="6"/>
              <c:layout>
                <c:manualLayout>
                  <c:x val="5.9002403803811089E-2"/>
                  <c:y val="-9.64808486342912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C18-4D5B-93F2-F392B61358BF}"/>
                </c:ext>
              </c:extLst>
            </c:dLbl>
            <c:dLbl>
              <c:idx val="7"/>
              <c:layout>
                <c:manualLayout>
                  <c:x val="8.1276802479596857E-2"/>
                  <c:y val="0.133107630937909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C18-4D5B-93F2-F392B61358BF}"/>
                </c:ext>
              </c:extLst>
            </c:dLbl>
            <c:dLbl>
              <c:idx val="8"/>
              <c:layout>
                <c:manualLayout>
                  <c:x val="-0.23648839643353295"/>
                  <c:y val="-0.283276233181597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C20-40BF-819E-AAAB33D5826D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EQUITY BASED FUNDS</c:v>
                </c:pt>
                <c:pt idx="4">
                  <c:v>BALANCED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_-* #,##0.00_-;\-* #,##0.00_-;_-* "-"??_-;_-@_-</c:formatCode>
                <c:ptCount val="9"/>
                <c:pt idx="0">
                  <c:v>8196886499.0100002</c:v>
                </c:pt>
                <c:pt idx="1">
                  <c:v>18363298180.1558</c:v>
                </c:pt>
                <c:pt idx="2">
                  <c:v>66624801821.220001</c:v>
                </c:pt>
                <c:pt idx="3" formatCode="#,##0.00">
                  <c:v>68756951083.020004</c:v>
                </c:pt>
                <c:pt idx="4" formatCode="#,##0.00">
                  <c:v>75582820293.180008</c:v>
                </c:pt>
                <c:pt idx="5" formatCode="#,##0.00">
                  <c:v>230155721611.77997</c:v>
                </c:pt>
                <c:pt idx="6" formatCode="#,##0.00">
                  <c:v>422111198528.65991</c:v>
                </c:pt>
                <c:pt idx="7" formatCode="#,##0.00">
                  <c:v>1991886611591.1711</c:v>
                </c:pt>
                <c:pt idx="8" formatCode="#,##0.00">
                  <c:v>3758748299693.1196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C18-4D5B-93F2-F392B61358B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Unitholders!$A$6:$A$14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Unitholders!$B$6:$B$14</c:f>
              <c:numCache>
                <c:formatCode>_(* #,##0_);_(* \(#,##0\);_(* "-"??_);_(@_)</c:formatCode>
                <c:ptCount val="9"/>
                <c:pt idx="0">
                  <c:v>56391</c:v>
                </c:pt>
                <c:pt idx="1">
                  <c:v>465039</c:v>
                </c:pt>
                <c:pt idx="2">
                  <c:v>47654</c:v>
                </c:pt>
                <c:pt idx="3">
                  <c:v>23248</c:v>
                </c:pt>
                <c:pt idx="4">
                  <c:v>219551</c:v>
                </c:pt>
                <c:pt idx="5">
                  <c:v>70686</c:v>
                </c:pt>
                <c:pt idx="6">
                  <c:v>12536</c:v>
                </c:pt>
                <c:pt idx="7">
                  <c:v>32231</c:v>
                </c:pt>
                <c:pt idx="8" formatCode="_-* #,##0_-;\-* #,##0_-;_-* &quot;-&quot;??_-;_-@_-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9-4D7C-AC55-08D88FE24A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83820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5"/>
  <sheetViews>
    <sheetView tabSelected="1" view="pageBreakPreview" zoomScale="120" zoomScaleNormal="70" zoomScaleSheetLayoutView="120" workbookViewId="0">
      <pane ySplit="2" topLeftCell="A3" activePane="bottomLeft" state="frozen"/>
      <selection activeCell="S9" sqref="S9"/>
      <selection pane="bottomLeft" activeCell="A3" sqref="A3:V3"/>
    </sheetView>
  </sheetViews>
  <sheetFormatPr defaultColWidth="9" defaultRowHeight="13.8"/>
  <cols>
    <col min="1" max="1" width="6.6640625" style="5" customWidth="1"/>
    <col min="2" max="2" width="51.6640625" style="7" customWidth="1"/>
    <col min="3" max="3" width="54" style="7" customWidth="1"/>
    <col min="4" max="4" width="21.5546875" style="4" customWidth="1"/>
    <col min="5" max="6" width="19.33203125" style="4" customWidth="1"/>
    <col min="7" max="7" width="19.6640625" style="4" customWidth="1"/>
    <col min="8" max="8" width="20" style="4" customWidth="1"/>
    <col min="9" max="9" width="22" style="4" customWidth="1"/>
    <col min="10" max="10" width="9" style="4"/>
    <col min="11" max="11" width="24.5546875" style="4" customWidth="1"/>
    <col min="12" max="12" width="9" style="4"/>
    <col min="13" max="13" width="11.5546875" style="4" customWidth="1"/>
    <col min="14" max="14" width="12.109375" style="4" customWidth="1"/>
    <col min="15" max="15" width="12.5546875" style="4" customWidth="1"/>
    <col min="16" max="16" width="12.33203125" style="4" customWidth="1"/>
    <col min="17" max="17" width="12.6640625" style="4" customWidth="1"/>
    <col min="18" max="18" width="14.44140625" style="4" customWidth="1"/>
    <col min="19" max="19" width="13.33203125" style="4" customWidth="1"/>
    <col min="20" max="20" width="16.44140625" style="4" customWidth="1"/>
    <col min="21" max="22" width="20.109375" style="4" customWidth="1"/>
    <col min="23" max="16384" width="9" style="4"/>
  </cols>
  <sheetData>
    <row r="1" spans="1:23" ht="39.9" customHeight="1">
      <c r="A1" s="117" t="s">
        <v>293</v>
      </c>
      <c r="B1" s="117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5"/>
    </row>
    <row r="2" spans="1:23" ht="48" customHeight="1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9" t="s">
        <v>7</v>
      </c>
      <c r="I2" s="8" t="s">
        <v>301</v>
      </c>
      <c r="J2" s="8" t="s">
        <v>8</v>
      </c>
      <c r="K2" s="8" t="s">
        <v>9</v>
      </c>
      <c r="L2" s="8" t="s">
        <v>8</v>
      </c>
      <c r="M2" s="8" t="s">
        <v>10</v>
      </c>
      <c r="N2" s="8" t="s">
        <v>11</v>
      </c>
      <c r="O2" s="8" t="s">
        <v>12</v>
      </c>
      <c r="P2" s="8" t="s">
        <v>13</v>
      </c>
      <c r="Q2" s="8" t="s">
        <v>14</v>
      </c>
      <c r="R2" s="8" t="s">
        <v>15</v>
      </c>
      <c r="S2" s="8" t="s">
        <v>16</v>
      </c>
      <c r="T2" s="8" t="s">
        <v>17</v>
      </c>
      <c r="U2" s="8" t="s">
        <v>18</v>
      </c>
      <c r="V2" s="8" t="s">
        <v>19</v>
      </c>
    </row>
    <row r="3" spans="1:23" ht="6" customHeight="1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</row>
    <row r="4" spans="1:23" ht="16.5" customHeight="1">
      <c r="A4" s="119" t="s">
        <v>20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</row>
    <row r="5" spans="1:23" ht="15" customHeight="1">
      <c r="A5" s="20">
        <v>1</v>
      </c>
      <c r="B5" s="21" t="s">
        <v>21</v>
      </c>
      <c r="C5" s="21" t="s">
        <v>22</v>
      </c>
      <c r="D5" s="22">
        <v>3438628112.7800002</v>
      </c>
      <c r="E5" s="22">
        <v>16077824.789999999</v>
      </c>
      <c r="F5" s="22">
        <v>1063177638.67</v>
      </c>
      <c r="G5" s="22">
        <v>6329950.9000000004</v>
      </c>
      <c r="H5" s="23">
        <f>(E5+F5)-G5</f>
        <v>1072925512.5600001</v>
      </c>
      <c r="I5" s="24">
        <v>3124403076.1100001</v>
      </c>
      <c r="J5" s="25">
        <f t="shared" ref="J5:J23" si="0">(I5/$I$24)</f>
        <v>4.7049931468114189E-2</v>
      </c>
      <c r="K5" s="24">
        <v>3476242818.52</v>
      </c>
      <c r="L5" s="25">
        <f>(K5/$K$24)</f>
        <v>5.055842011264635E-2</v>
      </c>
      <c r="M5" s="25">
        <f t="shared" ref="M5:M24" si="1">((K5-I5)/I5)</f>
        <v>0.11261022788649076</v>
      </c>
      <c r="N5" s="26">
        <f t="shared" ref="N5" si="2">(G5/K5)</f>
        <v>1.8209173612029088E-3</v>
      </c>
      <c r="O5" s="27">
        <f t="shared" ref="O5" si="3">H5/K5</f>
        <v>0.30864515759482963</v>
      </c>
      <c r="P5" s="28">
        <f t="shared" ref="P5" si="4">K5/V5</f>
        <v>576.604865796431</v>
      </c>
      <c r="Q5" s="28">
        <f t="shared" ref="Q5" si="5">H5/V5</f>
        <v>177.96629967368503</v>
      </c>
      <c r="R5" s="22">
        <v>576.6</v>
      </c>
      <c r="S5" s="22">
        <v>579.21</v>
      </c>
      <c r="T5" s="22">
        <v>1696</v>
      </c>
      <c r="U5" s="22">
        <v>5350577.74</v>
      </c>
      <c r="V5" s="22">
        <v>6028812.8399999999</v>
      </c>
    </row>
    <row r="6" spans="1:23">
      <c r="A6" s="20">
        <v>2</v>
      </c>
      <c r="B6" s="21" t="s">
        <v>23</v>
      </c>
      <c r="C6" s="21" t="s">
        <v>24</v>
      </c>
      <c r="D6" s="22">
        <v>1025790106.64</v>
      </c>
      <c r="E6" s="22">
        <v>11302120.359999999</v>
      </c>
      <c r="F6" s="22">
        <v>0</v>
      </c>
      <c r="G6" s="22">
        <v>1415928.39</v>
      </c>
      <c r="H6" s="23">
        <f t="shared" ref="H6:H23" si="6">(E6+F6)-G6</f>
        <v>9886191.9699999988</v>
      </c>
      <c r="I6" s="24">
        <v>1062707293.15</v>
      </c>
      <c r="J6" s="25">
        <f t="shared" si="0"/>
        <v>1.6003154553165051E-2</v>
      </c>
      <c r="K6" s="24">
        <v>1031897709.16</v>
      </c>
      <c r="L6" s="25">
        <f t="shared" ref="L6:L23" si="7">(K6/$K$24)</f>
        <v>1.5007903825084445E-2</v>
      </c>
      <c r="M6" s="25">
        <f t="shared" ref="M6:M23" si="8">((K6-I6)/I6)</f>
        <v>-2.8991599275353115E-2</v>
      </c>
      <c r="N6" s="26">
        <f t="shared" ref="N6:N23" si="9">(G6/K6)</f>
        <v>1.3721596408549197E-3</v>
      </c>
      <c r="O6" s="27">
        <f t="shared" ref="O6:O23" si="10">H6/K6</f>
        <v>9.5805930008776713E-3</v>
      </c>
      <c r="P6" s="28">
        <f t="shared" ref="P6:P23" si="11">K6/V6</f>
        <v>427.49068807921276</v>
      </c>
      <c r="Q6" s="28">
        <f t="shared" ref="Q6:Q23" si="12">H6/V6</f>
        <v>4.0956142941520852</v>
      </c>
      <c r="R6" s="22">
        <v>389.81</v>
      </c>
      <c r="S6" s="22">
        <v>395.32</v>
      </c>
      <c r="T6" s="22">
        <v>444</v>
      </c>
      <c r="U6" s="22">
        <v>2618894.94</v>
      </c>
      <c r="V6" s="22">
        <v>2413848.39</v>
      </c>
    </row>
    <row r="7" spans="1:23">
      <c r="A7" s="20">
        <v>3</v>
      </c>
      <c r="B7" s="21" t="s">
        <v>25</v>
      </c>
      <c r="C7" s="22" t="s">
        <v>26</v>
      </c>
      <c r="D7" s="22">
        <v>4639404275.4899998</v>
      </c>
      <c r="E7" s="22">
        <v>55741089.509999998</v>
      </c>
      <c r="F7" s="22">
        <v>75728868.040000007</v>
      </c>
      <c r="G7" s="22">
        <v>12255850.039999999</v>
      </c>
      <c r="H7" s="23">
        <f t="shared" si="6"/>
        <v>119214107.51000002</v>
      </c>
      <c r="I7" s="24">
        <v>5689921976</v>
      </c>
      <c r="J7" s="25">
        <f t="shared" si="0"/>
        <v>8.5683707418130722E-2</v>
      </c>
      <c r="K7" s="24">
        <v>5969451260</v>
      </c>
      <c r="L7" s="25">
        <f t="shared" si="7"/>
        <v>8.6819603923278046E-2</v>
      </c>
      <c r="M7" s="25">
        <f t="shared" si="8"/>
        <v>4.9127085604872979E-2</v>
      </c>
      <c r="N7" s="26">
        <f t="shared" si="9"/>
        <v>2.0530949171364871E-3</v>
      </c>
      <c r="O7" s="27">
        <f t="shared" si="10"/>
        <v>1.99706978610962E-2</v>
      </c>
      <c r="P7" s="28">
        <f t="shared" si="11"/>
        <v>47.591579419442411</v>
      </c>
      <c r="Q7" s="28">
        <f t="shared" si="12"/>
        <v>0.95043705331804851</v>
      </c>
      <c r="R7" s="22">
        <v>47.3536</v>
      </c>
      <c r="S7" s="22">
        <v>48.781399999999998</v>
      </c>
      <c r="T7" s="22">
        <v>7316</v>
      </c>
      <c r="U7" s="22">
        <v>119125824</v>
      </c>
      <c r="V7" s="22">
        <v>125430829</v>
      </c>
    </row>
    <row r="8" spans="1:23">
      <c r="A8" s="20">
        <v>4</v>
      </c>
      <c r="B8" s="29" t="s">
        <v>27</v>
      </c>
      <c r="C8" s="29" t="s">
        <v>28</v>
      </c>
      <c r="D8" s="22">
        <v>1018596325.75</v>
      </c>
      <c r="E8" s="22">
        <v>32023471.02</v>
      </c>
      <c r="F8" s="22">
        <v>0</v>
      </c>
      <c r="G8" s="22">
        <v>5051257.21</v>
      </c>
      <c r="H8" s="23">
        <f t="shared" si="6"/>
        <v>26972213.809999999</v>
      </c>
      <c r="I8" s="24">
        <v>1138640895.7</v>
      </c>
      <c r="J8" s="25">
        <f t="shared" si="0"/>
        <v>1.7146627629165422E-2</v>
      </c>
      <c r="K8" s="24">
        <v>1111245120.9400001</v>
      </c>
      <c r="L8" s="25">
        <f t="shared" si="7"/>
        <v>1.6161931316562256E-2</v>
      </c>
      <c r="M8" s="25">
        <f t="shared" si="8"/>
        <v>-2.4060065700659682E-2</v>
      </c>
      <c r="N8" s="26">
        <f t="shared" si="9"/>
        <v>4.5455832514496456E-3</v>
      </c>
      <c r="O8" s="27">
        <f t="shared" si="10"/>
        <v>2.427206500324992E-2</v>
      </c>
      <c r="P8" s="28">
        <f t="shared" si="11"/>
        <v>246.8382230332289</v>
      </c>
      <c r="Q8" s="28">
        <f t="shared" si="12"/>
        <v>5.9912733947492329</v>
      </c>
      <c r="R8" s="22">
        <v>246.8382</v>
      </c>
      <c r="S8" s="22">
        <v>246.8382</v>
      </c>
      <c r="T8" s="22">
        <v>2146</v>
      </c>
      <c r="U8" s="22">
        <v>3839999.26</v>
      </c>
      <c r="V8" s="22">
        <v>4501916.71</v>
      </c>
    </row>
    <row r="9" spans="1:23">
      <c r="A9" s="20">
        <v>5</v>
      </c>
      <c r="B9" s="21" t="s">
        <v>209</v>
      </c>
      <c r="C9" s="22" t="s">
        <v>103</v>
      </c>
      <c r="D9" s="22">
        <v>1812734784.1500001</v>
      </c>
      <c r="E9" s="22">
        <v>9965911.5600000005</v>
      </c>
      <c r="F9" s="22">
        <v>58441140.600000001</v>
      </c>
      <c r="G9" s="22">
        <v>2757745.47</v>
      </c>
      <c r="H9" s="23">
        <f t="shared" si="6"/>
        <v>65649306.689999998</v>
      </c>
      <c r="I9" s="24">
        <v>1530768524.6400001</v>
      </c>
      <c r="J9" s="25">
        <f t="shared" si="0"/>
        <v>2.3051620557079044E-2</v>
      </c>
      <c r="K9" s="24">
        <v>1682845467.49</v>
      </c>
      <c r="L9" s="25">
        <f t="shared" si="7"/>
        <v>2.4475277640773545E-2</v>
      </c>
      <c r="M9" s="25">
        <f t="shared" si="8"/>
        <v>9.9346792413153875E-2</v>
      </c>
      <c r="N9" s="26">
        <f t="shared" si="9"/>
        <v>1.6387395772668519E-3</v>
      </c>
      <c r="O9" s="27">
        <f t="shared" si="10"/>
        <v>3.9010894320509026E-2</v>
      </c>
      <c r="P9" s="28">
        <f t="shared" si="11"/>
        <v>1.5954030142378519</v>
      </c>
      <c r="Q9" s="28">
        <f t="shared" si="12"/>
        <v>6.2238098387054394E-2</v>
      </c>
      <c r="R9" s="22">
        <v>1.5811999999999999</v>
      </c>
      <c r="S9" s="22">
        <v>1.6</v>
      </c>
      <c r="T9" s="22">
        <v>717</v>
      </c>
      <c r="U9" s="22">
        <v>932474830.12</v>
      </c>
      <c r="V9" s="22">
        <v>1054809005.92</v>
      </c>
    </row>
    <row r="10" spans="1:23">
      <c r="A10" s="20">
        <v>6</v>
      </c>
      <c r="B10" s="21" t="s">
        <v>208</v>
      </c>
      <c r="C10" s="21" t="s">
        <v>48</v>
      </c>
      <c r="D10" s="22">
        <v>195886292.93000001</v>
      </c>
      <c r="E10" s="22">
        <v>2576822.2000000002</v>
      </c>
      <c r="F10" s="30">
        <v>0</v>
      </c>
      <c r="G10" s="22">
        <v>452002.36</v>
      </c>
      <c r="H10" s="23">
        <f t="shared" si="6"/>
        <v>2124819.8400000003</v>
      </c>
      <c r="I10" s="30">
        <v>199723777.09999999</v>
      </c>
      <c r="J10" s="25">
        <f t="shared" si="0"/>
        <v>3.007611308848E-3</v>
      </c>
      <c r="K10" s="30">
        <v>202989423.84</v>
      </c>
      <c r="L10" s="25">
        <f t="shared" si="7"/>
        <v>2.9522749430076112E-3</v>
      </c>
      <c r="M10" s="25">
        <f t="shared" si="8"/>
        <v>1.6350816049132338E-2</v>
      </c>
      <c r="N10" s="26">
        <f t="shared" si="9"/>
        <v>2.2267286218629625E-3</v>
      </c>
      <c r="O10" s="27">
        <f t="shared" si="10"/>
        <v>1.046763816461109E-2</v>
      </c>
      <c r="P10" s="28">
        <f t="shared" si="11"/>
        <v>206.08205185412342</v>
      </c>
      <c r="Q10" s="28">
        <f t="shared" si="12"/>
        <v>2.1571923510295843</v>
      </c>
      <c r="R10" s="22">
        <v>206.0821</v>
      </c>
      <c r="S10" s="22">
        <v>206.0821</v>
      </c>
      <c r="T10" s="22">
        <v>127</v>
      </c>
      <c r="U10" s="22">
        <v>961480.57</v>
      </c>
      <c r="V10" s="22">
        <v>984993.22</v>
      </c>
    </row>
    <row r="11" spans="1:23">
      <c r="A11" s="20">
        <v>7</v>
      </c>
      <c r="B11" s="21" t="s">
        <v>29</v>
      </c>
      <c r="C11" s="21" t="s">
        <v>30</v>
      </c>
      <c r="D11" s="22">
        <v>2750956521.5500002</v>
      </c>
      <c r="E11" s="22">
        <v>7010339.8600000003</v>
      </c>
      <c r="F11" s="22">
        <v>9253929.6300000008</v>
      </c>
      <c r="G11" s="22">
        <v>4274897.0599999996</v>
      </c>
      <c r="H11" s="23">
        <f t="shared" si="6"/>
        <v>11989372.430000003</v>
      </c>
      <c r="I11" s="24">
        <v>2168390404.04</v>
      </c>
      <c r="J11" s="25">
        <f t="shared" si="0"/>
        <v>3.2653475694698286E-2</v>
      </c>
      <c r="K11" s="24">
        <v>2579333742.96</v>
      </c>
      <c r="L11" s="25">
        <f t="shared" si="7"/>
        <v>3.751378882181098E-2</v>
      </c>
      <c r="M11" s="25">
        <f t="shared" si="8"/>
        <v>0.18951538346340122</v>
      </c>
      <c r="N11" s="26">
        <f t="shared" si="9"/>
        <v>1.6573648414703402E-3</v>
      </c>
      <c r="O11" s="27">
        <f t="shared" si="10"/>
        <v>4.6482439361418973E-3</v>
      </c>
      <c r="P11" s="28">
        <f t="shared" si="11"/>
        <v>490.38062962497764</v>
      </c>
      <c r="Q11" s="28">
        <f t="shared" si="12"/>
        <v>2.2794087880557479</v>
      </c>
      <c r="R11" s="22">
        <v>490.38</v>
      </c>
      <c r="S11" s="22">
        <v>497.24</v>
      </c>
      <c r="T11" s="22">
        <v>1770</v>
      </c>
      <c r="U11" s="22">
        <v>4509860.17</v>
      </c>
      <c r="V11" s="22">
        <v>5259860.58</v>
      </c>
    </row>
    <row r="12" spans="1:23">
      <c r="A12" s="20">
        <v>8</v>
      </c>
      <c r="B12" s="21" t="s">
        <v>31</v>
      </c>
      <c r="C12" s="22" t="s">
        <v>32</v>
      </c>
      <c r="D12" s="22">
        <v>516992749.05000001</v>
      </c>
      <c r="E12" s="22">
        <v>3009006.69</v>
      </c>
      <c r="F12" s="22">
        <v>27315082.199999999</v>
      </c>
      <c r="G12" s="22">
        <v>1715184.16</v>
      </c>
      <c r="H12" s="23">
        <f t="shared" si="6"/>
        <v>28608904.73</v>
      </c>
      <c r="I12" s="24">
        <v>517878485.98000002</v>
      </c>
      <c r="J12" s="25">
        <f t="shared" si="0"/>
        <v>7.7986567931902411E-3</v>
      </c>
      <c r="K12" s="24">
        <v>495732873.20999998</v>
      </c>
      <c r="L12" s="25">
        <f t="shared" si="7"/>
        <v>7.2099310019059963E-3</v>
      </c>
      <c r="M12" s="25">
        <f t="shared" si="8"/>
        <v>-4.2762179487130278E-2</v>
      </c>
      <c r="N12" s="26">
        <f t="shared" si="9"/>
        <v>3.4598959493925309E-3</v>
      </c>
      <c r="O12" s="27">
        <f t="shared" si="10"/>
        <v>5.7710323999193076E-2</v>
      </c>
      <c r="P12" s="28">
        <f t="shared" si="11"/>
        <v>247.04759734360462</v>
      </c>
      <c r="Q12" s="28">
        <f t="shared" si="12"/>
        <v>14.257196885921614</v>
      </c>
      <c r="R12" s="22">
        <v>247.05</v>
      </c>
      <c r="S12" s="22">
        <v>259.19</v>
      </c>
      <c r="T12" s="22">
        <v>2475</v>
      </c>
      <c r="U12" s="22">
        <v>2006629</v>
      </c>
      <c r="V12" s="22">
        <v>2006629</v>
      </c>
    </row>
    <row r="13" spans="1:23">
      <c r="A13" s="20">
        <v>9</v>
      </c>
      <c r="B13" s="21" t="s">
        <v>33</v>
      </c>
      <c r="C13" s="21" t="s">
        <v>34</v>
      </c>
      <c r="D13" s="22">
        <v>26199529.870000001</v>
      </c>
      <c r="E13" s="22">
        <v>1429212.39</v>
      </c>
      <c r="F13" s="22">
        <v>689736.57</v>
      </c>
      <c r="G13" s="22">
        <v>1452445.73</v>
      </c>
      <c r="H13" s="23">
        <f t="shared" si="6"/>
        <v>666503.23</v>
      </c>
      <c r="I13" s="24">
        <v>76892004.540000007</v>
      </c>
      <c r="J13" s="25">
        <f t="shared" si="0"/>
        <v>1.1579055121649598E-3</v>
      </c>
      <c r="K13" s="24">
        <v>87030247.450000003</v>
      </c>
      <c r="L13" s="25">
        <f t="shared" si="7"/>
        <v>1.2657665309346842E-3</v>
      </c>
      <c r="M13" s="25">
        <f t="shared" si="8"/>
        <v>0.13185041761690552</v>
      </c>
      <c r="N13" s="26">
        <f t="shared" si="9"/>
        <v>1.6688976218692801E-2</v>
      </c>
      <c r="O13" s="27">
        <f t="shared" si="10"/>
        <v>7.6582940934749686E-3</v>
      </c>
      <c r="P13" s="28">
        <f t="shared" si="11"/>
        <v>312.80182279954715</v>
      </c>
      <c r="Q13" s="28">
        <f t="shared" si="12"/>
        <v>2.3955283519739758</v>
      </c>
      <c r="R13" s="22">
        <v>315.08999999999997</v>
      </c>
      <c r="S13" s="22">
        <v>316.61</v>
      </c>
      <c r="T13" s="22">
        <v>18</v>
      </c>
      <c r="U13" s="22">
        <v>278228.07</v>
      </c>
      <c r="V13" s="22">
        <v>278228.07</v>
      </c>
      <c r="W13" s="6"/>
    </row>
    <row r="14" spans="1:23">
      <c r="A14" s="20">
        <v>10</v>
      </c>
      <c r="B14" s="22" t="s">
        <v>35</v>
      </c>
      <c r="C14" s="22" t="s">
        <v>36</v>
      </c>
      <c r="D14" s="22">
        <v>1889754250.3900001</v>
      </c>
      <c r="E14" s="22">
        <v>9383670.3300000001</v>
      </c>
      <c r="F14" s="22">
        <v>56920924.490000002</v>
      </c>
      <c r="G14" s="22">
        <v>3394886.52</v>
      </c>
      <c r="H14" s="23">
        <f t="shared" si="6"/>
        <v>62909708.299999997</v>
      </c>
      <c r="I14" s="24">
        <v>1769451112.8199999</v>
      </c>
      <c r="J14" s="25">
        <f t="shared" si="0"/>
        <v>2.664590693528953E-2</v>
      </c>
      <c r="K14" s="24">
        <v>1865249141.21</v>
      </c>
      <c r="L14" s="25">
        <f t="shared" si="7"/>
        <v>2.7128153762342087E-2</v>
      </c>
      <c r="M14" s="25">
        <f t="shared" si="8"/>
        <v>5.413996899712329E-2</v>
      </c>
      <c r="N14" s="26">
        <f t="shared" si="9"/>
        <v>1.820071348644457E-3</v>
      </c>
      <c r="O14" s="27">
        <f t="shared" si="10"/>
        <v>3.372724153042099E-2</v>
      </c>
      <c r="P14" s="28">
        <f t="shared" si="11"/>
        <v>3.5825308849488287</v>
      </c>
      <c r="Q14" s="28">
        <f t="shared" si="12"/>
        <v>0.12082888444686199</v>
      </c>
      <c r="R14" s="22">
        <v>3.61</v>
      </c>
      <c r="S14" s="22">
        <v>3.64</v>
      </c>
      <c r="T14" s="22">
        <v>1074</v>
      </c>
      <c r="U14" s="22">
        <v>467414766.07999998</v>
      </c>
      <c r="V14" s="22">
        <v>520651238.22000003</v>
      </c>
    </row>
    <row r="15" spans="1:23">
      <c r="A15" s="20">
        <v>11</v>
      </c>
      <c r="B15" s="21" t="s">
        <v>253</v>
      </c>
      <c r="C15" s="21" t="s">
        <v>275</v>
      </c>
      <c r="D15" s="22">
        <v>63388634.140000001</v>
      </c>
      <c r="E15" s="22">
        <v>6889905.5199999996</v>
      </c>
      <c r="F15" s="22">
        <v>5320213.4800000004</v>
      </c>
      <c r="G15" s="22">
        <v>214687.08</v>
      </c>
      <c r="H15" s="23">
        <f t="shared" si="6"/>
        <v>11995431.92</v>
      </c>
      <c r="I15" s="24">
        <v>56671387.420000002</v>
      </c>
      <c r="J15" s="25">
        <f t="shared" si="0"/>
        <v>8.5340618011223407E-4</v>
      </c>
      <c r="K15" s="24">
        <v>72223492.680000007</v>
      </c>
      <c r="L15" s="25">
        <f t="shared" si="7"/>
        <v>1.0504173257012859E-3</v>
      </c>
      <c r="M15" s="25">
        <f t="shared" si="8"/>
        <v>0.27442605462860936</v>
      </c>
      <c r="N15" s="26">
        <f t="shared" si="9"/>
        <v>2.9725380486819177E-3</v>
      </c>
      <c r="O15" s="27">
        <f t="shared" si="10"/>
        <v>0.16608767417477377</v>
      </c>
      <c r="P15" s="28">
        <f t="shared" si="11"/>
        <v>22.637222570306932</v>
      </c>
      <c r="Q15" s="28">
        <f t="shared" si="12"/>
        <v>3.7597636464789725</v>
      </c>
      <c r="R15" s="22">
        <v>22.6372</v>
      </c>
      <c r="S15" s="22">
        <v>23.039100000000001</v>
      </c>
      <c r="T15" s="22">
        <v>55</v>
      </c>
      <c r="U15" s="30">
        <v>2504616</v>
      </c>
      <c r="V15" s="30">
        <v>3190475</v>
      </c>
    </row>
    <row r="16" spans="1:23">
      <c r="A16" s="20">
        <v>12</v>
      </c>
      <c r="B16" s="21" t="s">
        <v>37</v>
      </c>
      <c r="C16" s="22" t="s">
        <v>38</v>
      </c>
      <c r="D16" s="22">
        <v>2586704312.4699998</v>
      </c>
      <c r="E16" s="22">
        <v>19274610.800000001</v>
      </c>
      <c r="F16" s="22">
        <v>0</v>
      </c>
      <c r="G16" s="22">
        <v>4756110.59</v>
      </c>
      <c r="H16" s="23">
        <f t="shared" si="6"/>
        <v>14518500.210000001</v>
      </c>
      <c r="I16" s="24">
        <v>2698978007.4200001</v>
      </c>
      <c r="J16" s="25">
        <f t="shared" si="0"/>
        <v>4.064351723823089E-2</v>
      </c>
      <c r="K16" s="24">
        <v>2570855787.1199999</v>
      </c>
      <c r="L16" s="25">
        <f t="shared" si="7"/>
        <v>3.7390485567282375E-2</v>
      </c>
      <c r="M16" s="25">
        <f t="shared" si="8"/>
        <v>-4.7470642572028383E-2</v>
      </c>
      <c r="N16" s="26">
        <f t="shared" si="9"/>
        <v>1.8500106516390912E-3</v>
      </c>
      <c r="O16" s="27">
        <f t="shared" si="10"/>
        <v>5.6473413572001039E-3</v>
      </c>
      <c r="P16" s="28">
        <f t="shared" si="11"/>
        <v>5.2761656439860651</v>
      </c>
      <c r="Q16" s="28">
        <f t="shared" si="12"/>
        <v>2.9796308448720821E-2</v>
      </c>
      <c r="R16" s="22">
        <v>5.2</v>
      </c>
      <c r="S16" s="22">
        <v>5.32</v>
      </c>
      <c r="T16" s="22">
        <v>3658</v>
      </c>
      <c r="U16" s="22">
        <v>484346461</v>
      </c>
      <c r="V16" s="22">
        <v>487258354</v>
      </c>
    </row>
    <row r="17" spans="1:23">
      <c r="A17" s="20">
        <v>13</v>
      </c>
      <c r="B17" s="21" t="s">
        <v>39</v>
      </c>
      <c r="C17" s="21" t="s">
        <v>40</v>
      </c>
      <c r="D17" s="22">
        <v>1927741050.28</v>
      </c>
      <c r="E17" s="22">
        <v>10689863.24</v>
      </c>
      <c r="F17" s="22">
        <v>69184035.879999995</v>
      </c>
      <c r="G17" s="22">
        <v>2683934.6800000002</v>
      </c>
      <c r="H17" s="23">
        <f t="shared" si="6"/>
        <v>77189964.439999983</v>
      </c>
      <c r="I17" s="24">
        <v>1667429588.6500001</v>
      </c>
      <c r="J17" s="25">
        <f t="shared" si="0"/>
        <v>2.510957964219028E-2</v>
      </c>
      <c r="K17" s="24">
        <v>1948799714.05</v>
      </c>
      <c r="L17" s="25">
        <f t="shared" si="7"/>
        <v>2.834331196124357E-2</v>
      </c>
      <c r="M17" s="25">
        <f t="shared" si="8"/>
        <v>0.16874483175496804</v>
      </c>
      <c r="N17" s="26">
        <f t="shared" si="9"/>
        <v>1.3772244836911644E-3</v>
      </c>
      <c r="O17" s="27">
        <f t="shared" si="10"/>
        <v>3.9608977712534466E-2</v>
      </c>
      <c r="P17" s="28">
        <f t="shared" si="11"/>
        <v>33.004348459372125</v>
      </c>
      <c r="Q17" s="28">
        <f t="shared" si="12"/>
        <v>1.3072685025439916</v>
      </c>
      <c r="R17" s="22">
        <v>32.99</v>
      </c>
      <c r="S17" s="22">
        <v>33.11</v>
      </c>
      <c r="T17" s="22">
        <v>757</v>
      </c>
      <c r="U17" s="22">
        <v>49402542.229999997</v>
      </c>
      <c r="V17" s="22">
        <v>59046756.109999999</v>
      </c>
    </row>
    <row r="18" spans="1:23">
      <c r="A18" s="20">
        <v>14</v>
      </c>
      <c r="B18" s="29" t="s">
        <v>41</v>
      </c>
      <c r="C18" s="29" t="s">
        <v>42</v>
      </c>
      <c r="D18" s="22">
        <v>176373474.68000001</v>
      </c>
      <c r="E18" s="22">
        <v>3523482.36</v>
      </c>
      <c r="F18" s="22">
        <v>88805381.620000005</v>
      </c>
      <c r="G18" s="22">
        <v>318585.05</v>
      </c>
      <c r="H18" s="23">
        <f t="shared" si="6"/>
        <v>92010278.930000007</v>
      </c>
      <c r="I18" s="24">
        <v>185254387.58000001</v>
      </c>
      <c r="J18" s="25">
        <f t="shared" si="0"/>
        <v>2.7897188766881102E-3</v>
      </c>
      <c r="K18" s="24">
        <v>176124773.88</v>
      </c>
      <c r="L18" s="25">
        <f t="shared" si="7"/>
        <v>2.5615559024328989E-3</v>
      </c>
      <c r="M18" s="25">
        <f t="shared" si="8"/>
        <v>-4.9281497832581685E-2</v>
      </c>
      <c r="N18" s="26">
        <f t="shared" si="9"/>
        <v>1.8088599518490409E-3</v>
      </c>
      <c r="O18" s="27">
        <f t="shared" si="10"/>
        <v>0.52241531332037283</v>
      </c>
      <c r="P18" s="28">
        <f t="shared" si="11"/>
        <v>1.9120873741646205</v>
      </c>
      <c r="Q18" s="28">
        <f t="shared" si="12"/>
        <v>0.9989037246701391</v>
      </c>
      <c r="R18" s="22">
        <v>1.94</v>
      </c>
      <c r="S18" s="22">
        <v>2.0099999999999998</v>
      </c>
      <c r="T18" s="22">
        <v>22</v>
      </c>
      <c r="U18" s="22">
        <v>91902911.780000001</v>
      </c>
      <c r="V18" s="22">
        <v>92111258.230000004</v>
      </c>
    </row>
    <row r="19" spans="1:23">
      <c r="A19" s="20">
        <v>15</v>
      </c>
      <c r="B19" s="21" t="s">
        <v>43</v>
      </c>
      <c r="C19" s="21" t="s">
        <v>44</v>
      </c>
      <c r="D19" s="22">
        <v>7925507206.6300001</v>
      </c>
      <c r="E19" s="22">
        <v>40641105.189999998</v>
      </c>
      <c r="F19" s="22">
        <v>429592174.60000002</v>
      </c>
      <c r="G19" s="22">
        <v>15679477.609999999</v>
      </c>
      <c r="H19" s="23">
        <f t="shared" si="6"/>
        <v>454553802.18000001</v>
      </c>
      <c r="I19" s="24">
        <v>8567110435.1099997</v>
      </c>
      <c r="J19" s="25">
        <f t="shared" si="0"/>
        <v>0.12901086992704658</v>
      </c>
      <c r="K19" s="24">
        <v>7899083924.25</v>
      </c>
      <c r="L19" s="25">
        <f t="shared" si="7"/>
        <v>0.11488415061791087</v>
      </c>
      <c r="M19" s="25">
        <f t="shared" si="8"/>
        <v>-7.7975709070151888E-2</v>
      </c>
      <c r="N19" s="26">
        <f t="shared" si="9"/>
        <v>1.9849741767984483E-3</v>
      </c>
      <c r="O19" s="27">
        <f t="shared" si="10"/>
        <v>5.754512884519819E-2</v>
      </c>
      <c r="P19" s="28">
        <f t="shared" si="11"/>
        <v>48.264343525963127</v>
      </c>
      <c r="Q19" s="28">
        <f t="shared" si="12"/>
        <v>2.7773778668304554</v>
      </c>
      <c r="R19" s="22">
        <v>48.26</v>
      </c>
      <c r="S19" s="22">
        <v>48.42</v>
      </c>
      <c r="T19" s="22">
        <v>11868</v>
      </c>
      <c r="U19" s="22">
        <v>168128991</v>
      </c>
      <c r="V19" s="22">
        <v>163662931</v>
      </c>
    </row>
    <row r="20" spans="1:23">
      <c r="A20" s="20">
        <v>16</v>
      </c>
      <c r="B20" s="22" t="s">
        <v>45</v>
      </c>
      <c r="C20" s="21" t="s">
        <v>46</v>
      </c>
      <c r="D20" s="22">
        <v>1470213421.04</v>
      </c>
      <c r="E20" s="22">
        <v>11005131.17</v>
      </c>
      <c r="F20" s="22">
        <v>44541633.539999999</v>
      </c>
      <c r="G20" s="22">
        <v>2187433.1</v>
      </c>
      <c r="H20" s="23">
        <f t="shared" si="6"/>
        <v>53359331.609999999</v>
      </c>
      <c r="I20" s="24">
        <v>1622753328.8699999</v>
      </c>
      <c r="J20" s="25">
        <f t="shared" si="0"/>
        <v>2.4436806344476796E-2</v>
      </c>
      <c r="K20" s="24">
        <v>1490094309</v>
      </c>
      <c r="L20" s="25">
        <f t="shared" si="7"/>
        <v>2.1671907865734159E-2</v>
      </c>
      <c r="M20" s="25">
        <f t="shared" si="8"/>
        <v>-8.1749343852757131E-2</v>
      </c>
      <c r="N20" s="26">
        <f t="shared" si="9"/>
        <v>1.4679829905987515E-3</v>
      </c>
      <c r="O20" s="27">
        <f t="shared" si="10"/>
        <v>3.5809365412454573E-2</v>
      </c>
      <c r="P20" s="28">
        <f t="shared" si="11"/>
        <v>12108.16464436549</v>
      </c>
      <c r="Q20" s="28">
        <f t="shared" si="12"/>
        <v>433.58569222424688</v>
      </c>
      <c r="R20" s="22">
        <v>12008.47</v>
      </c>
      <c r="S20" s="22">
        <v>12176.49</v>
      </c>
      <c r="T20" s="22">
        <v>25</v>
      </c>
      <c r="U20" s="22">
        <v>128513.89</v>
      </c>
      <c r="V20" s="22">
        <v>123065.25</v>
      </c>
    </row>
    <row r="21" spans="1:23">
      <c r="A21" s="20">
        <v>17</v>
      </c>
      <c r="B21" s="21" t="s">
        <v>47</v>
      </c>
      <c r="C21" s="21" t="s">
        <v>46</v>
      </c>
      <c r="D21" s="22">
        <v>22720502757.59</v>
      </c>
      <c r="E21" s="22">
        <v>365869887.58999997</v>
      </c>
      <c r="F21" s="22">
        <v>359419007.06999999</v>
      </c>
      <c r="G21" s="22">
        <v>82937460.629999995</v>
      </c>
      <c r="H21" s="23">
        <f t="shared" si="6"/>
        <v>642351434.02999997</v>
      </c>
      <c r="I21" s="24">
        <v>22047919575.310001</v>
      </c>
      <c r="J21" s="25">
        <f t="shared" si="0"/>
        <v>0.33201641393989817</v>
      </c>
      <c r="K21" s="24">
        <v>23057714020.900002</v>
      </c>
      <c r="L21" s="25">
        <f t="shared" si="7"/>
        <v>0.33535102499031927</v>
      </c>
      <c r="M21" s="25">
        <f t="shared" si="8"/>
        <v>4.5799987710441477E-2</v>
      </c>
      <c r="N21" s="26">
        <f t="shared" si="9"/>
        <v>3.5969507018268907E-3</v>
      </c>
      <c r="O21" s="27">
        <f t="shared" si="10"/>
        <v>2.7858417944110113E-2</v>
      </c>
      <c r="P21" s="28">
        <f t="shared" si="11"/>
        <v>40693.194201933264</v>
      </c>
      <c r="Q21" s="28">
        <f t="shared" si="12"/>
        <v>1133.6480115582954</v>
      </c>
      <c r="R21" s="22">
        <v>40345.22</v>
      </c>
      <c r="S21" s="22">
        <v>40931.68</v>
      </c>
      <c r="T21" s="22">
        <v>18836</v>
      </c>
      <c r="U21" s="22">
        <v>535962.85</v>
      </c>
      <c r="V21" s="22">
        <v>566623.35</v>
      </c>
    </row>
    <row r="22" spans="1:23">
      <c r="A22" s="20">
        <v>18</v>
      </c>
      <c r="B22" s="21" t="s">
        <v>49</v>
      </c>
      <c r="C22" s="21" t="s">
        <v>50</v>
      </c>
      <c r="D22" s="22">
        <v>4849337901</v>
      </c>
      <c r="E22" s="22">
        <v>24371905</v>
      </c>
      <c r="F22" s="22">
        <v>108794896</v>
      </c>
      <c r="G22" s="22">
        <v>9164947</v>
      </c>
      <c r="H22" s="23">
        <f t="shared" ref="H22" si="13">(E22+F22)-G22</f>
        <v>124001854</v>
      </c>
      <c r="I22" s="24">
        <v>5877940003</v>
      </c>
      <c r="J22" s="25">
        <f t="shared" si="0"/>
        <v>8.8515043538863886E-2</v>
      </c>
      <c r="K22" s="24">
        <v>6011548150</v>
      </c>
      <c r="L22" s="25">
        <f t="shared" si="7"/>
        <v>8.7431860420067301E-2</v>
      </c>
      <c r="M22" s="25">
        <f t="shared" si="8"/>
        <v>2.273043735250933E-2</v>
      </c>
      <c r="N22" s="26">
        <f t="shared" si="9"/>
        <v>1.5245568647736774E-3</v>
      </c>
      <c r="O22" s="27">
        <f t="shared" si="10"/>
        <v>2.0627274523285652E-2</v>
      </c>
      <c r="P22" s="28">
        <f t="shared" si="11"/>
        <v>1.8554360230332665</v>
      </c>
      <c r="Q22" s="28">
        <f t="shared" si="12"/>
        <v>3.8272588207500555E-2</v>
      </c>
      <c r="R22" s="22">
        <v>1.86</v>
      </c>
      <c r="S22" s="22">
        <v>1.88</v>
      </c>
      <c r="T22" s="22">
        <v>3329</v>
      </c>
      <c r="U22" s="22">
        <v>3154559042</v>
      </c>
      <c r="V22" s="22">
        <v>3239965202.4499998</v>
      </c>
    </row>
    <row r="23" spans="1:23">
      <c r="A23" s="20">
        <v>19</v>
      </c>
      <c r="B23" s="21" t="s">
        <v>254</v>
      </c>
      <c r="C23" s="21" t="s">
        <v>255</v>
      </c>
      <c r="D23" s="22">
        <v>7024180614</v>
      </c>
      <c r="E23" s="22">
        <v>183891946.86000001</v>
      </c>
      <c r="F23" s="22">
        <v>597057509.38999999</v>
      </c>
      <c r="G23" s="22">
        <v>14795491.199999999</v>
      </c>
      <c r="H23" s="23">
        <f t="shared" si="6"/>
        <v>766153965.04999995</v>
      </c>
      <c r="I23" s="24">
        <v>6403278957.5200005</v>
      </c>
      <c r="J23" s="25">
        <f t="shared" si="0"/>
        <v>9.6426046442647545E-2</v>
      </c>
      <c r="K23" s="24">
        <v>7028489106.3599997</v>
      </c>
      <c r="L23" s="25">
        <f t="shared" si="7"/>
        <v>0.10222223347096222</v>
      </c>
      <c r="M23" s="25">
        <f t="shared" si="8"/>
        <v>9.763906164134134E-2</v>
      </c>
      <c r="N23" s="26">
        <f t="shared" si="9"/>
        <v>2.1050742166779097E-3</v>
      </c>
      <c r="O23" s="27">
        <f t="shared" si="10"/>
        <v>0.10900692217858259</v>
      </c>
      <c r="P23" s="28">
        <f t="shared" si="11"/>
        <v>204.26818448446389</v>
      </c>
      <c r="Q23" s="28">
        <f t="shared" si="12"/>
        <v>22.266646089658309</v>
      </c>
      <c r="R23" s="22">
        <v>202.28</v>
      </c>
      <c r="S23" s="22">
        <v>205.65</v>
      </c>
      <c r="T23" s="22">
        <v>58</v>
      </c>
      <c r="U23" s="22">
        <v>29399514</v>
      </c>
      <c r="V23" s="22">
        <v>34408144</v>
      </c>
    </row>
    <row r="24" spans="1:23">
      <c r="A24" s="120" t="s">
        <v>51</v>
      </c>
      <c r="B24" s="120"/>
      <c r="C24" s="120"/>
      <c r="D24" s="120"/>
      <c r="E24" s="120"/>
      <c r="F24" s="120"/>
      <c r="G24" s="120"/>
      <c r="H24" s="120"/>
      <c r="I24" s="31">
        <f>SUM(I5:I23)</f>
        <v>66406113220.960007</v>
      </c>
      <c r="J24" s="32">
        <f>(I24/$I$234)</f>
        <v>1.0505793774625108E-2</v>
      </c>
      <c r="K24" s="31">
        <f>SUM(K5:K23)</f>
        <v>68756951083.020004</v>
      </c>
      <c r="L24" s="32">
        <f>(K24/$K$234)</f>
        <v>1.0354297296772674E-2</v>
      </c>
      <c r="M24" s="32">
        <f t="shared" si="1"/>
        <v>3.5400925427419745E-2</v>
      </c>
      <c r="N24" s="26"/>
      <c r="O24" s="26"/>
      <c r="P24" s="33"/>
      <c r="Q24" s="33"/>
      <c r="R24" s="34"/>
      <c r="S24" s="34"/>
      <c r="T24" s="34">
        <f>SUM(T5:T23)</f>
        <v>56391</v>
      </c>
      <c r="U24" s="34"/>
      <c r="V24" s="34"/>
    </row>
    <row r="25" spans="1:23" ht="6" customHeight="1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5"/>
    </row>
    <row r="26" spans="1:23">
      <c r="A26" s="119" t="s">
        <v>52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</row>
    <row r="27" spans="1:23" ht="12.9" customHeight="1">
      <c r="A27" s="20">
        <v>20</v>
      </c>
      <c r="B27" s="21" t="s">
        <v>53</v>
      </c>
      <c r="C27" s="21" t="s">
        <v>22</v>
      </c>
      <c r="D27" s="35">
        <v>4785844144.8199997</v>
      </c>
      <c r="E27" s="35">
        <v>70247557.200000003</v>
      </c>
      <c r="F27" s="35">
        <v>0</v>
      </c>
      <c r="G27" s="35">
        <v>8156999.1299999999</v>
      </c>
      <c r="H27" s="23">
        <f>(E27+F27)-G27</f>
        <v>62090558.07</v>
      </c>
      <c r="I27" s="36">
        <v>3864744078.5999999</v>
      </c>
      <c r="J27" s="25">
        <f t="shared" ref="J27:J68" si="14">(I27/$I$69)</f>
        <v>1.1084047817678277E-3</v>
      </c>
      <c r="K27" s="36">
        <v>4653969778.3000002</v>
      </c>
      <c r="L27" s="25">
        <f t="shared" ref="L27" si="15">(K27/$K$69)</f>
        <v>1.2381701053725705E-3</v>
      </c>
      <c r="M27" s="25">
        <f t="shared" ref="M27:M69" si="16">((K27-I27)/I27)</f>
        <v>0.20421163307297094</v>
      </c>
      <c r="N27" s="26">
        <f t="shared" ref="N27" si="17">(G27/K27)</f>
        <v>1.752697056184921E-3</v>
      </c>
      <c r="O27" s="27">
        <f t="shared" ref="O27" si="18">H27/K27</f>
        <v>1.3341418407895293E-2</v>
      </c>
      <c r="P27" s="37">
        <f t="shared" ref="P27" si="19">K27/V27</f>
        <v>100.25237262545308</v>
      </c>
      <c r="Q27" s="37">
        <f t="shared" ref="Q27" si="20">H27/V27</f>
        <v>1.3375088495803977</v>
      </c>
      <c r="R27" s="22">
        <v>100</v>
      </c>
      <c r="S27" s="22">
        <v>100</v>
      </c>
      <c r="T27" s="22">
        <v>870</v>
      </c>
      <c r="U27" s="35">
        <v>38534190</v>
      </c>
      <c r="V27" s="35">
        <v>46422540</v>
      </c>
    </row>
    <row r="28" spans="1:23" ht="15" customHeight="1">
      <c r="A28" s="20">
        <v>21</v>
      </c>
      <c r="B28" s="21" t="s">
        <v>54</v>
      </c>
      <c r="C28" s="21" t="s">
        <v>55</v>
      </c>
      <c r="D28" s="35">
        <v>24787805706.450001</v>
      </c>
      <c r="E28" s="35">
        <v>459626585.18000001</v>
      </c>
      <c r="F28" s="35">
        <v>0</v>
      </c>
      <c r="G28" s="35">
        <v>39891130.299999997</v>
      </c>
      <c r="H28" s="23">
        <f t="shared" ref="H28:H68" si="21">(E28+F28)-G28</f>
        <v>419735454.88</v>
      </c>
      <c r="I28" s="36">
        <v>23482902115.16</v>
      </c>
      <c r="J28" s="25">
        <f t="shared" si="14"/>
        <v>6.7348731157531134E-3</v>
      </c>
      <c r="K28" s="36">
        <v>24898054886.939999</v>
      </c>
      <c r="L28" s="25">
        <f t="shared" ref="L28:L68" si="22">(K28/$K$69)</f>
        <v>6.6240282407238555E-3</v>
      </c>
      <c r="M28" s="25">
        <f t="shared" ref="M28:M68" si="23">((K28-I28)/I28)</f>
        <v>6.0263112490956131E-2</v>
      </c>
      <c r="N28" s="26">
        <f t="shared" ref="N28:N68" si="24">(G28/K28)</f>
        <v>1.6021785830717423E-3</v>
      </c>
      <c r="O28" s="27">
        <f t="shared" ref="O28:O68" si="25">H28/K28</f>
        <v>1.6858162486426506E-2</v>
      </c>
      <c r="P28" s="37">
        <f t="shared" ref="P28:P68" si="26">K28/V28</f>
        <v>103.84594387061487</v>
      </c>
      <c r="Q28" s="37">
        <f t="shared" ref="Q28:Q68" si="27">H28/V28</f>
        <v>1.7506517953271521</v>
      </c>
      <c r="R28" s="22">
        <v>100</v>
      </c>
      <c r="S28" s="22">
        <v>100</v>
      </c>
      <c r="T28" s="22">
        <v>3248</v>
      </c>
      <c r="U28" s="35">
        <v>230396363.63</v>
      </c>
      <c r="V28" s="35">
        <v>239759531.84999999</v>
      </c>
    </row>
    <row r="29" spans="1:23">
      <c r="A29" s="20">
        <v>22</v>
      </c>
      <c r="B29" s="21" t="s">
        <v>56</v>
      </c>
      <c r="C29" s="21" t="s">
        <v>24</v>
      </c>
      <c r="D29" s="35">
        <v>2054225120.3</v>
      </c>
      <c r="E29" s="35">
        <v>37725672.109999999</v>
      </c>
      <c r="F29" s="35">
        <v>0</v>
      </c>
      <c r="G29" s="35">
        <v>2974372.16</v>
      </c>
      <c r="H29" s="23">
        <f t="shared" si="21"/>
        <v>34751299.950000003</v>
      </c>
      <c r="I29" s="36">
        <v>2280384979.9200001</v>
      </c>
      <c r="J29" s="25">
        <f t="shared" si="14"/>
        <v>6.5401215827219194E-4</v>
      </c>
      <c r="K29" s="36">
        <v>2107809836.96</v>
      </c>
      <c r="L29" s="25">
        <f t="shared" si="22"/>
        <v>5.6077440384398462E-4</v>
      </c>
      <c r="M29" s="25">
        <f t="shared" si="23"/>
        <v>-7.5678073868936935E-2</v>
      </c>
      <c r="N29" s="26">
        <f t="shared" si="24"/>
        <v>1.4111197831251248E-3</v>
      </c>
      <c r="O29" s="27">
        <f t="shared" si="25"/>
        <v>1.648692369712073E-2</v>
      </c>
      <c r="P29" s="37">
        <f t="shared" si="26"/>
        <v>156.46003198664121</v>
      </c>
      <c r="Q29" s="37">
        <f t="shared" si="27"/>
        <v>2.5795446090128222</v>
      </c>
      <c r="R29" s="22">
        <v>100</v>
      </c>
      <c r="S29" s="22">
        <v>100</v>
      </c>
      <c r="T29" s="22">
        <v>1708</v>
      </c>
      <c r="U29" s="35">
        <v>15599752.630000001</v>
      </c>
      <c r="V29" s="35">
        <v>13471874</v>
      </c>
    </row>
    <row r="30" spans="1:23">
      <c r="A30" s="20">
        <v>23</v>
      </c>
      <c r="B30" s="21" t="s">
        <v>57</v>
      </c>
      <c r="C30" s="22" t="s">
        <v>58</v>
      </c>
      <c r="D30" s="35">
        <v>108482560164.38</v>
      </c>
      <c r="E30" s="35">
        <v>4582667869.7700005</v>
      </c>
      <c r="F30" s="35">
        <v>0</v>
      </c>
      <c r="G30" s="35">
        <v>545675484</v>
      </c>
      <c r="H30" s="23">
        <f t="shared" si="21"/>
        <v>4036992385.7700005</v>
      </c>
      <c r="I30" s="36">
        <v>242804503454</v>
      </c>
      <c r="J30" s="25">
        <f t="shared" si="14"/>
        <v>6.9636091598765618E-2</v>
      </c>
      <c r="K30" s="36">
        <v>253785148594</v>
      </c>
      <c r="L30" s="25">
        <f t="shared" si="22"/>
        <v>6.7518527009302567E-2</v>
      </c>
      <c r="M30" s="25">
        <f t="shared" si="23"/>
        <v>4.5224223537024773E-2</v>
      </c>
      <c r="N30" s="26">
        <f t="shared" si="24"/>
        <v>2.1501474259747163E-3</v>
      </c>
      <c r="O30" s="27">
        <f t="shared" si="25"/>
        <v>1.5907126197633785E-2</v>
      </c>
      <c r="P30" s="37">
        <f t="shared" si="26"/>
        <v>1</v>
      </c>
      <c r="Q30" s="37">
        <f t="shared" si="27"/>
        <v>1.5907126197633785E-2</v>
      </c>
      <c r="R30" s="22">
        <v>1</v>
      </c>
      <c r="S30" s="22">
        <v>1</v>
      </c>
      <c r="T30" s="22">
        <v>73752</v>
      </c>
      <c r="U30" s="35">
        <v>242804503454</v>
      </c>
      <c r="V30" s="35">
        <v>253785148594</v>
      </c>
    </row>
    <row r="31" spans="1:23">
      <c r="A31" s="20">
        <v>24</v>
      </c>
      <c r="B31" s="21" t="s">
        <v>309</v>
      </c>
      <c r="C31" s="22" t="s">
        <v>101</v>
      </c>
      <c r="D31" s="35">
        <v>580880287.78999996</v>
      </c>
      <c r="E31" s="35">
        <v>22048052.239999998</v>
      </c>
      <c r="F31" s="35">
        <v>0</v>
      </c>
      <c r="G31" s="35">
        <v>4123998.25</v>
      </c>
      <c r="H31" s="23">
        <f t="shared" si="21"/>
        <v>17924053.989999998</v>
      </c>
      <c r="I31" s="36">
        <v>1080196164.1300001</v>
      </c>
      <c r="J31" s="25">
        <f t="shared" si="14"/>
        <v>3.0979919218937681E-4</v>
      </c>
      <c r="K31" s="36">
        <v>1114428136.74</v>
      </c>
      <c r="L31" s="25">
        <f t="shared" si="22"/>
        <v>2.9648916285003352E-4</v>
      </c>
      <c r="M31" s="25">
        <f t="shared" si="23"/>
        <v>3.1690514877518235E-2</v>
      </c>
      <c r="N31" s="26">
        <f t="shared" si="24"/>
        <v>3.7005510844905589E-3</v>
      </c>
      <c r="O31" s="27">
        <f t="shared" si="25"/>
        <v>1.608363374818644E-2</v>
      </c>
      <c r="P31" s="37">
        <f t="shared" si="26"/>
        <v>0.94416670175784634</v>
      </c>
      <c r="Q31" s="37">
        <f t="shared" si="27"/>
        <v>1.518563142830638E-2</v>
      </c>
      <c r="R31" s="22">
        <v>1</v>
      </c>
      <c r="S31" s="22">
        <v>1</v>
      </c>
      <c r="T31" s="22">
        <v>326</v>
      </c>
      <c r="U31" s="35">
        <v>1152421996</v>
      </c>
      <c r="V31" s="35">
        <v>1180329845</v>
      </c>
    </row>
    <row r="32" spans="1:23" ht="15" customHeight="1">
      <c r="A32" s="20">
        <v>25</v>
      </c>
      <c r="B32" s="21" t="s">
        <v>59</v>
      </c>
      <c r="C32" s="21" t="s">
        <v>28</v>
      </c>
      <c r="D32" s="35">
        <v>53845522991.349998</v>
      </c>
      <c r="E32" s="35">
        <v>2435140166.8200002</v>
      </c>
      <c r="F32" s="35">
        <v>0</v>
      </c>
      <c r="G32" s="35">
        <v>199972726.03999999</v>
      </c>
      <c r="H32" s="23">
        <f t="shared" si="21"/>
        <v>2235167440.7800002</v>
      </c>
      <c r="I32" s="36">
        <v>134063486431.32001</v>
      </c>
      <c r="J32" s="25">
        <f t="shared" si="14"/>
        <v>3.8449275398015584E-2</v>
      </c>
      <c r="K32" s="36">
        <v>145469509649.29001</v>
      </c>
      <c r="L32" s="25">
        <f t="shared" si="22"/>
        <v>3.8701583093809916E-2</v>
      </c>
      <c r="M32" s="25">
        <f t="shared" si="23"/>
        <v>8.5079267454477581E-2</v>
      </c>
      <c r="N32" s="26">
        <f t="shared" si="24"/>
        <v>1.3746710669618044E-3</v>
      </c>
      <c r="O32" s="27">
        <f t="shared" si="25"/>
        <v>1.5365195401900561E-2</v>
      </c>
      <c r="P32" s="37">
        <f t="shared" si="26"/>
        <v>1.0309468773186312</v>
      </c>
      <c r="Q32" s="37">
        <f t="shared" si="27"/>
        <v>1.5840700218979976E-2</v>
      </c>
      <c r="R32" s="22">
        <v>1</v>
      </c>
      <c r="S32" s="22">
        <v>1</v>
      </c>
      <c r="T32" s="22">
        <v>35349</v>
      </c>
      <c r="U32" s="35">
        <v>131902312120.03</v>
      </c>
      <c r="V32" s="35">
        <v>141102818049.79001</v>
      </c>
    </row>
    <row r="33" spans="1:22" ht="15" customHeight="1">
      <c r="A33" s="20">
        <v>26</v>
      </c>
      <c r="B33" s="21" t="s">
        <v>266</v>
      </c>
      <c r="C33" s="21" t="s">
        <v>103</v>
      </c>
      <c r="D33" s="35">
        <v>11044872277.690001</v>
      </c>
      <c r="E33" s="35">
        <v>169735501.30000001</v>
      </c>
      <c r="F33" s="35">
        <v>0</v>
      </c>
      <c r="G33" s="35">
        <v>13844618.640000001</v>
      </c>
      <c r="H33" s="23">
        <f t="shared" si="21"/>
        <v>155890882.66000003</v>
      </c>
      <c r="I33" s="36">
        <v>8741856937.3600006</v>
      </c>
      <c r="J33" s="25">
        <f t="shared" si="14"/>
        <v>2.5071559290441039E-3</v>
      </c>
      <c r="K33" s="36">
        <v>10797656548.540001</v>
      </c>
      <c r="L33" s="25">
        <f t="shared" si="22"/>
        <v>2.8726734773439253E-3</v>
      </c>
      <c r="M33" s="25">
        <f t="shared" si="23"/>
        <v>0.23516738216043628</v>
      </c>
      <c r="N33" s="26">
        <f t="shared" si="24"/>
        <v>1.282187350353535E-3</v>
      </c>
      <c r="O33" s="27">
        <f t="shared" si="25"/>
        <v>1.44374737202656E-2</v>
      </c>
      <c r="P33" s="37">
        <f t="shared" si="26"/>
        <v>1.0002229095332582</v>
      </c>
      <c r="Q33" s="37">
        <f t="shared" si="27"/>
        <v>1.4440691970794011E-2</v>
      </c>
      <c r="R33" s="22">
        <v>1</v>
      </c>
      <c r="S33" s="22">
        <v>1</v>
      </c>
      <c r="T33" s="22">
        <v>1121</v>
      </c>
      <c r="U33" s="35">
        <v>8741856937.3600006</v>
      </c>
      <c r="V33" s="35">
        <v>10795250184.360001</v>
      </c>
    </row>
    <row r="34" spans="1:22">
      <c r="A34" s="20">
        <v>27</v>
      </c>
      <c r="B34" s="22" t="s">
        <v>261</v>
      </c>
      <c r="C34" s="22" t="s">
        <v>44</v>
      </c>
      <c r="D34" s="35">
        <v>33494183839.68</v>
      </c>
      <c r="E34" s="35">
        <v>558554530.67999995</v>
      </c>
      <c r="F34" s="35">
        <v>0</v>
      </c>
      <c r="G34" s="35">
        <v>54509879.509999998</v>
      </c>
      <c r="H34" s="23">
        <f t="shared" si="21"/>
        <v>504044651.16999996</v>
      </c>
      <c r="I34" s="36">
        <v>25201548689.25</v>
      </c>
      <c r="J34" s="25">
        <f t="shared" si="14"/>
        <v>7.2277792544644566E-3</v>
      </c>
      <c r="K34" s="36">
        <v>25201548689.25</v>
      </c>
      <c r="L34" s="25">
        <f t="shared" si="22"/>
        <v>6.7047715568790715E-3</v>
      </c>
      <c r="M34" s="25">
        <f t="shared" si="23"/>
        <v>0</v>
      </c>
      <c r="N34" s="26">
        <f t="shared" si="24"/>
        <v>2.1629575301954276E-3</v>
      </c>
      <c r="O34" s="27">
        <f t="shared" si="25"/>
        <v>2.0000542720019655E-2</v>
      </c>
      <c r="P34" s="37">
        <f t="shared" si="26"/>
        <v>77.988103462935882</v>
      </c>
      <c r="Q34" s="37">
        <f t="shared" si="27"/>
        <v>1.5598043949637619</v>
      </c>
      <c r="R34" s="22">
        <v>100</v>
      </c>
      <c r="S34" s="22">
        <v>100</v>
      </c>
      <c r="T34" s="22">
        <v>4870</v>
      </c>
      <c r="U34" s="35">
        <v>301068177.47000003</v>
      </c>
      <c r="V34" s="35">
        <v>323146064.20999998</v>
      </c>
    </row>
    <row r="35" spans="1:22" ht="15" customHeight="1">
      <c r="A35" s="20">
        <v>28</v>
      </c>
      <c r="B35" s="21" t="s">
        <v>215</v>
      </c>
      <c r="C35" s="21" t="s">
        <v>216</v>
      </c>
      <c r="D35" s="35">
        <v>1385089596.5699999</v>
      </c>
      <c r="E35" s="35">
        <v>56369880.710000001</v>
      </c>
      <c r="F35" s="35">
        <v>0</v>
      </c>
      <c r="G35" s="35">
        <v>1723376.67</v>
      </c>
      <c r="H35" s="23">
        <f t="shared" si="21"/>
        <v>54646504.039999999</v>
      </c>
      <c r="I35" s="36">
        <v>1297558731.3499999</v>
      </c>
      <c r="J35" s="25">
        <f t="shared" si="14"/>
        <v>3.7213856162344647E-4</v>
      </c>
      <c r="K35" s="36">
        <v>1326883800.23</v>
      </c>
      <c r="L35" s="25">
        <f t="shared" si="22"/>
        <v>3.5301214511712116E-4</v>
      </c>
      <c r="M35" s="25">
        <f t="shared" si="23"/>
        <v>2.2600186158425264E-2</v>
      </c>
      <c r="N35" s="26">
        <f t="shared" si="24"/>
        <v>1.2988150655703782E-3</v>
      </c>
      <c r="O35" s="27">
        <f t="shared" si="25"/>
        <v>4.1184091651829388E-2</v>
      </c>
      <c r="P35" s="37">
        <f t="shared" si="26"/>
        <v>1.0109662023136257</v>
      </c>
      <c r="Q35" s="37">
        <f t="shared" si="27"/>
        <v>4.1635724732986247E-2</v>
      </c>
      <c r="R35" s="22">
        <v>1</v>
      </c>
      <c r="S35" s="22">
        <v>1</v>
      </c>
      <c r="T35" s="22">
        <v>517</v>
      </c>
      <c r="U35" s="35">
        <v>1281704809.23</v>
      </c>
      <c r="V35" s="35">
        <v>1312490761.01</v>
      </c>
    </row>
    <row r="36" spans="1:22">
      <c r="A36" s="20">
        <v>29</v>
      </c>
      <c r="B36" s="21" t="s">
        <v>231</v>
      </c>
      <c r="C36" s="21" t="s">
        <v>60</v>
      </c>
      <c r="D36" s="35">
        <v>69366820147.699997</v>
      </c>
      <c r="E36" s="35">
        <v>1240355666.99</v>
      </c>
      <c r="F36" s="35">
        <v>0</v>
      </c>
      <c r="G36" s="35">
        <v>109083871.54000001</v>
      </c>
      <c r="H36" s="23">
        <f t="shared" si="21"/>
        <v>1131271795.45</v>
      </c>
      <c r="I36" s="36">
        <v>64683303359.910004</v>
      </c>
      <c r="J36" s="25">
        <f t="shared" si="14"/>
        <v>1.8551107469614081E-2</v>
      </c>
      <c r="K36" s="36">
        <v>67012080706.959999</v>
      </c>
      <c r="L36" s="25">
        <f t="shared" si="22"/>
        <v>1.7828296912679988E-2</v>
      </c>
      <c r="M36" s="25">
        <f t="shared" si="23"/>
        <v>3.6002758456726347E-2</v>
      </c>
      <c r="N36" s="26">
        <f t="shared" si="24"/>
        <v>1.627823974262455E-3</v>
      </c>
      <c r="O36" s="27">
        <f t="shared" si="25"/>
        <v>1.6881609756261517E-2</v>
      </c>
      <c r="P36" s="37">
        <f t="shared" si="26"/>
        <v>99.9999999999403</v>
      </c>
      <c r="Q36" s="37">
        <f t="shared" si="27"/>
        <v>1.6881609756251439</v>
      </c>
      <c r="R36" s="22">
        <v>100</v>
      </c>
      <c r="S36" s="22">
        <v>100</v>
      </c>
      <c r="T36" s="22">
        <v>4963</v>
      </c>
      <c r="U36" s="35">
        <v>646833033.60000002</v>
      </c>
      <c r="V36" s="35">
        <v>670120807.07000005</v>
      </c>
    </row>
    <row r="37" spans="1:22">
      <c r="A37" s="20">
        <v>30</v>
      </c>
      <c r="B37" s="21" t="s">
        <v>61</v>
      </c>
      <c r="C37" s="21" t="s">
        <v>62</v>
      </c>
      <c r="D37" s="35">
        <v>11231856121.1</v>
      </c>
      <c r="E37" s="35">
        <v>481959325.83999997</v>
      </c>
      <c r="F37" s="35">
        <v>0</v>
      </c>
      <c r="G37" s="35">
        <v>30527273.489999998</v>
      </c>
      <c r="H37" s="23">
        <f t="shared" si="21"/>
        <v>451432052.34999996</v>
      </c>
      <c r="I37" s="36">
        <v>27039394000</v>
      </c>
      <c r="J37" s="25">
        <f t="shared" si="14"/>
        <v>7.7548714730319556E-3</v>
      </c>
      <c r="K37" s="36">
        <v>26369828600</v>
      </c>
      <c r="L37" s="25">
        <f t="shared" si="22"/>
        <v>7.0155877695117141E-3</v>
      </c>
      <c r="M37" s="25">
        <f t="shared" si="23"/>
        <v>-2.4762588984057851E-2</v>
      </c>
      <c r="N37" s="26">
        <f t="shared" si="24"/>
        <v>1.1576591548266642E-3</v>
      </c>
      <c r="O37" s="27">
        <f t="shared" si="25"/>
        <v>1.7119263807046512E-2</v>
      </c>
      <c r="P37" s="37">
        <f t="shared" si="26"/>
        <v>100</v>
      </c>
      <c r="Q37" s="37">
        <f t="shared" si="27"/>
        <v>1.7119263807046512</v>
      </c>
      <c r="R37" s="22">
        <v>100</v>
      </c>
      <c r="S37" s="22">
        <v>100</v>
      </c>
      <c r="T37" s="22">
        <f>4935+190+101</f>
        <v>5226</v>
      </c>
      <c r="U37" s="35">
        <v>270393940</v>
      </c>
      <c r="V37" s="35">
        <v>263698286</v>
      </c>
    </row>
    <row r="38" spans="1:22">
      <c r="A38" s="20">
        <v>31</v>
      </c>
      <c r="B38" s="21" t="s">
        <v>63</v>
      </c>
      <c r="C38" s="21" t="s">
        <v>64</v>
      </c>
      <c r="D38" s="35">
        <v>37254966247.279999</v>
      </c>
      <c r="E38" s="35">
        <v>627740674.14999998</v>
      </c>
      <c r="F38" s="35">
        <v>0</v>
      </c>
      <c r="G38" s="35">
        <v>59541304.450000003</v>
      </c>
      <c r="H38" s="23">
        <f t="shared" si="21"/>
        <v>568199369.69999993</v>
      </c>
      <c r="I38" s="36">
        <v>37248799113.68</v>
      </c>
      <c r="J38" s="25">
        <f t="shared" si="14"/>
        <v>1.0682918768496625E-2</v>
      </c>
      <c r="K38" s="36">
        <v>38183707062.849998</v>
      </c>
      <c r="L38" s="25">
        <f t="shared" si="22"/>
        <v>1.0158623035750354E-2</v>
      </c>
      <c r="M38" s="25">
        <f t="shared" si="23"/>
        <v>2.5099009133603013E-2</v>
      </c>
      <c r="N38" s="26">
        <f t="shared" si="24"/>
        <v>1.5593379750162971E-3</v>
      </c>
      <c r="O38" s="27">
        <f t="shared" si="25"/>
        <v>1.4880675906211763E-2</v>
      </c>
      <c r="P38" s="37">
        <f t="shared" si="26"/>
        <v>1</v>
      </c>
      <c r="Q38" s="37">
        <f t="shared" si="27"/>
        <v>1.4880675906211763E-2</v>
      </c>
      <c r="R38" s="22">
        <v>1</v>
      </c>
      <c r="S38" s="22">
        <v>1</v>
      </c>
      <c r="T38" s="22">
        <v>7652</v>
      </c>
      <c r="U38" s="35">
        <v>37242925141.080002</v>
      </c>
      <c r="V38" s="35">
        <v>38183707062.849998</v>
      </c>
    </row>
    <row r="39" spans="1:22">
      <c r="A39" s="20">
        <v>32</v>
      </c>
      <c r="B39" s="21" t="s">
        <v>306</v>
      </c>
      <c r="C39" s="21" t="s">
        <v>110</v>
      </c>
      <c r="D39" s="35">
        <v>228682292.28</v>
      </c>
      <c r="E39" s="35">
        <v>5392435.0099999998</v>
      </c>
      <c r="F39" s="35">
        <v>0</v>
      </c>
      <c r="G39" s="35">
        <v>642977.78</v>
      </c>
      <c r="H39" s="23">
        <f t="shared" si="21"/>
        <v>4749457.2299999995</v>
      </c>
      <c r="I39" s="36">
        <v>0</v>
      </c>
      <c r="J39" s="25">
        <f t="shared" si="14"/>
        <v>0</v>
      </c>
      <c r="K39" s="35">
        <v>409082897.19999999</v>
      </c>
      <c r="L39" s="25">
        <f t="shared" si="22"/>
        <v>1.0883487389496107E-4</v>
      </c>
      <c r="M39" s="25" t="e">
        <f t="shared" si="23"/>
        <v>#DIV/0!</v>
      </c>
      <c r="N39" s="26">
        <f t="shared" si="24"/>
        <v>1.5717542444353258E-3</v>
      </c>
      <c r="O39" s="27">
        <f t="shared" si="25"/>
        <v>1.1610011717693486E-2</v>
      </c>
      <c r="P39" s="37">
        <f t="shared" si="26"/>
        <v>999.80667119624991</v>
      </c>
      <c r="Q39" s="37">
        <f t="shared" si="27"/>
        <v>11.607767168016579</v>
      </c>
      <c r="R39" s="35">
        <v>1000</v>
      </c>
      <c r="S39" s="35">
        <v>1000</v>
      </c>
      <c r="T39" s="35">
        <v>17</v>
      </c>
      <c r="U39" s="35">
        <v>280141</v>
      </c>
      <c r="V39" s="35">
        <v>409162</v>
      </c>
    </row>
    <row r="40" spans="1:22">
      <c r="A40" s="20">
        <v>33</v>
      </c>
      <c r="B40" s="21" t="s">
        <v>65</v>
      </c>
      <c r="C40" s="21" t="s">
        <v>66</v>
      </c>
      <c r="D40" s="35">
        <v>29463634099.810001</v>
      </c>
      <c r="E40" s="35">
        <v>1393762504.3599999</v>
      </c>
      <c r="F40" s="35"/>
      <c r="G40" s="35">
        <v>120350706.95</v>
      </c>
      <c r="H40" s="23">
        <f t="shared" si="21"/>
        <v>1273411797.4099998</v>
      </c>
      <c r="I40" s="36">
        <v>75322713730.369995</v>
      </c>
      <c r="J40" s="25">
        <f t="shared" si="14"/>
        <v>2.16024798476992E-2</v>
      </c>
      <c r="K40" s="36">
        <v>79161506627.479996</v>
      </c>
      <c r="L40" s="25">
        <f t="shared" si="22"/>
        <v>2.106060324229294E-2</v>
      </c>
      <c r="M40" s="25">
        <f t="shared" si="23"/>
        <v>5.0964612226420694E-2</v>
      </c>
      <c r="N40" s="26">
        <f t="shared" si="24"/>
        <v>1.5203185497258038E-3</v>
      </c>
      <c r="O40" s="27">
        <f t="shared" si="25"/>
        <v>1.6086250144308773E-2</v>
      </c>
      <c r="P40" s="37">
        <f t="shared" si="26"/>
        <v>103.2101603325244</v>
      </c>
      <c r="Q40" s="37">
        <f t="shared" si="27"/>
        <v>1.6602644565432019</v>
      </c>
      <c r="R40" s="22">
        <v>100</v>
      </c>
      <c r="S40" s="22">
        <v>100</v>
      </c>
      <c r="T40" s="22">
        <v>7646</v>
      </c>
      <c r="U40" s="35">
        <v>741181164</v>
      </c>
      <c r="V40" s="35">
        <v>766993350</v>
      </c>
    </row>
    <row r="41" spans="1:22">
      <c r="A41" s="20">
        <v>34</v>
      </c>
      <c r="B41" s="21" t="s">
        <v>67</v>
      </c>
      <c r="C41" s="21" t="s">
        <v>66</v>
      </c>
      <c r="D41" s="35">
        <v>3619615050</v>
      </c>
      <c r="E41" s="35">
        <v>185807101.34</v>
      </c>
      <c r="F41" s="35">
        <v>0</v>
      </c>
      <c r="G41" s="35">
        <v>9099550.0199999996</v>
      </c>
      <c r="H41" s="23">
        <f>(E41+F41)-G41</f>
        <v>176707551.31999999</v>
      </c>
      <c r="I41" s="36">
        <v>10555564483.780001</v>
      </c>
      <c r="J41" s="25">
        <f t="shared" si="14"/>
        <v>3.0273254606599099E-3</v>
      </c>
      <c r="K41" s="36">
        <v>10664030999.610001</v>
      </c>
      <c r="L41" s="25">
        <f t="shared" si="22"/>
        <v>2.8371229327807499E-3</v>
      </c>
      <c r="M41" s="25">
        <f t="shared" si="23"/>
        <v>1.0275766492324768E-2</v>
      </c>
      <c r="N41" s="26">
        <f t="shared" si="24"/>
        <v>8.5329365793598909E-4</v>
      </c>
      <c r="O41" s="27">
        <f t="shared" si="25"/>
        <v>1.657042738589774E-2</v>
      </c>
      <c r="P41" s="37">
        <f t="shared" si="26"/>
        <v>1028552.3726475695</v>
      </c>
      <c r="Q41" s="37">
        <f t="shared" si="27"/>
        <v>17043.552403549384</v>
      </c>
      <c r="R41" s="22">
        <v>1000000</v>
      </c>
      <c r="S41" s="22">
        <v>1000000</v>
      </c>
      <c r="T41" s="22">
        <v>71</v>
      </c>
      <c r="U41" s="35">
        <v>10417</v>
      </c>
      <c r="V41" s="35">
        <v>10368</v>
      </c>
    </row>
    <row r="42" spans="1:22">
      <c r="A42" s="20">
        <v>35</v>
      </c>
      <c r="B42" s="22" t="s">
        <v>68</v>
      </c>
      <c r="C42" s="22" t="s">
        <v>69</v>
      </c>
      <c r="D42" s="35">
        <v>6894267842.6599998</v>
      </c>
      <c r="E42" s="35">
        <v>118766770.34</v>
      </c>
      <c r="F42" s="35">
        <v>0</v>
      </c>
      <c r="G42" s="35">
        <v>10516678.210000001</v>
      </c>
      <c r="H42" s="23">
        <f t="shared" si="21"/>
        <v>108250092.13</v>
      </c>
      <c r="I42" s="36">
        <v>5270282493.5900002</v>
      </c>
      <c r="J42" s="25">
        <f t="shared" si="14"/>
        <v>1.5115118099303857E-3</v>
      </c>
      <c r="K42" s="36">
        <v>6643488974.0699997</v>
      </c>
      <c r="L42" s="25">
        <f t="shared" si="22"/>
        <v>1.7674737557213933E-3</v>
      </c>
      <c r="M42" s="25">
        <f t="shared" si="23"/>
        <v>0.26055652275758784</v>
      </c>
      <c r="N42" s="26">
        <f t="shared" si="24"/>
        <v>1.5830052930090391E-3</v>
      </c>
      <c r="O42" s="27">
        <f t="shared" si="25"/>
        <v>1.6294162984616615E-2</v>
      </c>
      <c r="P42" s="37">
        <f t="shared" si="26"/>
        <v>0.97790722050481904</v>
      </c>
      <c r="Q42" s="37">
        <f t="shared" si="27"/>
        <v>1.5934179634738938E-2</v>
      </c>
      <c r="R42" s="22">
        <v>1</v>
      </c>
      <c r="S42" s="22">
        <v>1</v>
      </c>
      <c r="T42" s="22">
        <v>1020</v>
      </c>
      <c r="U42" s="35">
        <v>5430068777.6700001</v>
      </c>
      <c r="V42" s="35">
        <v>6793577994.6899996</v>
      </c>
    </row>
    <row r="43" spans="1:22">
      <c r="A43" s="20">
        <v>36</v>
      </c>
      <c r="B43" s="21" t="s">
        <v>70</v>
      </c>
      <c r="C43" s="21" t="s">
        <v>71</v>
      </c>
      <c r="D43" s="35">
        <v>1429639394.8800001</v>
      </c>
      <c r="E43" s="35">
        <v>45533324.899999999</v>
      </c>
      <c r="F43" s="35">
        <v>0</v>
      </c>
      <c r="G43" s="35">
        <v>3057411.2</v>
      </c>
      <c r="H43" s="23">
        <f>(E43+F43)-G43</f>
        <v>42475913.699999996</v>
      </c>
      <c r="I43" s="36">
        <v>2547353968.9200001</v>
      </c>
      <c r="J43" s="25">
        <f t="shared" si="14"/>
        <v>7.3057860044098769E-4</v>
      </c>
      <c r="K43" s="36">
        <v>2681439387.1500001</v>
      </c>
      <c r="L43" s="25">
        <f t="shared" si="22"/>
        <v>7.133862587630367E-4</v>
      </c>
      <c r="M43" s="25">
        <f t="shared" si="23"/>
        <v>5.2637136364228218E-2</v>
      </c>
      <c r="N43" s="26">
        <f t="shared" si="24"/>
        <v>1.140212683774145E-3</v>
      </c>
      <c r="O43" s="27">
        <f t="shared" si="25"/>
        <v>1.5840713723962275E-2</v>
      </c>
      <c r="P43" s="37">
        <f t="shared" si="26"/>
        <v>0.9368787902821164</v>
      </c>
      <c r="Q43" s="37">
        <f t="shared" si="27"/>
        <v>1.4840828710911094E-2</v>
      </c>
      <c r="R43" s="22">
        <v>1</v>
      </c>
      <c r="S43" s="22">
        <v>1</v>
      </c>
      <c r="T43" s="22">
        <f>1417+46+22</f>
        <v>1485</v>
      </c>
      <c r="U43" s="35">
        <v>2896443816.1900001</v>
      </c>
      <c r="V43" s="35">
        <v>2862098507.2600002</v>
      </c>
    </row>
    <row r="44" spans="1:22">
      <c r="A44" s="20">
        <v>37</v>
      </c>
      <c r="B44" s="21" t="s">
        <v>72</v>
      </c>
      <c r="C44" s="21" t="s">
        <v>73</v>
      </c>
      <c r="D44" s="35">
        <v>619429669832.16003</v>
      </c>
      <c r="E44" s="35">
        <v>9351960760.0699997</v>
      </c>
      <c r="F44" s="35">
        <v>0</v>
      </c>
      <c r="G44" s="35">
        <v>962958075.36000001</v>
      </c>
      <c r="H44" s="23">
        <f t="shared" ref="H44" si="28">(E44+F44)-G44</f>
        <v>8389002684.71</v>
      </c>
      <c r="I44" s="36">
        <v>569900635665.09998</v>
      </c>
      <c r="J44" s="25">
        <f t="shared" si="14"/>
        <v>0.16344693900987803</v>
      </c>
      <c r="K44" s="36">
        <v>597370724273.81995</v>
      </c>
      <c r="L44" s="25">
        <f t="shared" si="22"/>
        <v>0.158928099634283</v>
      </c>
      <c r="M44" s="25">
        <f t="shared" si="23"/>
        <v>4.8201540566209629E-2</v>
      </c>
      <c r="N44" s="26">
        <f t="shared" si="24"/>
        <v>1.6119940871401055E-3</v>
      </c>
      <c r="O44" s="27">
        <f t="shared" si="25"/>
        <v>1.4043210260944574E-2</v>
      </c>
      <c r="P44" s="37">
        <f t="shared" si="26"/>
        <v>100.05406134845362</v>
      </c>
      <c r="Q44" s="37">
        <f t="shared" si="27"/>
        <v>1.4050802209777817</v>
      </c>
      <c r="R44" s="22">
        <v>100</v>
      </c>
      <c r="S44" s="22">
        <v>100</v>
      </c>
      <c r="T44" s="22">
        <v>33279</v>
      </c>
      <c r="U44" s="35">
        <v>5695870309</v>
      </c>
      <c r="V44" s="35">
        <v>5970479521</v>
      </c>
    </row>
    <row r="45" spans="1:22">
      <c r="A45" s="20">
        <v>38</v>
      </c>
      <c r="B45" s="21" t="s">
        <v>267</v>
      </c>
      <c r="C45" s="21" t="s">
        <v>268</v>
      </c>
      <c r="D45" s="35">
        <v>1998048476.96</v>
      </c>
      <c r="E45" s="35">
        <v>35312135.090000004</v>
      </c>
      <c r="F45" s="35">
        <v>0</v>
      </c>
      <c r="G45" s="35">
        <v>32251950.73</v>
      </c>
      <c r="H45" s="23">
        <f t="shared" si="21"/>
        <v>3060184.3600000031</v>
      </c>
      <c r="I45" s="36">
        <v>1825845502.22</v>
      </c>
      <c r="J45" s="25">
        <f t="shared" si="14"/>
        <v>5.2365068534189713E-4</v>
      </c>
      <c r="K45" s="36">
        <v>1998005212.76</v>
      </c>
      <c r="L45" s="25">
        <f t="shared" si="22"/>
        <v>5.3156132133751167E-4</v>
      </c>
      <c r="M45" s="25">
        <f t="shared" si="23"/>
        <v>9.4290404270610667E-2</v>
      </c>
      <c r="N45" s="26">
        <f t="shared" si="24"/>
        <v>1.6142075367985589E-2</v>
      </c>
      <c r="O45" s="27">
        <f t="shared" si="25"/>
        <v>1.5316198078245914E-3</v>
      </c>
      <c r="P45" s="37">
        <f t="shared" si="26"/>
        <v>0.97462219365713854</v>
      </c>
      <c r="Q45" s="37">
        <f t="shared" si="27"/>
        <v>1.4927506569507283E-3</v>
      </c>
      <c r="R45" s="22">
        <v>1</v>
      </c>
      <c r="S45" s="22">
        <v>1</v>
      </c>
      <c r="T45" s="22">
        <v>334</v>
      </c>
      <c r="U45" s="35">
        <v>1944574924.52</v>
      </c>
      <c r="V45" s="35">
        <v>2050030489.52</v>
      </c>
    </row>
    <row r="46" spans="1:22" ht="16.95" customHeight="1">
      <c r="A46" s="20">
        <v>39</v>
      </c>
      <c r="B46" s="21" t="s">
        <v>74</v>
      </c>
      <c r="C46" s="21" t="s">
        <v>75</v>
      </c>
      <c r="D46" s="35">
        <v>1257594193.6300001</v>
      </c>
      <c r="E46" s="35">
        <v>20925900.91</v>
      </c>
      <c r="F46" s="35">
        <v>0</v>
      </c>
      <c r="G46" s="35">
        <v>1794661.14</v>
      </c>
      <c r="H46" s="23">
        <f t="shared" si="21"/>
        <v>19131239.77</v>
      </c>
      <c r="I46" s="36">
        <v>1255526135.1700001</v>
      </c>
      <c r="J46" s="25">
        <f t="shared" si="14"/>
        <v>3.6008365458471063E-4</v>
      </c>
      <c r="K46" s="36">
        <v>1214137034.53</v>
      </c>
      <c r="L46" s="25">
        <f t="shared" si="22"/>
        <v>3.2301631759411168E-4</v>
      </c>
      <c r="M46" s="25">
        <f t="shared" si="23"/>
        <v>-3.2965542875295031E-2</v>
      </c>
      <c r="N46" s="26">
        <f t="shared" si="24"/>
        <v>1.478137219242904E-3</v>
      </c>
      <c r="O46" s="27">
        <f t="shared" si="25"/>
        <v>1.5757067963424593E-2</v>
      </c>
      <c r="P46" s="37">
        <f t="shared" si="26"/>
        <v>9.940231113844284</v>
      </c>
      <c r="Q46" s="37">
        <f t="shared" si="27"/>
        <v>0.15662889723299211</v>
      </c>
      <c r="R46" s="22">
        <v>10</v>
      </c>
      <c r="S46" s="22">
        <v>10</v>
      </c>
      <c r="T46" s="22">
        <v>480</v>
      </c>
      <c r="U46" s="35">
        <v>126046644</v>
      </c>
      <c r="V46" s="35">
        <v>122143743</v>
      </c>
    </row>
    <row r="47" spans="1:22">
      <c r="A47" s="20">
        <v>40</v>
      </c>
      <c r="B47" s="21" t="s">
        <v>76</v>
      </c>
      <c r="C47" s="21" t="s">
        <v>280</v>
      </c>
      <c r="D47" s="35">
        <v>3527189100.1799998</v>
      </c>
      <c r="E47" s="35">
        <v>71391355.790000007</v>
      </c>
      <c r="F47" s="35">
        <v>0</v>
      </c>
      <c r="G47" s="35">
        <v>14806377.82</v>
      </c>
      <c r="H47" s="23">
        <f t="shared" si="21"/>
        <v>56584977.970000006</v>
      </c>
      <c r="I47" s="36">
        <v>7958393973.8599997</v>
      </c>
      <c r="J47" s="25">
        <f t="shared" si="14"/>
        <v>2.2824595254995854E-3</v>
      </c>
      <c r="K47" s="36">
        <v>8154528939.4899998</v>
      </c>
      <c r="L47" s="25">
        <f t="shared" si="22"/>
        <v>2.1694799144054873E-3</v>
      </c>
      <c r="M47" s="25">
        <f t="shared" si="23"/>
        <v>2.4645043494230315E-2</v>
      </c>
      <c r="N47" s="26">
        <f t="shared" si="24"/>
        <v>1.8157244802084202E-3</v>
      </c>
      <c r="O47" s="27">
        <f t="shared" si="25"/>
        <v>6.9390860452987662E-3</v>
      </c>
      <c r="P47" s="37">
        <f t="shared" si="26"/>
        <v>99.873513262156081</v>
      </c>
      <c r="Q47" s="37">
        <f t="shared" si="27"/>
        <v>0.69303090217238861</v>
      </c>
      <c r="R47" s="22">
        <v>100</v>
      </c>
      <c r="S47" s="22">
        <v>100</v>
      </c>
      <c r="T47" s="22">
        <v>1724</v>
      </c>
      <c r="U47" s="35">
        <v>78563963</v>
      </c>
      <c r="V47" s="35">
        <v>81648564</v>
      </c>
    </row>
    <row r="48" spans="1:22">
      <c r="A48" s="20">
        <v>41</v>
      </c>
      <c r="B48" s="21" t="s">
        <v>251</v>
      </c>
      <c r="C48" s="21" t="s">
        <v>227</v>
      </c>
      <c r="D48" s="35">
        <v>113294913.09</v>
      </c>
      <c r="E48" s="35">
        <v>8380124.7699999996</v>
      </c>
      <c r="F48" s="35">
        <v>0</v>
      </c>
      <c r="G48" s="35">
        <v>164664.71</v>
      </c>
      <c r="H48" s="23">
        <f t="shared" si="21"/>
        <v>8215460.0599999996</v>
      </c>
      <c r="I48" s="36">
        <f>98669919.01-206210.82</f>
        <v>98463708.190000013</v>
      </c>
      <c r="J48" s="25">
        <f t="shared" si="14"/>
        <v>2.8239294185793292E-5</v>
      </c>
      <c r="K48" s="36">
        <v>113330849.73</v>
      </c>
      <c r="L48" s="25">
        <f t="shared" si="22"/>
        <v>3.0151220750602754E-5</v>
      </c>
      <c r="M48" s="25">
        <f t="shared" si="23"/>
        <v>0.15099107898020339</v>
      </c>
      <c r="N48" s="26">
        <f t="shared" si="24"/>
        <v>1.4529557520507261E-3</v>
      </c>
      <c r="O48" s="27">
        <f t="shared" si="25"/>
        <v>7.2490942047752693E-2</v>
      </c>
      <c r="P48" s="37">
        <f t="shared" si="26"/>
        <v>1.027228847105919</v>
      </c>
      <c r="Q48" s="37">
        <f t="shared" si="27"/>
        <v>7.4464786825334986E-2</v>
      </c>
      <c r="R48" s="22">
        <v>1</v>
      </c>
      <c r="S48" s="22">
        <v>1</v>
      </c>
      <c r="T48" s="22">
        <v>92</v>
      </c>
      <c r="U48" s="35">
        <v>101683778.73999999</v>
      </c>
      <c r="V48" s="35">
        <v>110326778.73999999</v>
      </c>
    </row>
    <row r="49" spans="1:22">
      <c r="A49" s="20">
        <v>42</v>
      </c>
      <c r="B49" s="22" t="s">
        <v>269</v>
      </c>
      <c r="C49" s="22" t="s">
        <v>36</v>
      </c>
      <c r="D49" s="35">
        <v>595997802.73000002</v>
      </c>
      <c r="E49" s="35">
        <v>10891026.220000001</v>
      </c>
      <c r="F49" s="35">
        <v>0</v>
      </c>
      <c r="G49" s="35">
        <v>1137913.92</v>
      </c>
      <c r="H49" s="23">
        <f t="shared" si="21"/>
        <v>9753112.3000000007</v>
      </c>
      <c r="I49" s="36">
        <v>544219040.88999999</v>
      </c>
      <c r="J49" s="25">
        <f t="shared" si="14"/>
        <v>1.5608148301247699E-4</v>
      </c>
      <c r="K49" s="36">
        <v>609173436.51999998</v>
      </c>
      <c r="L49" s="25">
        <f t="shared" si="22"/>
        <v>1.6206816417309335E-4</v>
      </c>
      <c r="M49" s="25">
        <f t="shared" si="23"/>
        <v>0.11935340506237244</v>
      </c>
      <c r="N49" s="26">
        <f t="shared" si="24"/>
        <v>1.8679637879493137E-3</v>
      </c>
      <c r="O49" s="27">
        <f t="shared" si="25"/>
        <v>1.6010403138581032E-2</v>
      </c>
      <c r="P49" s="37">
        <f t="shared" si="26"/>
        <v>99.999999921204704</v>
      </c>
      <c r="Q49" s="37">
        <f t="shared" si="27"/>
        <v>1.6010403125965587</v>
      </c>
      <c r="R49" s="22">
        <v>100</v>
      </c>
      <c r="S49" s="22">
        <v>100</v>
      </c>
      <c r="T49" s="22">
        <v>4081</v>
      </c>
      <c r="U49" s="35">
        <v>5442190.4100000001</v>
      </c>
      <c r="V49" s="35">
        <v>6091734.3700000001</v>
      </c>
    </row>
    <row r="50" spans="1:22">
      <c r="A50" s="20">
        <v>43</v>
      </c>
      <c r="B50" s="22" t="s">
        <v>78</v>
      </c>
      <c r="C50" s="22" t="s">
        <v>36</v>
      </c>
      <c r="D50" s="35">
        <v>151182200808.87</v>
      </c>
      <c r="E50" s="35">
        <v>2519418063.5</v>
      </c>
      <c r="F50" s="35">
        <v>0</v>
      </c>
      <c r="G50" s="35">
        <v>159798961.55000001</v>
      </c>
      <c r="H50" s="23">
        <f t="shared" si="21"/>
        <v>2359619101.9499998</v>
      </c>
      <c r="I50" s="36">
        <v>122346707222.78999</v>
      </c>
      <c r="J50" s="25">
        <f t="shared" si="14"/>
        <v>3.5088914702060513E-2</v>
      </c>
      <c r="K50" s="36">
        <v>146911779054.45001</v>
      </c>
      <c r="L50" s="25">
        <f t="shared" si="22"/>
        <v>3.9085293119106836E-2</v>
      </c>
      <c r="M50" s="25">
        <f t="shared" si="23"/>
        <v>0.20078245168403019</v>
      </c>
      <c r="N50" s="26">
        <f t="shared" si="24"/>
        <v>1.0877205529637867E-3</v>
      </c>
      <c r="O50" s="27">
        <f t="shared" si="25"/>
        <v>1.6061469795934147E-2</v>
      </c>
      <c r="P50" s="37">
        <f t="shared" si="26"/>
        <v>100.00000000030631</v>
      </c>
      <c r="Q50" s="37">
        <f t="shared" si="27"/>
        <v>1.6061469795983347</v>
      </c>
      <c r="R50" s="22">
        <v>100</v>
      </c>
      <c r="S50" s="22">
        <v>100</v>
      </c>
      <c r="T50" s="22">
        <v>15530</v>
      </c>
      <c r="U50" s="35">
        <v>1223467072.23</v>
      </c>
      <c r="V50" s="35">
        <v>1469117790.54</v>
      </c>
    </row>
    <row r="51" spans="1:22">
      <c r="A51" s="20">
        <v>44</v>
      </c>
      <c r="B51" s="21" t="s">
        <v>79</v>
      </c>
      <c r="C51" s="21" t="s">
        <v>38</v>
      </c>
      <c r="D51" s="35">
        <v>31161684961.380001</v>
      </c>
      <c r="E51" s="35">
        <v>558491854.28999996</v>
      </c>
      <c r="F51" s="35">
        <v>0</v>
      </c>
      <c r="G51" s="35">
        <v>35690319.68</v>
      </c>
      <c r="H51" s="23">
        <f t="shared" si="21"/>
        <v>522801534.60999995</v>
      </c>
      <c r="I51" s="36">
        <v>26389746218.740002</v>
      </c>
      <c r="J51" s="25">
        <f t="shared" si="14"/>
        <v>7.5685531314888107E-3</v>
      </c>
      <c r="K51" s="36">
        <v>31054579882.060001</v>
      </c>
      <c r="L51" s="25">
        <f t="shared" si="22"/>
        <v>8.2619471712419342E-3</v>
      </c>
      <c r="M51" s="25">
        <f t="shared" si="23"/>
        <v>0.17676690122951572</v>
      </c>
      <c r="N51" s="26">
        <f t="shared" si="24"/>
        <v>1.1492771699229468E-3</v>
      </c>
      <c r="O51" s="27">
        <f t="shared" si="25"/>
        <v>1.6834925366741752E-2</v>
      </c>
      <c r="P51" s="37">
        <f t="shared" si="26"/>
        <v>1.0004341222191035</v>
      </c>
      <c r="Q51" s="37">
        <f t="shared" si="27"/>
        <v>1.6842233781900404E-2</v>
      </c>
      <c r="R51" s="22">
        <v>1</v>
      </c>
      <c r="S51" s="22">
        <v>1</v>
      </c>
      <c r="T51" s="22">
        <v>2198</v>
      </c>
      <c r="U51" s="35">
        <v>26401802795</v>
      </c>
      <c r="V51" s="35">
        <v>31041104249</v>
      </c>
    </row>
    <row r="52" spans="1:22">
      <c r="A52" s="20">
        <v>45</v>
      </c>
      <c r="B52" s="21" t="s">
        <v>276</v>
      </c>
      <c r="C52" s="22" t="s">
        <v>277</v>
      </c>
      <c r="D52" s="35">
        <v>1513521983.3</v>
      </c>
      <c r="E52" s="35">
        <v>99759874.959999993</v>
      </c>
      <c r="F52" s="35"/>
      <c r="G52" s="35">
        <v>6229519.3899999997</v>
      </c>
      <c r="H52" s="23">
        <f t="shared" si="21"/>
        <v>93530355.569999993</v>
      </c>
      <c r="I52" s="36">
        <v>2690667861.98</v>
      </c>
      <c r="J52" s="25">
        <f t="shared" si="14"/>
        <v>7.7168088331685928E-4</v>
      </c>
      <c r="K52" s="36">
        <v>3851079938.9299998</v>
      </c>
      <c r="L52" s="25">
        <f t="shared" si="22"/>
        <v>1.0245644645171955E-3</v>
      </c>
      <c r="M52" s="25">
        <f t="shared" si="23"/>
        <v>0.43127287962479305</v>
      </c>
      <c r="N52" s="26">
        <f t="shared" si="24"/>
        <v>1.6176032408537423E-3</v>
      </c>
      <c r="O52" s="27">
        <f t="shared" si="25"/>
        <v>2.4286786317914463E-2</v>
      </c>
      <c r="P52" s="37">
        <f t="shared" si="26"/>
        <v>102.23553373499588</v>
      </c>
      <c r="Q52" s="37">
        <f t="shared" si="27"/>
        <v>2.4829725619197807</v>
      </c>
      <c r="R52" s="22">
        <v>100</v>
      </c>
      <c r="S52" s="22">
        <v>100</v>
      </c>
      <c r="T52" s="22">
        <v>199</v>
      </c>
      <c r="U52" s="35">
        <v>26627833.370000001</v>
      </c>
      <c r="V52" s="35">
        <v>37668702.829999998</v>
      </c>
    </row>
    <row r="53" spans="1:22">
      <c r="A53" s="20">
        <v>46</v>
      </c>
      <c r="B53" s="21" t="s">
        <v>80</v>
      </c>
      <c r="C53" s="21" t="s">
        <v>40</v>
      </c>
      <c r="D53" s="35">
        <v>57415670717.169998</v>
      </c>
      <c r="E53" s="35">
        <v>1312274806.6800001</v>
      </c>
      <c r="F53" s="35">
        <v>0</v>
      </c>
      <c r="G53" s="35">
        <v>74793162.640000001</v>
      </c>
      <c r="H53" s="23">
        <f t="shared" si="21"/>
        <v>1237481644.04</v>
      </c>
      <c r="I53" s="36">
        <v>48958415703.18</v>
      </c>
      <c r="J53" s="25">
        <f t="shared" si="14"/>
        <v>1.4041225232393532E-2</v>
      </c>
      <c r="K53" s="36">
        <v>56477355953.720001</v>
      </c>
      <c r="L53" s="25">
        <f t="shared" si="22"/>
        <v>1.5025575391236241E-2</v>
      </c>
      <c r="M53" s="25">
        <f t="shared" si="23"/>
        <v>0.15357809566643355</v>
      </c>
      <c r="N53" s="26">
        <f t="shared" si="24"/>
        <v>1.3243035439068494E-3</v>
      </c>
      <c r="O53" s="27">
        <f t="shared" si="25"/>
        <v>2.191111150908067E-2</v>
      </c>
      <c r="P53" s="37">
        <f t="shared" si="26"/>
        <v>10.015224999774386</v>
      </c>
      <c r="Q53" s="37">
        <f t="shared" si="27"/>
        <v>0.21944471175858898</v>
      </c>
      <c r="R53" s="22">
        <v>10</v>
      </c>
      <c r="S53" s="22">
        <v>10</v>
      </c>
      <c r="T53" s="22">
        <v>4435</v>
      </c>
      <c r="U53" s="35">
        <v>4899331693.4899998</v>
      </c>
      <c r="V53" s="35">
        <v>5639149989.6400003</v>
      </c>
    </row>
    <row r="54" spans="1:22" ht="14.1" customHeight="1">
      <c r="A54" s="20">
        <v>47</v>
      </c>
      <c r="B54" s="21" t="s">
        <v>81</v>
      </c>
      <c r="C54" s="21" t="s">
        <v>262</v>
      </c>
      <c r="D54" s="35">
        <v>11339250386.290001</v>
      </c>
      <c r="E54" s="35">
        <v>444237093.93000001</v>
      </c>
      <c r="F54" s="35">
        <v>5547945.25</v>
      </c>
      <c r="G54" s="35">
        <v>32018613.940000001</v>
      </c>
      <c r="H54" s="23">
        <f t="shared" si="21"/>
        <v>417766425.24000001</v>
      </c>
      <c r="I54" s="36">
        <v>23516558736</v>
      </c>
      <c r="J54" s="25">
        <f t="shared" si="14"/>
        <v>6.7445258013432855E-3</v>
      </c>
      <c r="K54" s="36">
        <v>25594071636</v>
      </c>
      <c r="L54" s="25">
        <f t="shared" si="22"/>
        <v>6.809200721976944E-3</v>
      </c>
      <c r="M54" s="25">
        <f t="shared" si="23"/>
        <v>8.8342555699685257E-2</v>
      </c>
      <c r="N54" s="26">
        <f t="shared" si="24"/>
        <v>1.2510168133999984E-3</v>
      </c>
      <c r="O54" s="27">
        <f t="shared" si="25"/>
        <v>1.6322780961993553E-2</v>
      </c>
      <c r="P54" s="37">
        <f t="shared" si="26"/>
        <v>100.00000014065758</v>
      </c>
      <c r="Q54" s="37">
        <f t="shared" si="27"/>
        <v>1.6322780984952781</v>
      </c>
      <c r="R54" s="22">
        <v>100</v>
      </c>
      <c r="S54" s="22">
        <v>100</v>
      </c>
      <c r="T54" s="22">
        <f>4495+128+99</f>
        <v>4722</v>
      </c>
      <c r="U54" s="35">
        <v>235165587</v>
      </c>
      <c r="V54" s="35">
        <v>255940716</v>
      </c>
    </row>
    <row r="55" spans="1:22">
      <c r="A55" s="20">
        <v>48</v>
      </c>
      <c r="B55" s="21" t="s">
        <v>82</v>
      </c>
      <c r="C55" s="22" t="s">
        <v>83</v>
      </c>
      <c r="D55" s="35">
        <v>155874380.37</v>
      </c>
      <c r="E55" s="35">
        <v>4471699.7699999996</v>
      </c>
      <c r="F55" s="35">
        <v>0</v>
      </c>
      <c r="G55" s="35">
        <v>4245501.46</v>
      </c>
      <c r="H55" s="23">
        <f t="shared" si="21"/>
        <v>226198.30999999959</v>
      </c>
      <c r="I55" s="36">
        <v>286860759.31999999</v>
      </c>
      <c r="J55" s="25">
        <f t="shared" si="14"/>
        <v>8.2271382235228846E-5</v>
      </c>
      <c r="K55" s="36">
        <v>261584425.97999999</v>
      </c>
      <c r="L55" s="25">
        <f t="shared" si="22"/>
        <v>6.9593493664195835E-5</v>
      </c>
      <c r="M55" s="25">
        <f t="shared" si="23"/>
        <v>-8.811359699359804E-2</v>
      </c>
      <c r="N55" s="26">
        <f t="shared" si="24"/>
        <v>1.622994734527735E-2</v>
      </c>
      <c r="O55" s="27">
        <f t="shared" si="25"/>
        <v>8.6472391906578601E-4</v>
      </c>
      <c r="P55" s="37">
        <f t="shared" si="26"/>
        <v>0.9992742681595409</v>
      </c>
      <c r="Q55" s="37">
        <f t="shared" si="27"/>
        <v>8.6409636138451331E-4</v>
      </c>
      <c r="R55" s="22">
        <v>1</v>
      </c>
      <c r="S55" s="22">
        <v>1</v>
      </c>
      <c r="T55" s="22">
        <v>103</v>
      </c>
      <c r="U55" s="35">
        <v>287220620</v>
      </c>
      <c r="V55" s="35">
        <v>261774404</v>
      </c>
    </row>
    <row r="56" spans="1:22" ht="15" customHeight="1">
      <c r="A56" s="20">
        <v>49</v>
      </c>
      <c r="B56" s="22" t="s">
        <v>84</v>
      </c>
      <c r="C56" s="22" t="s">
        <v>42</v>
      </c>
      <c r="D56" s="35">
        <v>1794028589.73</v>
      </c>
      <c r="E56" s="35">
        <v>76706715.430000007</v>
      </c>
      <c r="F56" s="35">
        <v>0</v>
      </c>
      <c r="G56" s="35">
        <v>2297837.7999999998</v>
      </c>
      <c r="H56" s="23">
        <f t="shared" si="21"/>
        <v>74408877.63000001</v>
      </c>
      <c r="I56" s="36">
        <v>1681979815.21</v>
      </c>
      <c r="J56" s="25">
        <f t="shared" si="14"/>
        <v>4.8239014850656747E-4</v>
      </c>
      <c r="K56" s="36">
        <v>1816786419.0799999</v>
      </c>
      <c r="L56" s="25">
        <f t="shared" si="22"/>
        <v>4.8334878375025277E-4</v>
      </c>
      <c r="M56" s="25">
        <f t="shared" si="23"/>
        <v>8.014757528654938E-2</v>
      </c>
      <c r="N56" s="26">
        <f t="shared" si="24"/>
        <v>1.2647814712109082E-3</v>
      </c>
      <c r="O56" s="27">
        <f t="shared" si="25"/>
        <v>4.0956315419662714E-2</v>
      </c>
      <c r="P56" s="37">
        <f t="shared" si="26"/>
        <v>10.852901373367397</v>
      </c>
      <c r="Q56" s="37">
        <f t="shared" si="27"/>
        <v>0.44449485186612581</v>
      </c>
      <c r="R56" s="22">
        <v>10</v>
      </c>
      <c r="S56" s="22">
        <v>10</v>
      </c>
      <c r="T56" s="22">
        <v>854</v>
      </c>
      <c r="U56" s="35">
        <v>154419911.59999999</v>
      </c>
      <c r="V56" s="35">
        <v>167400988.59999999</v>
      </c>
    </row>
    <row r="57" spans="1:22" ht="15" customHeight="1">
      <c r="A57" s="20">
        <v>50</v>
      </c>
      <c r="B57" s="22" t="s">
        <v>210</v>
      </c>
      <c r="C57" s="22" t="s">
        <v>211</v>
      </c>
      <c r="D57" s="35">
        <v>632000377.75</v>
      </c>
      <c r="E57" s="35">
        <v>17714542.949999999</v>
      </c>
      <c r="F57" s="35">
        <v>0</v>
      </c>
      <c r="G57" s="35">
        <v>1631044.69</v>
      </c>
      <c r="H57" s="23">
        <f t="shared" si="21"/>
        <v>16083498.26</v>
      </c>
      <c r="I57" s="36">
        <v>939815758</v>
      </c>
      <c r="J57" s="25">
        <f t="shared" si="14"/>
        <v>2.6953823046552388E-4</v>
      </c>
      <c r="K57" s="36">
        <v>916320700</v>
      </c>
      <c r="L57" s="25">
        <f t="shared" si="22"/>
        <v>2.4378346910720582E-4</v>
      </c>
      <c r="M57" s="25">
        <f t="shared" si="23"/>
        <v>-2.4999642536319335E-2</v>
      </c>
      <c r="N57" s="26">
        <f t="shared" si="24"/>
        <v>1.779993281828076E-3</v>
      </c>
      <c r="O57" s="27">
        <f t="shared" si="25"/>
        <v>1.755225900713582E-2</v>
      </c>
      <c r="P57" s="37">
        <f t="shared" si="26"/>
        <v>1</v>
      </c>
      <c r="Q57" s="37">
        <f t="shared" si="27"/>
        <v>1.755225900713582E-2</v>
      </c>
      <c r="R57" s="22">
        <v>1</v>
      </c>
      <c r="S57" s="22">
        <v>1</v>
      </c>
      <c r="T57" s="22">
        <v>131</v>
      </c>
      <c r="U57" s="35">
        <v>939815758</v>
      </c>
      <c r="V57" s="35">
        <v>916320700</v>
      </c>
    </row>
    <row r="58" spans="1:22" ht="15" customHeight="1">
      <c r="A58" s="20">
        <v>51</v>
      </c>
      <c r="B58" s="22" t="s">
        <v>283</v>
      </c>
      <c r="C58" s="22" t="s">
        <v>282</v>
      </c>
      <c r="D58" s="35">
        <v>663349678.92999995</v>
      </c>
      <c r="E58" s="35">
        <v>10749928.68</v>
      </c>
      <c r="F58" s="35"/>
      <c r="G58" s="35"/>
      <c r="H58" s="23">
        <f t="shared" si="21"/>
        <v>10749928.68</v>
      </c>
      <c r="I58" s="36">
        <v>734470604.02999997</v>
      </c>
      <c r="J58" s="25">
        <f t="shared" si="14"/>
        <v>2.1064544327335132E-4</v>
      </c>
      <c r="K58" s="36">
        <v>806351693.94000006</v>
      </c>
      <c r="L58" s="25">
        <f t="shared" si="22"/>
        <v>2.1452665346222681E-4</v>
      </c>
      <c r="M58" s="25">
        <f t="shared" si="23"/>
        <v>9.786789221459985E-2</v>
      </c>
      <c r="N58" s="26">
        <f t="shared" si="24"/>
        <v>0</v>
      </c>
      <c r="O58" s="27">
        <f t="shared" si="25"/>
        <v>1.3331563337423698E-2</v>
      </c>
      <c r="P58" s="37">
        <f t="shared" si="26"/>
        <v>1.0000000000124016</v>
      </c>
      <c r="Q58" s="37">
        <f t="shared" si="27"/>
        <v>1.3331563337589033E-2</v>
      </c>
      <c r="R58" s="22">
        <v>1</v>
      </c>
      <c r="S58" s="22">
        <v>1</v>
      </c>
      <c r="T58" s="22">
        <v>908</v>
      </c>
      <c r="U58" s="35">
        <v>734470604.02999997</v>
      </c>
      <c r="V58" s="35">
        <v>806351693.92999995</v>
      </c>
    </row>
    <row r="59" spans="1:22" ht="15" customHeight="1">
      <c r="A59" s="20">
        <v>52</v>
      </c>
      <c r="B59" s="21" t="s">
        <v>212</v>
      </c>
      <c r="C59" s="21" t="s">
        <v>213</v>
      </c>
      <c r="D59" s="35">
        <v>13755031127.540001</v>
      </c>
      <c r="E59" s="35">
        <v>227847534.06999999</v>
      </c>
      <c r="F59" s="35">
        <v>0</v>
      </c>
      <c r="G59" s="35">
        <v>16851666.010000002</v>
      </c>
      <c r="H59" s="23">
        <f t="shared" si="21"/>
        <v>210995868.06</v>
      </c>
      <c r="I59" s="36">
        <v>13350664418.209999</v>
      </c>
      <c r="J59" s="25">
        <f t="shared" si="14"/>
        <v>3.8289573591331039E-3</v>
      </c>
      <c r="K59" s="36">
        <v>13104819424.26</v>
      </c>
      <c r="L59" s="25">
        <f t="shared" si="22"/>
        <v>3.4864849623822735E-3</v>
      </c>
      <c r="M59" s="25">
        <f t="shared" si="23"/>
        <v>-1.8414438881009694E-2</v>
      </c>
      <c r="N59" s="26">
        <f t="shared" si="24"/>
        <v>1.2859136371466315E-3</v>
      </c>
      <c r="O59" s="27">
        <f t="shared" si="25"/>
        <v>1.6100631472219958E-2</v>
      </c>
      <c r="P59" s="37">
        <f t="shared" si="26"/>
        <v>100.00003772094605</v>
      </c>
      <c r="Q59" s="37">
        <f t="shared" si="27"/>
        <v>1.610063754553047</v>
      </c>
      <c r="R59" s="22">
        <v>100</v>
      </c>
      <c r="S59" s="22">
        <v>100</v>
      </c>
      <c r="T59" s="22">
        <v>139</v>
      </c>
      <c r="U59" s="35">
        <v>133386697.72</v>
      </c>
      <c r="V59" s="35">
        <v>131048144.81</v>
      </c>
    </row>
    <row r="60" spans="1:22" ht="15" customHeight="1">
      <c r="A60" s="20">
        <v>53</v>
      </c>
      <c r="B60" s="21" t="s">
        <v>214</v>
      </c>
      <c r="C60" s="21" t="s">
        <v>110</v>
      </c>
      <c r="D60" s="35">
        <v>32243115.34</v>
      </c>
      <c r="E60" s="35">
        <v>1284317.5900000001</v>
      </c>
      <c r="F60" s="35">
        <v>0</v>
      </c>
      <c r="G60" s="35">
        <v>76909.31</v>
      </c>
      <c r="H60" s="23">
        <f t="shared" si="21"/>
        <v>1207408.28</v>
      </c>
      <c r="I60" s="36">
        <v>66240699.93</v>
      </c>
      <c r="J60" s="25">
        <f t="shared" si="14"/>
        <v>1.8997767266560295E-5</v>
      </c>
      <c r="K60" s="36">
        <v>67453856.980000004</v>
      </c>
      <c r="L60" s="25">
        <f t="shared" si="22"/>
        <v>1.7945829728877356E-5</v>
      </c>
      <c r="M60" s="25">
        <f t="shared" si="23"/>
        <v>1.8314375471304059E-2</v>
      </c>
      <c r="N60" s="26">
        <f t="shared" si="24"/>
        <v>1.1401766102537847E-3</v>
      </c>
      <c r="O60" s="27">
        <f t="shared" si="25"/>
        <v>1.7899766359661173E-2</v>
      </c>
      <c r="P60" s="37">
        <f t="shared" si="26"/>
        <v>1305.6764542603848</v>
      </c>
      <c r="Q60" s="37">
        <f t="shared" si="27"/>
        <v>23.371303472571718</v>
      </c>
      <c r="R60" s="22">
        <v>1000</v>
      </c>
      <c r="S60" s="22">
        <v>1000</v>
      </c>
      <c r="T60" s="22">
        <v>23</v>
      </c>
      <c r="U60" s="35">
        <v>51663</v>
      </c>
      <c r="V60" s="35">
        <v>51662</v>
      </c>
    </row>
    <row r="61" spans="1:22">
      <c r="A61" s="20">
        <v>54</v>
      </c>
      <c r="B61" s="21" t="s">
        <v>85</v>
      </c>
      <c r="C61" s="21" t="s">
        <v>46</v>
      </c>
      <c r="D61" s="35">
        <v>1833934651205.72</v>
      </c>
      <c r="E61" s="35">
        <v>32084086450.889999</v>
      </c>
      <c r="F61" s="35">
        <v>0</v>
      </c>
      <c r="G61" s="35">
        <v>2959053501.77</v>
      </c>
      <c r="H61" s="23">
        <f t="shared" si="21"/>
        <v>29125032949.119999</v>
      </c>
      <c r="I61" s="36">
        <v>1694737852797.72</v>
      </c>
      <c r="J61" s="25">
        <f t="shared" si="14"/>
        <v>0.48604914107647784</v>
      </c>
      <c r="K61" s="36">
        <v>1830080176477.53</v>
      </c>
      <c r="L61" s="25">
        <f t="shared" si="22"/>
        <v>0.4868855349071779</v>
      </c>
      <c r="M61" s="25">
        <f t="shared" si="23"/>
        <v>7.986032970018532E-2</v>
      </c>
      <c r="N61" s="26">
        <f t="shared" si="24"/>
        <v>1.6168982866452747E-3</v>
      </c>
      <c r="O61" s="27">
        <f t="shared" si="25"/>
        <v>1.5914621295542785E-2</v>
      </c>
      <c r="P61" s="37">
        <f t="shared" si="26"/>
        <v>1</v>
      </c>
      <c r="Q61" s="37">
        <f t="shared" si="27"/>
        <v>1.5914621295542785E-2</v>
      </c>
      <c r="R61" s="22">
        <v>100</v>
      </c>
      <c r="S61" s="22">
        <v>100</v>
      </c>
      <c r="T61" s="22">
        <v>217944</v>
      </c>
      <c r="U61" s="35">
        <v>1694737852797.72</v>
      </c>
      <c r="V61" s="35">
        <v>1830080176477.53</v>
      </c>
    </row>
    <row r="62" spans="1:22">
      <c r="A62" s="20">
        <v>55</v>
      </c>
      <c r="B62" s="21" t="s">
        <v>291</v>
      </c>
      <c r="C62" s="21" t="s">
        <v>290</v>
      </c>
      <c r="D62" s="35">
        <v>2388713980.02</v>
      </c>
      <c r="E62" s="35">
        <v>262744442.00999999</v>
      </c>
      <c r="F62" s="35"/>
      <c r="G62" s="35">
        <v>30473663.98</v>
      </c>
      <c r="H62" s="23">
        <f t="shared" si="21"/>
        <v>232270778.03</v>
      </c>
      <c r="I62" s="36">
        <v>4974134622.9499998</v>
      </c>
      <c r="J62" s="25">
        <f t="shared" si="14"/>
        <v>1.4265768933481096E-3</v>
      </c>
      <c r="K62" s="36">
        <v>4940279464.0200005</v>
      </c>
      <c r="L62" s="25">
        <f t="shared" si="22"/>
        <v>1.3143416558175354E-3</v>
      </c>
      <c r="M62" s="25">
        <f t="shared" si="23"/>
        <v>-6.8062409838680529E-3</v>
      </c>
      <c r="N62" s="26">
        <f t="shared" si="24"/>
        <v>6.1684089335308561E-3</v>
      </c>
      <c r="O62" s="27">
        <f t="shared" si="25"/>
        <v>4.701571636212596E-2</v>
      </c>
      <c r="P62" s="37">
        <f t="shared" si="26"/>
        <v>100.00000000040484</v>
      </c>
      <c r="Q62" s="37">
        <f t="shared" si="27"/>
        <v>4.7015716362316295</v>
      </c>
      <c r="R62" s="22">
        <v>100</v>
      </c>
      <c r="S62" s="22">
        <v>100</v>
      </c>
      <c r="T62" s="22">
        <v>670</v>
      </c>
      <c r="U62" s="35">
        <v>49741346.229999997</v>
      </c>
      <c r="V62" s="35">
        <v>49402794.640000001</v>
      </c>
    </row>
    <row r="63" spans="1:22">
      <c r="A63" s="20">
        <v>56</v>
      </c>
      <c r="B63" s="21" t="s">
        <v>86</v>
      </c>
      <c r="C63" s="21" t="s">
        <v>87</v>
      </c>
      <c r="D63" s="35">
        <v>6078410038.3699999</v>
      </c>
      <c r="E63" s="35">
        <v>110908236.25</v>
      </c>
      <c r="F63" s="35">
        <v>0</v>
      </c>
      <c r="G63" s="35">
        <v>8511160.9199999999</v>
      </c>
      <c r="H63" s="23">
        <f t="shared" si="21"/>
        <v>102397075.33</v>
      </c>
      <c r="I63" s="36">
        <v>5255187470.5</v>
      </c>
      <c r="J63" s="25">
        <f t="shared" si="14"/>
        <v>1.5071825722283352E-3</v>
      </c>
      <c r="K63" s="36">
        <v>6104226939.5100002</v>
      </c>
      <c r="L63" s="25">
        <f t="shared" si="22"/>
        <v>1.6240052413215259E-3</v>
      </c>
      <c r="M63" s="25">
        <f t="shared" si="23"/>
        <v>0.1615621657221715</v>
      </c>
      <c r="N63" s="26">
        <f t="shared" si="24"/>
        <v>1.394306110231742E-3</v>
      </c>
      <c r="O63" s="27">
        <f t="shared" si="25"/>
        <v>1.6774781859309387E-2</v>
      </c>
      <c r="P63" s="37">
        <f t="shared" si="26"/>
        <v>1.0306814623960847</v>
      </c>
      <c r="Q63" s="37">
        <f t="shared" si="27"/>
        <v>1.728945669812831E-2</v>
      </c>
      <c r="R63" s="22">
        <v>1</v>
      </c>
      <c r="S63" s="22">
        <v>1</v>
      </c>
      <c r="T63" s="22">
        <v>539</v>
      </c>
      <c r="U63" s="35">
        <v>5172830041.5200005</v>
      </c>
      <c r="V63" s="35">
        <v>5922515502.8199997</v>
      </c>
    </row>
    <row r="64" spans="1:22">
      <c r="A64" s="20">
        <v>57</v>
      </c>
      <c r="B64" s="21" t="s">
        <v>88</v>
      </c>
      <c r="C64" s="21" t="s">
        <v>50</v>
      </c>
      <c r="D64" s="35">
        <v>57384496454</v>
      </c>
      <c r="E64" s="35">
        <v>3067695811</v>
      </c>
      <c r="F64" s="35">
        <v>0</v>
      </c>
      <c r="G64" s="35">
        <v>266271435</v>
      </c>
      <c r="H64" s="23">
        <f t="shared" si="21"/>
        <v>2801424376</v>
      </c>
      <c r="I64" s="36">
        <v>162379492217</v>
      </c>
      <c r="J64" s="25">
        <f t="shared" si="14"/>
        <v>4.6570277869357121E-2</v>
      </c>
      <c r="K64" s="36">
        <v>179173253532</v>
      </c>
      <c r="L64" s="25">
        <f t="shared" si="22"/>
        <v>4.7668329785909971E-2</v>
      </c>
      <c r="M64" s="25">
        <f t="shared" si="23"/>
        <v>0.10342292050376181</v>
      </c>
      <c r="N64" s="26">
        <f t="shared" si="24"/>
        <v>1.4861115135828263E-3</v>
      </c>
      <c r="O64" s="27">
        <f t="shared" si="25"/>
        <v>1.5635282168382742E-2</v>
      </c>
      <c r="P64" s="37">
        <f t="shared" si="26"/>
        <v>1.0210823264183502</v>
      </c>
      <c r="Q64" s="37">
        <f t="shared" si="27"/>
        <v>1.5964910290699599E-2</v>
      </c>
      <c r="R64" s="22">
        <v>1</v>
      </c>
      <c r="S64" s="22">
        <v>1</v>
      </c>
      <c r="T64" s="22">
        <v>15828</v>
      </c>
      <c r="U64" s="35">
        <v>161095943679.82999</v>
      </c>
      <c r="V64" s="35">
        <v>175473856413.20999</v>
      </c>
    </row>
    <row r="65" spans="1:23">
      <c r="A65" s="20">
        <v>58</v>
      </c>
      <c r="B65" s="38" t="s">
        <v>89</v>
      </c>
      <c r="C65" s="21" t="s">
        <v>90</v>
      </c>
      <c r="D65" s="35">
        <v>1030988784.9299999</v>
      </c>
      <c r="E65" s="35">
        <v>30809444.34</v>
      </c>
      <c r="F65" s="35">
        <v>0</v>
      </c>
      <c r="G65" s="35">
        <v>3268139.38</v>
      </c>
      <c r="H65" s="23">
        <f t="shared" si="21"/>
        <v>27541304.960000001</v>
      </c>
      <c r="I65" s="36">
        <v>1546714605.4300001</v>
      </c>
      <c r="J65" s="25">
        <f t="shared" si="14"/>
        <v>4.4359622003995299E-4</v>
      </c>
      <c r="K65" s="36">
        <v>2012444874.1800001</v>
      </c>
      <c r="L65" s="25">
        <f t="shared" si="22"/>
        <v>5.3540293569119925E-4</v>
      </c>
      <c r="M65" s="25">
        <f t="shared" si="23"/>
        <v>0.30110937539154026</v>
      </c>
      <c r="N65" s="26">
        <f t="shared" si="24"/>
        <v>1.6239646719921463E-3</v>
      </c>
      <c r="O65" s="27">
        <f t="shared" si="25"/>
        <v>1.3685495346163012E-2</v>
      </c>
      <c r="P65" s="37">
        <f t="shared" si="26"/>
        <v>1.0276503918923603</v>
      </c>
      <c r="Q65" s="37">
        <f t="shared" si="27"/>
        <v>1.4063904655725492E-2</v>
      </c>
      <c r="R65" s="22">
        <v>1</v>
      </c>
      <c r="S65" s="22">
        <v>1</v>
      </c>
      <c r="T65" s="22">
        <v>154</v>
      </c>
      <c r="U65" s="35">
        <v>1520108225.6600001</v>
      </c>
      <c r="V65" s="35">
        <v>1958297189.45</v>
      </c>
    </row>
    <row r="66" spans="1:23">
      <c r="A66" s="20">
        <v>59</v>
      </c>
      <c r="B66" s="21" t="s">
        <v>91</v>
      </c>
      <c r="C66" s="21" t="s">
        <v>92</v>
      </c>
      <c r="D66" s="35">
        <v>6927520072.3900003</v>
      </c>
      <c r="E66" s="35">
        <v>104774612.54000001</v>
      </c>
      <c r="F66" s="35">
        <v>0</v>
      </c>
      <c r="G66" s="35">
        <v>8826321.5999999996</v>
      </c>
      <c r="H66" s="23">
        <f t="shared" si="21"/>
        <v>95948290.940000013</v>
      </c>
      <c r="I66" s="36">
        <v>5865116853.1300001</v>
      </c>
      <c r="J66" s="25">
        <f t="shared" si="14"/>
        <v>1.6821097163026949E-3</v>
      </c>
      <c r="K66" s="36">
        <v>7077623521.6400003</v>
      </c>
      <c r="L66" s="25">
        <f t="shared" si="22"/>
        <v>1.8829735213230022E-3</v>
      </c>
      <c r="M66" s="25">
        <f t="shared" si="23"/>
        <v>0.20673188597477463</v>
      </c>
      <c r="N66" s="26">
        <f t="shared" si="24"/>
        <v>1.2470741871213288E-3</v>
      </c>
      <c r="O66" s="27">
        <f t="shared" si="25"/>
        <v>1.3556568902914354E-2</v>
      </c>
      <c r="P66" s="37">
        <f t="shared" si="26"/>
        <v>1.2240716583374809</v>
      </c>
      <c r="Q66" s="37">
        <f t="shared" si="27"/>
        <v>1.65942117783567E-2</v>
      </c>
      <c r="R66" s="22">
        <v>1</v>
      </c>
      <c r="S66" s="22">
        <v>1</v>
      </c>
      <c r="T66" s="22">
        <v>458</v>
      </c>
      <c r="U66" s="35">
        <v>5782033652.5600004</v>
      </c>
      <c r="V66" s="35">
        <v>5782033652.5500002</v>
      </c>
    </row>
    <row r="67" spans="1:23">
      <c r="A67" s="20">
        <v>60</v>
      </c>
      <c r="B67" s="21" t="s">
        <v>285</v>
      </c>
      <c r="C67" s="21" t="s">
        <v>286</v>
      </c>
      <c r="D67" s="35">
        <v>3101013214.0900002</v>
      </c>
      <c r="E67" s="35">
        <v>129976667.87</v>
      </c>
      <c r="F67" s="35">
        <v>0</v>
      </c>
      <c r="G67" s="35">
        <v>13350810.99</v>
      </c>
      <c r="H67" s="23">
        <f t="shared" si="21"/>
        <v>116625856.88000001</v>
      </c>
      <c r="I67" s="36">
        <v>6517832158.5799999</v>
      </c>
      <c r="J67" s="25">
        <f t="shared" si="14"/>
        <v>1.8693078207515424E-3</v>
      </c>
      <c r="K67" s="36">
        <v>7569241753.0900002</v>
      </c>
      <c r="L67" s="25">
        <f t="shared" si="22"/>
        <v>2.0137665918486709E-3</v>
      </c>
      <c r="M67" s="25">
        <f t="shared" si="23"/>
        <v>0.16131277531071994</v>
      </c>
      <c r="N67" s="26">
        <f t="shared" si="24"/>
        <v>1.7638240956631863E-3</v>
      </c>
      <c r="O67" s="27">
        <f t="shared" si="25"/>
        <v>1.5407865237279508E-2</v>
      </c>
      <c r="P67" s="37">
        <f t="shared" si="26"/>
        <v>1.0005543405914261</v>
      </c>
      <c r="Q67" s="37">
        <f t="shared" si="27"/>
        <v>1.5416406442407755E-2</v>
      </c>
      <c r="R67" s="22">
        <v>1</v>
      </c>
      <c r="S67" s="22">
        <v>1</v>
      </c>
      <c r="T67" s="22">
        <v>4253</v>
      </c>
      <c r="U67" s="35">
        <v>6512874309.5</v>
      </c>
      <c r="V67" s="35">
        <v>7565048139.8299999</v>
      </c>
    </row>
    <row r="68" spans="1:23">
      <c r="A68" s="20">
        <v>61</v>
      </c>
      <c r="B68" s="21" t="s">
        <v>93</v>
      </c>
      <c r="C68" s="21" t="s">
        <v>94</v>
      </c>
      <c r="D68" s="35">
        <v>129077360259.86</v>
      </c>
      <c r="E68" s="35">
        <v>2220413918.8800001</v>
      </c>
      <c r="F68" s="35">
        <v>0</v>
      </c>
      <c r="G68" s="35">
        <v>152108170.24000001</v>
      </c>
      <c r="H68" s="23">
        <f t="shared" si="21"/>
        <v>2068305748.6400001</v>
      </c>
      <c r="I68" s="36">
        <v>117456230032.60001</v>
      </c>
      <c r="J68" s="25">
        <f t="shared" si="14"/>
        <v>3.3686330677739636E-2</v>
      </c>
      <c r="K68" s="36">
        <v>130988795223.33</v>
      </c>
      <c r="L68" s="25">
        <f t="shared" si="22"/>
        <v>3.4849046751554098E-2</v>
      </c>
      <c r="M68" s="25">
        <f t="shared" si="23"/>
        <v>0.11521368587238011</v>
      </c>
      <c r="N68" s="26">
        <f t="shared" si="24"/>
        <v>1.1612303936429252E-3</v>
      </c>
      <c r="O68" s="27">
        <f t="shared" si="25"/>
        <v>1.5789944056769374E-2</v>
      </c>
      <c r="P68" s="37">
        <f t="shared" si="26"/>
        <v>1.0291738577544405</v>
      </c>
      <c r="Q68" s="37">
        <f t="shared" si="27"/>
        <v>1.6250597638632135E-2</v>
      </c>
      <c r="R68" s="22">
        <v>1</v>
      </c>
      <c r="S68" s="22">
        <v>1</v>
      </c>
      <c r="T68" s="22">
        <v>6120</v>
      </c>
      <c r="U68" s="35">
        <v>115790648039.82001</v>
      </c>
      <c r="V68" s="35">
        <v>127275672848.06</v>
      </c>
    </row>
    <row r="69" spans="1:23" ht="15" customHeight="1">
      <c r="A69" s="120" t="s">
        <v>51</v>
      </c>
      <c r="B69" s="120"/>
      <c r="C69" s="120"/>
      <c r="D69" s="120"/>
      <c r="E69" s="120"/>
      <c r="F69" s="120"/>
      <c r="G69" s="120"/>
      <c r="H69" s="120"/>
      <c r="I69" s="34">
        <f>SUM(I27:I68)</f>
        <v>3486762365312.0703</v>
      </c>
      <c r="J69" s="32">
        <f>(I69/$I$234)</f>
        <v>0.55162400830787706</v>
      </c>
      <c r="K69" s="34">
        <f>SUM(K27:K68)</f>
        <v>3758748299693.1196</v>
      </c>
      <c r="L69" s="32">
        <f>(K69/$K$234)</f>
        <v>0.56604018569364267</v>
      </c>
      <c r="M69" s="32">
        <f t="shared" si="16"/>
        <v>7.8005297145251881E-2</v>
      </c>
      <c r="N69" s="26"/>
      <c r="O69" s="26"/>
      <c r="P69" s="39"/>
      <c r="Q69" s="39"/>
      <c r="R69" s="34"/>
      <c r="S69" s="34"/>
      <c r="T69" s="34">
        <f>SUM(T27:T68)</f>
        <v>465039</v>
      </c>
      <c r="U69" s="34"/>
      <c r="V69" s="34"/>
    </row>
    <row r="70" spans="1:23" ht="6.9" customHeight="1">
      <c r="A70" s="122"/>
      <c r="B70" s="122"/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5"/>
    </row>
    <row r="71" spans="1:23">
      <c r="A71" s="119" t="s">
        <v>95</v>
      </c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</row>
    <row r="72" spans="1:23">
      <c r="A72" s="20">
        <v>62</v>
      </c>
      <c r="B72" s="21" t="s">
        <v>96</v>
      </c>
      <c r="C72" s="21" t="s">
        <v>24</v>
      </c>
      <c r="D72" s="22">
        <v>565124894.53999996</v>
      </c>
      <c r="E72" s="22">
        <v>8459660.25</v>
      </c>
      <c r="F72" s="22">
        <v>0</v>
      </c>
      <c r="G72" s="22">
        <v>836713.21</v>
      </c>
      <c r="H72" s="23">
        <f>(E72+F72)-G72</f>
        <v>7622947.04</v>
      </c>
      <c r="I72" s="22">
        <v>594737619.32000005</v>
      </c>
      <c r="J72" s="25">
        <f t="shared" ref="J72:J110" si="29">(I72/$I$111)</f>
        <v>2.7148056955861428E-3</v>
      </c>
      <c r="K72" s="22">
        <v>577845034.11000001</v>
      </c>
      <c r="L72" s="25">
        <f t="shared" ref="L72" si="30">(K72/$K$111)</f>
        <v>2.5106698632706265E-3</v>
      </c>
      <c r="M72" s="25">
        <f t="shared" ref="M72:M111" si="31">((K72-I72)/I72)</f>
        <v>-2.8403424739323477E-2</v>
      </c>
      <c r="N72" s="26">
        <f t="shared" ref="N72" si="32">(G72/K72)</f>
        <v>1.4479889254196154E-3</v>
      </c>
      <c r="O72" s="27">
        <f t="shared" ref="O72" si="33">H72/K72</f>
        <v>1.3192026564251613E-2</v>
      </c>
      <c r="P72" s="37">
        <f t="shared" ref="P72" si="34">K72/V72</f>
        <v>1.6412012461509209</v>
      </c>
      <c r="Q72" s="37">
        <f t="shared" ref="Q72" si="35">H72/V72</f>
        <v>2.16507704365058E-2</v>
      </c>
      <c r="R72" s="22">
        <v>1.58</v>
      </c>
      <c r="S72" s="22">
        <v>1.58</v>
      </c>
      <c r="T72" s="30">
        <v>377</v>
      </c>
      <c r="U72" s="22">
        <v>357766516.69999999</v>
      </c>
      <c r="V72" s="22">
        <v>352086641.08999997</v>
      </c>
    </row>
    <row r="73" spans="1:23" ht="12.9" customHeight="1">
      <c r="A73" s="20">
        <v>63</v>
      </c>
      <c r="B73" s="21" t="s">
        <v>97</v>
      </c>
      <c r="C73" s="22" t="s">
        <v>26</v>
      </c>
      <c r="D73" s="22">
        <v>1055994537</v>
      </c>
      <c r="E73" s="22">
        <v>18089225.219999999</v>
      </c>
      <c r="F73" s="22">
        <v>7368959.6200000001</v>
      </c>
      <c r="G73" s="22">
        <v>2293182.39</v>
      </c>
      <c r="H73" s="23">
        <f t="shared" ref="H73:H110" si="36">(E73+F73)-G73</f>
        <v>23165002.449999999</v>
      </c>
      <c r="I73" s="22">
        <v>1311720853</v>
      </c>
      <c r="J73" s="25">
        <f t="shared" si="29"/>
        <v>5.9876273621552638E-3</v>
      </c>
      <c r="K73" s="22">
        <v>1340818813</v>
      </c>
      <c r="L73" s="25">
        <f t="shared" ref="L73:L110" si="37">(K73/$K$111)</f>
        <v>5.8257027181868393E-3</v>
      </c>
      <c r="M73" s="25">
        <f t="shared" ref="M73:M110" si="38">((K73-I73)/I73)</f>
        <v>2.2183042934364329E-2</v>
      </c>
      <c r="N73" s="26">
        <f t="shared" ref="N73:N110" si="39">(G73/K73)</f>
        <v>1.7102850644444233E-3</v>
      </c>
      <c r="O73" s="27">
        <f t="shared" ref="O73:O110" si="40">H73/K73</f>
        <v>1.7276758220724636E-2</v>
      </c>
      <c r="P73" s="37">
        <f t="shared" ref="P73:P110" si="41">K73/V73</f>
        <v>1.3159411792439235</v>
      </c>
      <c r="Q73" s="37">
        <f t="shared" ref="Q73:Q110" si="42">H73/V73</f>
        <v>2.2735197586492527E-2</v>
      </c>
      <c r="R73" s="22">
        <v>1.3159000000000001</v>
      </c>
      <c r="S73" s="22">
        <v>1.3159000000000001</v>
      </c>
      <c r="T73" s="30">
        <v>1148</v>
      </c>
      <c r="U73" s="22">
        <v>1002313197</v>
      </c>
      <c r="V73" s="22">
        <v>1018904822</v>
      </c>
    </row>
    <row r="74" spans="1:23" ht="15" customHeight="1">
      <c r="A74" s="20">
        <v>64</v>
      </c>
      <c r="B74" s="21" t="s">
        <v>98</v>
      </c>
      <c r="C74" s="21" t="s">
        <v>99</v>
      </c>
      <c r="D74" s="22">
        <v>630517524.99000001</v>
      </c>
      <c r="E74" s="22">
        <v>10447243.880000001</v>
      </c>
      <c r="F74" s="22">
        <v>0</v>
      </c>
      <c r="G74" s="22">
        <v>1505218.62</v>
      </c>
      <c r="H74" s="23">
        <f t="shared" si="36"/>
        <v>8942025.2600000016</v>
      </c>
      <c r="I74" s="22">
        <v>795853454</v>
      </c>
      <c r="J74" s="25">
        <f t="shared" si="29"/>
        <v>3.6328414742646279E-3</v>
      </c>
      <c r="K74" s="22">
        <v>805002790</v>
      </c>
      <c r="L74" s="25">
        <f t="shared" si="37"/>
        <v>3.4976440488316664E-3</v>
      </c>
      <c r="M74" s="25">
        <f t="shared" si="38"/>
        <v>1.1496257199130029E-2</v>
      </c>
      <c r="N74" s="26">
        <f t="shared" si="39"/>
        <v>1.8698303145011461E-3</v>
      </c>
      <c r="O74" s="27">
        <f t="shared" si="40"/>
        <v>1.1108067414275672E-2</v>
      </c>
      <c r="P74" s="37">
        <f t="shared" si="41"/>
        <v>1.1631034818799451</v>
      </c>
      <c r="Q74" s="37">
        <f t="shared" si="42"/>
        <v>1.2919831886501192E-2</v>
      </c>
      <c r="R74" s="22">
        <v>1.1631</v>
      </c>
      <c r="S74" s="22">
        <v>1.1631</v>
      </c>
      <c r="T74" s="30">
        <v>452</v>
      </c>
      <c r="U74" s="22">
        <v>691932380</v>
      </c>
      <c r="V74" s="22">
        <v>692116224</v>
      </c>
    </row>
    <row r="75" spans="1:23">
      <c r="A75" s="20">
        <v>65</v>
      </c>
      <c r="B75" s="21" t="s">
        <v>100</v>
      </c>
      <c r="C75" s="22" t="s">
        <v>101</v>
      </c>
      <c r="D75" s="22">
        <v>247617203.99000001</v>
      </c>
      <c r="E75" s="22">
        <v>4071026.88</v>
      </c>
      <c r="F75" s="22">
        <v>0</v>
      </c>
      <c r="G75" s="22">
        <v>496674.34</v>
      </c>
      <c r="H75" s="23">
        <f t="shared" si="36"/>
        <v>3574352.54</v>
      </c>
      <c r="I75" s="22">
        <v>292268768.29000002</v>
      </c>
      <c r="J75" s="25">
        <f t="shared" si="29"/>
        <v>1.3341226299134095E-3</v>
      </c>
      <c r="K75" s="22">
        <v>296283153.18000001</v>
      </c>
      <c r="L75" s="25">
        <f t="shared" si="37"/>
        <v>1.2873160445681289E-3</v>
      </c>
      <c r="M75" s="25">
        <f t="shared" si="38"/>
        <v>1.3735250993416999E-2</v>
      </c>
      <c r="N75" s="26">
        <f t="shared" si="39"/>
        <v>1.6763502570740394E-3</v>
      </c>
      <c r="O75" s="27">
        <f t="shared" si="40"/>
        <v>1.2063974956512241E-2</v>
      </c>
      <c r="P75" s="37">
        <f t="shared" si="41"/>
        <v>1163.5830545497388</v>
      </c>
      <c r="Q75" s="37">
        <f t="shared" si="42"/>
        <v>14.037436829910066</v>
      </c>
      <c r="R75" s="22">
        <v>1163.58</v>
      </c>
      <c r="S75" s="22">
        <v>1163.58</v>
      </c>
      <c r="T75" s="30">
        <v>100</v>
      </c>
      <c r="U75" s="22">
        <v>254100</v>
      </c>
      <c r="V75" s="22">
        <v>254630</v>
      </c>
    </row>
    <row r="76" spans="1:23">
      <c r="A76" s="20">
        <v>66</v>
      </c>
      <c r="B76" s="21" t="s">
        <v>102</v>
      </c>
      <c r="C76" s="22" t="s">
        <v>103</v>
      </c>
      <c r="D76" s="22">
        <v>1610114453.72</v>
      </c>
      <c r="E76" s="22">
        <v>12417523.15</v>
      </c>
      <c r="F76" s="22">
        <v>0</v>
      </c>
      <c r="G76" s="22">
        <v>2396986.84</v>
      </c>
      <c r="H76" s="23">
        <f t="shared" si="36"/>
        <v>10020536.310000001</v>
      </c>
      <c r="I76" s="22">
        <v>1620984671.6400001</v>
      </c>
      <c r="J76" s="25">
        <f t="shared" si="29"/>
        <v>7.3993274951358341E-3</v>
      </c>
      <c r="K76" s="22">
        <v>1619252138.27</v>
      </c>
      <c r="L76" s="25">
        <f t="shared" si="37"/>
        <v>7.0354633242675048E-3</v>
      </c>
      <c r="M76" s="25">
        <f t="shared" si="38"/>
        <v>-1.0688153936997237E-3</v>
      </c>
      <c r="N76" s="26">
        <f t="shared" si="39"/>
        <v>1.4803048786218849E-3</v>
      </c>
      <c r="O76" s="27">
        <f t="shared" si="40"/>
        <v>6.1883730601127295E-3</v>
      </c>
      <c r="P76" s="37">
        <f t="shared" si="41"/>
        <v>1.0462615300008686</v>
      </c>
      <c r="Q76" s="37">
        <f t="shared" si="42"/>
        <v>6.4746566660897021E-3</v>
      </c>
      <c r="R76" s="22">
        <v>1.0463</v>
      </c>
      <c r="S76" s="22">
        <v>1.0463</v>
      </c>
      <c r="T76" s="30">
        <v>941</v>
      </c>
      <c r="U76" s="22">
        <v>1572101793.5699999</v>
      </c>
      <c r="V76" s="22">
        <v>1547655239</v>
      </c>
    </row>
    <row r="77" spans="1:23">
      <c r="A77" s="20">
        <v>67</v>
      </c>
      <c r="B77" s="21" t="s">
        <v>104</v>
      </c>
      <c r="C77" s="21" t="s">
        <v>105</v>
      </c>
      <c r="D77" s="22">
        <v>487463195.04000002</v>
      </c>
      <c r="E77" s="22">
        <v>6803143.4400000004</v>
      </c>
      <c r="F77" s="22">
        <v>0</v>
      </c>
      <c r="G77" s="22">
        <v>906564.93</v>
      </c>
      <c r="H77" s="23">
        <f t="shared" si="36"/>
        <v>5896578.5100000007</v>
      </c>
      <c r="I77" s="22">
        <v>466372526.18000001</v>
      </c>
      <c r="J77" s="25">
        <f t="shared" si="29"/>
        <v>2.1288560689770785E-3</v>
      </c>
      <c r="K77" s="22">
        <v>472279104.94999999</v>
      </c>
      <c r="L77" s="25">
        <f t="shared" si="37"/>
        <v>2.051998106510803E-3</v>
      </c>
      <c r="M77" s="25">
        <f t="shared" si="38"/>
        <v>1.2664937230286786E-2</v>
      </c>
      <c r="N77" s="26">
        <f t="shared" si="39"/>
        <v>1.9195533329724121E-3</v>
      </c>
      <c r="O77" s="27">
        <f t="shared" si="40"/>
        <v>1.2485368182071636E-2</v>
      </c>
      <c r="P77" s="37">
        <f t="shared" si="41"/>
        <v>2.7064664228922921</v>
      </c>
      <c r="Q77" s="37">
        <f t="shared" si="42"/>
        <v>3.3791229762224657E-2</v>
      </c>
      <c r="R77" s="22">
        <v>2.6983999999999999</v>
      </c>
      <c r="S77" s="22">
        <v>2.6983999999999999</v>
      </c>
      <c r="T77" s="30">
        <v>1391</v>
      </c>
      <c r="U77" s="22">
        <v>174496532.87</v>
      </c>
      <c r="V77" s="22">
        <v>174500263.87</v>
      </c>
    </row>
    <row r="78" spans="1:23">
      <c r="A78" s="20">
        <v>68</v>
      </c>
      <c r="B78" s="21" t="s">
        <v>303</v>
      </c>
      <c r="C78" s="21" t="s">
        <v>304</v>
      </c>
      <c r="D78" s="22">
        <f>526083381.24+42300240.25+66251076.91</f>
        <v>634634698.39999998</v>
      </c>
      <c r="E78" s="22">
        <v>12584089.869999999</v>
      </c>
      <c r="F78" s="22">
        <v>0</v>
      </c>
      <c r="G78" s="22">
        <v>3538085.3</v>
      </c>
      <c r="H78" s="23">
        <f t="shared" si="36"/>
        <v>9046004.5700000003</v>
      </c>
      <c r="I78" s="22">
        <v>0</v>
      </c>
      <c r="J78" s="25">
        <f t="shared" si="29"/>
        <v>0</v>
      </c>
      <c r="K78" s="22">
        <v>760832424.08000004</v>
      </c>
      <c r="L78" s="25">
        <f t="shared" si="37"/>
        <v>3.3057289158483325E-3</v>
      </c>
      <c r="M78" s="25" t="e">
        <f t="shared" si="38"/>
        <v>#DIV/0!</v>
      </c>
      <c r="N78" s="26">
        <f t="shared" si="39"/>
        <v>4.6502819648863662E-3</v>
      </c>
      <c r="O78" s="27">
        <f t="shared" si="40"/>
        <v>1.1889614958166966E-2</v>
      </c>
      <c r="P78" s="37">
        <f t="shared" si="41"/>
        <v>1051.9996184866397</v>
      </c>
      <c r="Q78" s="37">
        <f t="shared" si="42"/>
        <v>12.507870399944693</v>
      </c>
      <c r="R78" s="22">
        <v>1051.99</v>
      </c>
      <c r="S78" s="22">
        <v>1051.99</v>
      </c>
      <c r="T78" s="22">
        <v>168</v>
      </c>
      <c r="U78" s="22">
        <v>701470</v>
      </c>
      <c r="V78" s="22">
        <v>723225</v>
      </c>
    </row>
    <row r="79" spans="1:23" ht="14.4" customHeight="1">
      <c r="A79" s="20">
        <v>69</v>
      </c>
      <c r="B79" s="21" t="s">
        <v>247</v>
      </c>
      <c r="C79" s="21" t="s">
        <v>216</v>
      </c>
      <c r="D79" s="22">
        <v>223415791.53</v>
      </c>
      <c r="E79" s="22">
        <v>12313487.220000001</v>
      </c>
      <c r="F79" s="22">
        <v>0</v>
      </c>
      <c r="G79" s="22">
        <v>442788.96</v>
      </c>
      <c r="H79" s="23">
        <f t="shared" si="36"/>
        <v>11870698.26</v>
      </c>
      <c r="I79" s="22">
        <v>171814802.22</v>
      </c>
      <c r="J79" s="25">
        <f t="shared" si="29"/>
        <v>7.8428501661989428E-4</v>
      </c>
      <c r="K79" s="22">
        <v>220424409.38</v>
      </c>
      <c r="L79" s="25">
        <f t="shared" si="37"/>
        <v>9.5771857347872293E-4</v>
      </c>
      <c r="M79" s="25">
        <f t="shared" si="38"/>
        <v>0.28291862244649851</v>
      </c>
      <c r="N79" s="26">
        <f t="shared" si="39"/>
        <v>2.0088018438858797E-3</v>
      </c>
      <c r="O79" s="27">
        <f t="shared" si="40"/>
        <v>5.3853828137225696E-2</v>
      </c>
      <c r="P79" s="37">
        <f t="shared" si="41"/>
        <v>11.892912187288498</v>
      </c>
      <c r="Q79" s="37">
        <f t="shared" si="42"/>
        <v>0.64047884898535179</v>
      </c>
      <c r="R79" s="22">
        <v>11.892899999999999</v>
      </c>
      <c r="S79" s="22">
        <v>11.964</v>
      </c>
      <c r="T79" s="30">
        <v>41</v>
      </c>
      <c r="U79" s="22">
        <v>14489656.24</v>
      </c>
      <c r="V79" s="22">
        <v>18534098.789999999</v>
      </c>
    </row>
    <row r="80" spans="1:23">
      <c r="A80" s="20">
        <v>70</v>
      </c>
      <c r="B80" s="22" t="s">
        <v>106</v>
      </c>
      <c r="C80" s="21" t="s">
        <v>60</v>
      </c>
      <c r="D80" s="22">
        <v>2123888936.6099999</v>
      </c>
      <c r="E80" s="22">
        <v>21904241.93</v>
      </c>
      <c r="F80" s="22">
        <v>0</v>
      </c>
      <c r="G80" s="22">
        <v>3888688.39</v>
      </c>
      <c r="H80" s="23">
        <f t="shared" si="36"/>
        <v>18015553.539999999</v>
      </c>
      <c r="I80" s="22">
        <v>2085831319.29</v>
      </c>
      <c r="J80" s="25">
        <f t="shared" si="29"/>
        <v>9.5212183687234681E-3</v>
      </c>
      <c r="K80" s="22">
        <v>2101277274.5999999</v>
      </c>
      <c r="L80" s="25">
        <f t="shared" si="37"/>
        <v>9.1298068102967853E-3</v>
      </c>
      <c r="M80" s="25">
        <f t="shared" si="38"/>
        <v>7.4051794922983614E-3</v>
      </c>
      <c r="N80" s="26">
        <f t="shared" si="39"/>
        <v>1.8506307744370635E-3</v>
      </c>
      <c r="O80" s="27">
        <f t="shared" si="40"/>
        <v>8.5736203202547122E-3</v>
      </c>
      <c r="P80" s="37">
        <f t="shared" si="41"/>
        <v>4723.5489628019131</v>
      </c>
      <c r="Q80" s="37">
        <f t="shared" si="42"/>
        <v>40.497915371196555</v>
      </c>
      <c r="R80" s="22">
        <v>4723.55</v>
      </c>
      <c r="S80" s="22">
        <v>4723.55</v>
      </c>
      <c r="T80" s="30">
        <v>1141</v>
      </c>
      <c r="U80" s="22">
        <v>445399.9</v>
      </c>
      <c r="V80" s="22">
        <v>444851.38</v>
      </c>
    </row>
    <row r="81" spans="1:24">
      <c r="A81" s="20">
        <v>71</v>
      </c>
      <c r="B81" s="21" t="s">
        <v>107</v>
      </c>
      <c r="C81" s="21" t="s">
        <v>62</v>
      </c>
      <c r="D81" s="22">
        <v>321270171.47000003</v>
      </c>
      <c r="E81" s="22">
        <v>4196678.38</v>
      </c>
      <c r="F81" s="22">
        <v>0</v>
      </c>
      <c r="G81" s="22">
        <v>707864.22</v>
      </c>
      <c r="H81" s="23">
        <f t="shared" si="36"/>
        <v>3488814.16</v>
      </c>
      <c r="I81" s="22">
        <v>339211288.89999998</v>
      </c>
      <c r="J81" s="25">
        <f t="shared" si="29"/>
        <v>1.5484016971479785E-3</v>
      </c>
      <c r="K81" s="22">
        <v>340056164.66000003</v>
      </c>
      <c r="L81" s="25">
        <f t="shared" si="37"/>
        <v>1.4775047184514359E-3</v>
      </c>
      <c r="M81" s="25">
        <f t="shared" si="38"/>
        <v>2.4907064937013954E-3</v>
      </c>
      <c r="N81" s="26">
        <f t="shared" si="39"/>
        <v>2.0816097267571882E-3</v>
      </c>
      <c r="O81" s="27">
        <f t="shared" si="40"/>
        <v>1.0259523345175164E-2</v>
      </c>
      <c r="P81" s="37">
        <f t="shared" si="41"/>
        <v>113.74934342680871</v>
      </c>
      <c r="Q81" s="37">
        <f t="shared" si="42"/>
        <v>1.1670140443856911</v>
      </c>
      <c r="R81" s="22">
        <v>114.14</v>
      </c>
      <c r="S81" s="22">
        <v>114.14</v>
      </c>
      <c r="T81" s="30">
        <v>91</v>
      </c>
      <c r="U81" s="22">
        <v>2987336</v>
      </c>
      <c r="V81" s="22">
        <v>2989522</v>
      </c>
      <c r="W81" s="7"/>
      <c r="X81" s="7"/>
    </row>
    <row r="82" spans="1:24">
      <c r="A82" s="20">
        <v>72</v>
      </c>
      <c r="B82" s="22" t="s">
        <v>108</v>
      </c>
      <c r="C82" s="22" t="s">
        <v>64</v>
      </c>
      <c r="D82" s="22">
        <v>429376130.25</v>
      </c>
      <c r="E82" s="22">
        <v>1956187.38</v>
      </c>
      <c r="F82" s="22">
        <v>6781860.5300000003</v>
      </c>
      <c r="G82" s="22">
        <v>869214.54</v>
      </c>
      <c r="H82" s="23">
        <f t="shared" si="36"/>
        <v>7868833.3700000001</v>
      </c>
      <c r="I82" s="22">
        <v>411256508.39999998</v>
      </c>
      <c r="J82" s="25">
        <f t="shared" si="29"/>
        <v>1.8772673445942968E-3</v>
      </c>
      <c r="K82" s="22">
        <v>438635153.50999999</v>
      </c>
      <c r="L82" s="25">
        <f t="shared" si="37"/>
        <v>1.9058190273882356E-3</v>
      </c>
      <c r="M82" s="25">
        <f t="shared" si="38"/>
        <v>6.6573159453493083E-2</v>
      </c>
      <c r="N82" s="26">
        <f t="shared" si="39"/>
        <v>1.981634470115911E-3</v>
      </c>
      <c r="O82" s="27">
        <f t="shared" si="40"/>
        <v>1.7939358729077801E-2</v>
      </c>
      <c r="P82" s="37">
        <f t="shared" si="41"/>
        <v>1.4636098025748199</v>
      </c>
      <c r="Q82" s="37">
        <f t="shared" si="42"/>
        <v>2.6256221287784435E-2</v>
      </c>
      <c r="R82" s="22">
        <v>1.4636</v>
      </c>
      <c r="S82" s="22">
        <v>1.4636</v>
      </c>
      <c r="T82" s="30">
        <v>524</v>
      </c>
      <c r="U82" s="22">
        <v>283651354.43000001</v>
      </c>
      <c r="V82" s="22">
        <v>299694052.83999997</v>
      </c>
    </row>
    <row r="83" spans="1:24">
      <c r="A83" s="20">
        <v>73</v>
      </c>
      <c r="B83" s="21" t="s">
        <v>259</v>
      </c>
      <c r="C83" s="21" t="s">
        <v>64</v>
      </c>
      <c r="D83" s="40">
        <v>21770586.399999999</v>
      </c>
      <c r="E83" s="22">
        <v>470640.83</v>
      </c>
      <c r="F83" s="22">
        <v>819481.88</v>
      </c>
      <c r="G83" s="22">
        <v>388903.2</v>
      </c>
      <c r="H83" s="23">
        <f t="shared" si="36"/>
        <v>901219.51</v>
      </c>
      <c r="I83" s="22">
        <v>23406911.5</v>
      </c>
      <c r="J83" s="25">
        <f t="shared" si="29"/>
        <v>1.0684579988220002E-4</v>
      </c>
      <c r="K83" s="22">
        <v>22547367.460000001</v>
      </c>
      <c r="L83" s="25">
        <f t="shared" si="37"/>
        <v>9.7965704706799549E-5</v>
      </c>
      <c r="M83" s="25">
        <f t="shared" si="38"/>
        <v>-3.6721805010455952E-2</v>
      </c>
      <c r="N83" s="26">
        <f t="shared" si="39"/>
        <v>1.7248275244989508E-2</v>
      </c>
      <c r="O83" s="27">
        <f t="shared" si="40"/>
        <v>3.9970054668191403E-2</v>
      </c>
      <c r="P83" s="37">
        <f t="shared" si="41"/>
        <v>0.86940482181430812</v>
      </c>
      <c r="Q83" s="37">
        <f t="shared" si="42"/>
        <v>3.4750158256707103E-2</v>
      </c>
      <c r="R83" s="30">
        <v>0.86939999999999995</v>
      </c>
      <c r="S83" s="35">
        <v>0.86939999999999995</v>
      </c>
      <c r="T83" s="30">
        <v>1</v>
      </c>
      <c r="U83" s="22">
        <v>25934256.280000001</v>
      </c>
      <c r="V83" s="22">
        <v>25934256.280000001</v>
      </c>
    </row>
    <row r="84" spans="1:24">
      <c r="A84" s="20">
        <v>74</v>
      </c>
      <c r="B84" s="21" t="s">
        <v>241</v>
      </c>
      <c r="C84" s="21" t="s">
        <v>48</v>
      </c>
      <c r="D84" s="22">
        <v>148939750.16999999</v>
      </c>
      <c r="E84" s="22">
        <v>821287.59</v>
      </c>
      <c r="F84" s="22">
        <v>0</v>
      </c>
      <c r="G84" s="22">
        <v>351079.12</v>
      </c>
      <c r="H84" s="23">
        <f t="shared" si="36"/>
        <v>470208.47</v>
      </c>
      <c r="I84" s="22">
        <v>147705752.11000001</v>
      </c>
      <c r="J84" s="25">
        <f t="shared" si="29"/>
        <v>6.7423415649667858E-4</v>
      </c>
      <c r="K84" s="22">
        <v>155972977.91</v>
      </c>
      <c r="L84" s="25">
        <f t="shared" si="37"/>
        <v>6.7768455555969505E-4</v>
      </c>
      <c r="M84" s="25">
        <f t="shared" si="38"/>
        <v>5.5970912993579161E-2</v>
      </c>
      <c r="N84" s="26">
        <f t="shared" si="39"/>
        <v>2.250897076560151E-3</v>
      </c>
      <c r="O84" s="27">
        <f t="shared" si="40"/>
        <v>3.014679057235934E-3</v>
      </c>
      <c r="P84" s="37">
        <f t="shared" si="41"/>
        <v>133.43781434487551</v>
      </c>
      <c r="Q84" s="37">
        <f t="shared" si="42"/>
        <v>0.40227218434883288</v>
      </c>
      <c r="R84" s="22">
        <v>133.43780000000001</v>
      </c>
      <c r="S84" s="22">
        <v>133.43780000000001</v>
      </c>
      <c r="T84" s="30">
        <v>103</v>
      </c>
      <c r="U84" s="22">
        <v>1148506.96</v>
      </c>
      <c r="V84" s="22">
        <v>1168881.3899999999</v>
      </c>
    </row>
    <row r="85" spans="1:24">
      <c r="A85" s="20">
        <v>75</v>
      </c>
      <c r="B85" s="21" t="s">
        <v>109</v>
      </c>
      <c r="C85" s="21" t="s">
        <v>110</v>
      </c>
      <c r="D85" s="22">
        <v>276059663</v>
      </c>
      <c r="E85" s="22">
        <v>35916831.509999998</v>
      </c>
      <c r="F85" s="22">
        <v>0</v>
      </c>
      <c r="G85" s="22">
        <v>3742616.59</v>
      </c>
      <c r="H85" s="23">
        <f t="shared" si="36"/>
        <v>32174214.919999998</v>
      </c>
      <c r="I85" s="22">
        <v>2206939091.3200002</v>
      </c>
      <c r="J85" s="25">
        <f t="shared" si="29"/>
        <v>1.0074040417651047E-2</v>
      </c>
      <c r="K85" s="22">
        <v>2324217707.8099999</v>
      </c>
      <c r="L85" s="25">
        <f t="shared" si="37"/>
        <v>1.0098457216416385E-2</v>
      </c>
      <c r="M85" s="25">
        <f t="shared" si="38"/>
        <v>5.3140848767083027E-2</v>
      </c>
      <c r="N85" s="26">
        <f t="shared" si="39"/>
        <v>1.6102693725393263E-3</v>
      </c>
      <c r="O85" s="27">
        <f t="shared" si="40"/>
        <v>1.3843029769494457E-2</v>
      </c>
      <c r="P85" s="37">
        <f t="shared" si="41"/>
        <v>1376.5213290923471</v>
      </c>
      <c r="Q85" s="37">
        <f t="shared" si="42"/>
        <v>19.055225736969433</v>
      </c>
      <c r="R85" s="22">
        <v>1000</v>
      </c>
      <c r="S85" s="22">
        <v>1000</v>
      </c>
      <c r="T85" s="30">
        <v>363</v>
      </c>
      <c r="U85" s="22">
        <v>1644971.99</v>
      </c>
      <c r="V85" s="22">
        <v>1688471.99</v>
      </c>
    </row>
    <row r="86" spans="1:24">
      <c r="A86" s="20">
        <v>76</v>
      </c>
      <c r="B86" s="21" t="s">
        <v>111</v>
      </c>
      <c r="C86" s="21" t="s">
        <v>66</v>
      </c>
      <c r="D86" s="22">
        <v>159461929.03999999</v>
      </c>
      <c r="E86" s="22">
        <v>1827194.03</v>
      </c>
      <c r="F86" s="22">
        <v>0</v>
      </c>
      <c r="G86" s="22">
        <v>566291.44999999995</v>
      </c>
      <c r="H86" s="23">
        <f t="shared" si="36"/>
        <v>1260902.58</v>
      </c>
      <c r="I86" s="22">
        <v>157516688.84</v>
      </c>
      <c r="J86" s="25">
        <f t="shared" si="29"/>
        <v>7.1901825295940514E-4</v>
      </c>
      <c r="K86" s="22">
        <v>161560581.13</v>
      </c>
      <c r="L86" s="25">
        <f t="shared" si="37"/>
        <v>7.0196204551679897E-4</v>
      </c>
      <c r="M86" s="25">
        <f t="shared" si="38"/>
        <v>2.5672786291918805E-2</v>
      </c>
      <c r="N86" s="26">
        <f t="shared" si="39"/>
        <v>3.5051337773063132E-3</v>
      </c>
      <c r="O86" s="27">
        <f t="shared" si="40"/>
        <v>7.8045187209707587E-3</v>
      </c>
      <c r="P86" s="37">
        <f t="shared" si="41"/>
        <v>1106.2156354760079</v>
      </c>
      <c r="Q86" s="37">
        <f t="shared" si="42"/>
        <v>8.6334806365030676</v>
      </c>
      <c r="R86" s="22">
        <v>1051.42</v>
      </c>
      <c r="S86" s="22">
        <v>1061.33</v>
      </c>
      <c r="T86" s="30">
        <v>283</v>
      </c>
      <c r="U86" s="22">
        <v>146819</v>
      </c>
      <c r="V86" s="22">
        <v>146048</v>
      </c>
    </row>
    <row r="87" spans="1:24">
      <c r="A87" s="20">
        <v>77</v>
      </c>
      <c r="B87" s="21" t="s">
        <v>112</v>
      </c>
      <c r="C87" s="22" t="s">
        <v>69</v>
      </c>
      <c r="D87" s="22">
        <v>677018134.37</v>
      </c>
      <c r="E87" s="22">
        <v>15506862.460000001</v>
      </c>
      <c r="F87" s="22">
        <v>0</v>
      </c>
      <c r="G87" s="22">
        <v>2436577.9</v>
      </c>
      <c r="H87" s="23">
        <f t="shared" si="36"/>
        <v>13070284.560000001</v>
      </c>
      <c r="I87" s="22">
        <v>685282493.35000002</v>
      </c>
      <c r="J87" s="25">
        <f t="shared" si="29"/>
        <v>3.1281169302173491E-3</v>
      </c>
      <c r="K87" s="22">
        <v>664246301.00999999</v>
      </c>
      <c r="L87" s="25">
        <f t="shared" si="37"/>
        <v>2.8860733783122347E-3</v>
      </c>
      <c r="M87" s="25">
        <f t="shared" si="38"/>
        <v>-3.0697110380223946E-2</v>
      </c>
      <c r="N87" s="26">
        <f t="shared" si="39"/>
        <v>3.6681843712116028E-3</v>
      </c>
      <c r="O87" s="27">
        <f t="shared" si="40"/>
        <v>1.967686465114878E-2</v>
      </c>
      <c r="P87" s="37">
        <f t="shared" si="41"/>
        <v>1.0961792329370137</v>
      </c>
      <c r="Q87" s="37">
        <f t="shared" si="42"/>
        <v>2.156937039990171E-2</v>
      </c>
      <c r="R87" s="22">
        <v>1.1395</v>
      </c>
      <c r="S87" s="22">
        <v>1.1395</v>
      </c>
      <c r="T87" s="30">
        <v>53</v>
      </c>
      <c r="U87" s="22">
        <v>596269729.90999997</v>
      </c>
      <c r="V87" s="22">
        <v>605965047.54999995</v>
      </c>
    </row>
    <row r="88" spans="1:24">
      <c r="A88" s="20">
        <v>78</v>
      </c>
      <c r="B88" s="21" t="s">
        <v>248</v>
      </c>
      <c r="C88" s="21" t="s">
        <v>30</v>
      </c>
      <c r="D88" s="22">
        <v>12061416267.83</v>
      </c>
      <c r="E88" s="22">
        <v>136804783.87</v>
      </c>
      <c r="F88" s="22">
        <v>0</v>
      </c>
      <c r="G88" s="22">
        <v>14254375.050000001</v>
      </c>
      <c r="H88" s="23">
        <f t="shared" si="36"/>
        <v>122550408.82000001</v>
      </c>
      <c r="I88" s="22">
        <v>11777511441.139999</v>
      </c>
      <c r="J88" s="25">
        <f t="shared" si="29"/>
        <v>5.3760942811714632E-2</v>
      </c>
      <c r="K88" s="22">
        <v>11733266791.65</v>
      </c>
      <c r="L88" s="25">
        <f t="shared" si="37"/>
        <v>5.09796876196775E-2</v>
      </c>
      <c r="M88" s="25">
        <f t="shared" si="38"/>
        <v>-3.7567061353427247E-3</v>
      </c>
      <c r="N88" s="26">
        <f t="shared" si="39"/>
        <v>1.2148683996637793E-3</v>
      </c>
      <c r="O88" s="27">
        <f t="shared" si="40"/>
        <v>1.0444696348949742E-2</v>
      </c>
      <c r="P88" s="37">
        <f t="shared" si="41"/>
        <v>1734.6196444228262</v>
      </c>
      <c r="Q88" s="37">
        <f t="shared" si="42"/>
        <v>18.117575466919593</v>
      </c>
      <c r="R88" s="22">
        <v>1734.61</v>
      </c>
      <c r="S88" s="22">
        <v>1734.61</v>
      </c>
      <c r="T88" s="30">
        <v>2066</v>
      </c>
      <c r="U88" s="22">
        <v>6814409.8899999997</v>
      </c>
      <c r="V88" s="22">
        <v>6764172.6699999999</v>
      </c>
    </row>
    <row r="89" spans="1:24" ht="14.4" customHeight="1">
      <c r="A89" s="20">
        <v>79</v>
      </c>
      <c r="B89" s="21" t="s">
        <v>113</v>
      </c>
      <c r="C89" s="21" t="s">
        <v>75</v>
      </c>
      <c r="D89" s="22">
        <v>22139072.539999999</v>
      </c>
      <c r="E89" s="22">
        <v>295034.08</v>
      </c>
      <c r="F89" s="22">
        <v>0</v>
      </c>
      <c r="G89" s="22">
        <v>251563.49</v>
      </c>
      <c r="H89" s="23">
        <f t="shared" si="36"/>
        <v>43470.590000000026</v>
      </c>
      <c r="I89" s="22">
        <v>23231361.07</v>
      </c>
      <c r="J89" s="25">
        <f t="shared" si="29"/>
        <v>1.0604446280220917E-4</v>
      </c>
      <c r="K89" s="22">
        <v>23239225.73</v>
      </c>
      <c r="L89" s="25">
        <f t="shared" si="37"/>
        <v>1.0097174889790164E-4</v>
      </c>
      <c r="M89" s="25">
        <f t="shared" si="38"/>
        <v>3.3853634215845577E-4</v>
      </c>
      <c r="N89" s="26">
        <f t="shared" si="39"/>
        <v>1.0824951438689777E-2</v>
      </c>
      <c r="O89" s="27">
        <f t="shared" si="40"/>
        <v>1.8705696353679691E-3</v>
      </c>
      <c r="P89" s="37">
        <f t="shared" si="41"/>
        <v>0.70983483226651289</v>
      </c>
      <c r="Q89" s="37">
        <f t="shared" si="42"/>
        <v>1.3277954833642545E-3</v>
      </c>
      <c r="R89" s="22">
        <v>0.70979999999999999</v>
      </c>
      <c r="S89" s="22">
        <v>0.70979999999999999</v>
      </c>
      <c r="T89" s="30">
        <v>729</v>
      </c>
      <c r="U89" s="22">
        <v>32786026.649999999</v>
      </c>
      <c r="V89" s="22">
        <v>32738919.920000002</v>
      </c>
    </row>
    <row r="90" spans="1:24" ht="14.4" customHeight="1">
      <c r="A90" s="20">
        <v>80</v>
      </c>
      <c r="B90" s="21" t="s">
        <v>242</v>
      </c>
      <c r="C90" s="22" t="s">
        <v>36</v>
      </c>
      <c r="D90" s="22">
        <v>12696892656.65</v>
      </c>
      <c r="E90" s="22">
        <v>110132819.67</v>
      </c>
      <c r="F90" s="22">
        <v>0</v>
      </c>
      <c r="G90" s="22">
        <v>3416058.5</v>
      </c>
      <c r="H90" s="23">
        <f t="shared" si="36"/>
        <v>106716761.17</v>
      </c>
      <c r="I90" s="22">
        <v>10005759659.07</v>
      </c>
      <c r="J90" s="25">
        <f t="shared" si="29"/>
        <v>4.5673406942320562E-2</v>
      </c>
      <c r="K90" s="22">
        <v>10009997593.33</v>
      </c>
      <c r="L90" s="25">
        <f t="shared" si="37"/>
        <v>4.3492282195854229E-2</v>
      </c>
      <c r="M90" s="25">
        <f t="shared" si="38"/>
        <v>4.2354947594195263E-4</v>
      </c>
      <c r="N90" s="26">
        <f t="shared" si="39"/>
        <v>3.4126466746368006E-4</v>
      </c>
      <c r="O90" s="27">
        <f t="shared" si="40"/>
        <v>1.0661017665090049E-2</v>
      </c>
      <c r="P90" s="37">
        <f t="shared" si="41"/>
        <v>1</v>
      </c>
      <c r="Q90" s="37">
        <f t="shared" si="42"/>
        <v>1.0661017665090049E-2</v>
      </c>
      <c r="R90" s="22">
        <v>1</v>
      </c>
      <c r="S90" s="22">
        <v>1</v>
      </c>
      <c r="T90" s="30">
        <v>4464</v>
      </c>
      <c r="U90" s="22">
        <v>10005759659.07</v>
      </c>
      <c r="V90" s="22">
        <v>10009997593.33</v>
      </c>
    </row>
    <row r="91" spans="1:24">
      <c r="A91" s="20">
        <v>81</v>
      </c>
      <c r="B91" s="22" t="s">
        <v>114</v>
      </c>
      <c r="C91" s="22" t="s">
        <v>115</v>
      </c>
      <c r="D91" s="22">
        <v>1587085613.02</v>
      </c>
      <c r="E91" s="22">
        <v>46897181.079999998</v>
      </c>
      <c r="F91" s="22">
        <v>0</v>
      </c>
      <c r="G91" s="22">
        <v>2674242.5299999998</v>
      </c>
      <c r="H91" s="23">
        <f t="shared" si="36"/>
        <v>44222938.549999997</v>
      </c>
      <c r="I91" s="22">
        <v>1557526491.46</v>
      </c>
      <c r="J91" s="25">
        <f t="shared" si="29"/>
        <v>7.1096592054769921E-3</v>
      </c>
      <c r="K91" s="22">
        <v>1566612276.8599999</v>
      </c>
      <c r="L91" s="25">
        <f t="shared" si="37"/>
        <v>6.80674921261578E-3</v>
      </c>
      <c r="M91" s="25">
        <f t="shared" si="38"/>
        <v>5.8334708589662509E-3</v>
      </c>
      <c r="N91" s="26">
        <f t="shared" si="39"/>
        <v>1.7070225795498366E-3</v>
      </c>
      <c r="O91" s="27">
        <f t="shared" si="40"/>
        <v>2.8228387587155346E-2</v>
      </c>
      <c r="P91" s="37">
        <f t="shared" si="41"/>
        <v>262.90173073955032</v>
      </c>
      <c r="Q91" s="37">
        <f t="shared" si="42"/>
        <v>7.4212919526499803</v>
      </c>
      <c r="R91" s="22">
        <v>262.90170000000001</v>
      </c>
      <c r="S91" s="22">
        <v>266.33749999999998</v>
      </c>
      <c r="T91" s="30">
        <v>565</v>
      </c>
      <c r="U91" s="22">
        <v>6021479.2699999996</v>
      </c>
      <c r="V91" s="22">
        <v>5958927.21</v>
      </c>
    </row>
    <row r="92" spans="1:24">
      <c r="A92" s="20">
        <v>82</v>
      </c>
      <c r="B92" s="21" t="s">
        <v>116</v>
      </c>
      <c r="C92" s="22" t="s">
        <v>38</v>
      </c>
      <c r="D92" s="22">
        <v>1149161336.9100001</v>
      </c>
      <c r="E92" s="22">
        <v>13378234.34</v>
      </c>
      <c r="F92" s="22">
        <v>0</v>
      </c>
      <c r="G92" s="22">
        <v>1720026.92</v>
      </c>
      <c r="H92" s="23">
        <f t="shared" si="36"/>
        <v>11658207.42</v>
      </c>
      <c r="I92" s="22">
        <v>1136855916.1500001</v>
      </c>
      <c r="J92" s="25">
        <f t="shared" si="29"/>
        <v>5.1894193606814836E-3</v>
      </c>
      <c r="K92" s="22">
        <v>1137812007.8399999</v>
      </c>
      <c r="L92" s="25">
        <f t="shared" si="37"/>
        <v>4.9436616212358538E-3</v>
      </c>
      <c r="M92" s="25">
        <f t="shared" si="38"/>
        <v>8.409963623514004E-4</v>
      </c>
      <c r="N92" s="26">
        <f t="shared" si="39"/>
        <v>1.5116969307304687E-3</v>
      </c>
      <c r="O92" s="27">
        <f t="shared" si="40"/>
        <v>1.0246163109257137E-2</v>
      </c>
      <c r="P92" s="37">
        <f t="shared" si="41"/>
        <v>3.8910479225610706</v>
      </c>
      <c r="Q92" s="37">
        <f t="shared" si="42"/>
        <v>3.9868311680496864E-2</v>
      </c>
      <c r="R92" s="22">
        <v>3.89</v>
      </c>
      <c r="S92" s="22">
        <v>3.89</v>
      </c>
      <c r="T92" s="30">
        <v>768</v>
      </c>
      <c r="U92" s="22">
        <v>294331151</v>
      </c>
      <c r="V92" s="22">
        <v>292417886</v>
      </c>
    </row>
    <row r="93" spans="1:24">
      <c r="A93" s="20">
        <v>83</v>
      </c>
      <c r="B93" s="21" t="s">
        <v>246</v>
      </c>
      <c r="C93" s="21" t="s">
        <v>40</v>
      </c>
      <c r="D93" s="22">
        <v>645734626.62</v>
      </c>
      <c r="E93" s="22">
        <v>8841910.8499999996</v>
      </c>
      <c r="F93" s="22">
        <v>0</v>
      </c>
      <c r="G93" s="22">
        <v>1308531.48</v>
      </c>
      <c r="H93" s="23">
        <f t="shared" si="36"/>
        <v>7533379.3699999992</v>
      </c>
      <c r="I93" s="22">
        <v>631728157.89999998</v>
      </c>
      <c r="J93" s="25">
        <f t="shared" si="29"/>
        <v>2.883656835244336E-3</v>
      </c>
      <c r="K93" s="22">
        <v>636085576.96000004</v>
      </c>
      <c r="L93" s="25">
        <f t="shared" si="37"/>
        <v>2.7637182882332633E-3</v>
      </c>
      <c r="M93" s="25">
        <f t="shared" si="38"/>
        <v>6.8976172828595431E-3</v>
      </c>
      <c r="N93" s="26">
        <f t="shared" si="39"/>
        <v>2.0571626325089376E-3</v>
      </c>
      <c r="O93" s="27">
        <f t="shared" si="40"/>
        <v>1.184334253576973E-2</v>
      </c>
      <c r="P93" s="37">
        <f t="shared" si="41"/>
        <v>108.66374407012594</v>
      </c>
      <c r="Q93" s="37">
        <f t="shared" si="42"/>
        <v>1.2869419422417185</v>
      </c>
      <c r="R93" s="22">
        <v>108.22</v>
      </c>
      <c r="S93" s="22">
        <v>108.22</v>
      </c>
      <c r="T93" s="30">
        <v>133</v>
      </c>
      <c r="U93" s="22">
        <v>5402302.5800000001</v>
      </c>
      <c r="V93" s="22">
        <v>5853705.6900000004</v>
      </c>
    </row>
    <row r="94" spans="1:24">
      <c r="A94" s="20">
        <v>84</v>
      </c>
      <c r="B94" s="21" t="s">
        <v>245</v>
      </c>
      <c r="C94" s="21" t="s">
        <v>44</v>
      </c>
      <c r="D94" s="22">
        <v>988805042.49000001</v>
      </c>
      <c r="E94" s="22">
        <v>10756198.16</v>
      </c>
      <c r="F94" s="22">
        <v>0</v>
      </c>
      <c r="G94" s="22">
        <v>2135659.66</v>
      </c>
      <c r="H94" s="23">
        <f t="shared" si="36"/>
        <v>8620538.5</v>
      </c>
      <c r="I94" s="22">
        <v>960607242.62</v>
      </c>
      <c r="J94" s="25">
        <f t="shared" si="29"/>
        <v>4.3848950003663864E-3</v>
      </c>
      <c r="K94" s="22">
        <v>982242272.42999995</v>
      </c>
      <c r="L94" s="25">
        <f t="shared" si="37"/>
        <v>4.2677291077161134E-3</v>
      </c>
      <c r="M94" s="25">
        <f t="shared" si="38"/>
        <v>2.2522243066783118E-2</v>
      </c>
      <c r="N94" s="26">
        <f t="shared" si="39"/>
        <v>2.1742697498820986E-3</v>
      </c>
      <c r="O94" s="27">
        <f t="shared" si="40"/>
        <v>8.7763871928189154E-3</v>
      </c>
      <c r="P94" s="37">
        <f t="shared" si="41"/>
        <v>107.41994375404843</v>
      </c>
      <c r="Q94" s="37">
        <f t="shared" si="42"/>
        <v>0.94275901861635902</v>
      </c>
      <c r="R94" s="22">
        <v>107.42</v>
      </c>
      <c r="S94" s="22">
        <v>107.79</v>
      </c>
      <c r="T94" s="30">
        <v>915</v>
      </c>
      <c r="U94" s="22">
        <v>9003687</v>
      </c>
      <c r="V94" s="22">
        <v>9143947</v>
      </c>
    </row>
    <row r="95" spans="1:24">
      <c r="A95" s="20">
        <v>85</v>
      </c>
      <c r="B95" s="21" t="s">
        <v>119</v>
      </c>
      <c r="C95" s="21" t="s">
        <v>22</v>
      </c>
      <c r="D95" s="22">
        <v>1570233999.74</v>
      </c>
      <c r="E95" s="22">
        <v>19513788.32</v>
      </c>
      <c r="F95" s="22">
        <v>72588054.430000007</v>
      </c>
      <c r="G95" s="22">
        <v>2315872.34</v>
      </c>
      <c r="H95" s="23">
        <f t="shared" si="36"/>
        <v>89785970.409999996</v>
      </c>
      <c r="I95" s="22">
        <v>1501485811.0599999</v>
      </c>
      <c r="J95" s="25">
        <f t="shared" si="29"/>
        <v>6.8538496629288121E-3</v>
      </c>
      <c r="K95" s="22">
        <v>1546711513.78</v>
      </c>
      <c r="L95" s="25">
        <f t="shared" si="37"/>
        <v>6.7202826979419978E-3</v>
      </c>
      <c r="M95" s="25">
        <f t="shared" si="38"/>
        <v>3.0120632767133615E-2</v>
      </c>
      <c r="N95" s="26">
        <f t="shared" si="39"/>
        <v>1.4972878389844348E-3</v>
      </c>
      <c r="O95" s="27">
        <f t="shared" si="40"/>
        <v>5.8049590767299937E-2</v>
      </c>
      <c r="P95" s="37">
        <f t="shared" si="41"/>
        <v>374.98174593624469</v>
      </c>
      <c r="Q95" s="37">
        <f t="shared" si="42"/>
        <v>21.767536896806639</v>
      </c>
      <c r="R95" s="22">
        <v>374.98</v>
      </c>
      <c r="S95" s="22">
        <v>374.98</v>
      </c>
      <c r="T95" s="30">
        <v>90</v>
      </c>
      <c r="U95" s="22">
        <v>4049869.53</v>
      </c>
      <c r="V95" s="22">
        <v>4124764.82</v>
      </c>
    </row>
    <row r="96" spans="1:24">
      <c r="A96" s="20">
        <v>86</v>
      </c>
      <c r="B96" s="21" t="s">
        <v>249</v>
      </c>
      <c r="C96" s="21" t="s">
        <v>250</v>
      </c>
      <c r="D96" s="22">
        <v>1301581139.26</v>
      </c>
      <c r="E96" s="22">
        <v>25622933.440000001</v>
      </c>
      <c r="F96" s="22">
        <v>22625303.199999999</v>
      </c>
      <c r="G96" s="22">
        <v>3693110.99</v>
      </c>
      <c r="H96" s="23">
        <f t="shared" si="36"/>
        <v>44555125.649999999</v>
      </c>
      <c r="I96" s="22">
        <v>1533758990.0899999</v>
      </c>
      <c r="J96" s="25">
        <f t="shared" si="29"/>
        <v>7.0011674168410183E-3</v>
      </c>
      <c r="K96" s="22">
        <v>1768665395.8900001</v>
      </c>
      <c r="L96" s="25">
        <f t="shared" si="37"/>
        <v>7.6846466535962716E-3</v>
      </c>
      <c r="M96" s="25">
        <f t="shared" si="38"/>
        <v>0.15315731305752023</v>
      </c>
      <c r="N96" s="26">
        <f t="shared" si="39"/>
        <v>2.0880778233022482E-3</v>
      </c>
      <c r="O96" s="27">
        <f t="shared" si="40"/>
        <v>2.5191382018066602E-2</v>
      </c>
      <c r="P96" s="37">
        <f t="shared" si="41"/>
        <v>102.42443774850155</v>
      </c>
      <c r="Q96" s="37">
        <f t="shared" si="42"/>
        <v>2.5802131393081837</v>
      </c>
      <c r="R96" s="22">
        <v>102.42</v>
      </c>
      <c r="S96" s="22">
        <v>102.42</v>
      </c>
      <c r="T96" s="30">
        <f>377+16+10</f>
        <v>403</v>
      </c>
      <c r="U96" s="22">
        <v>14965191</v>
      </c>
      <c r="V96" s="22">
        <v>17268002</v>
      </c>
    </row>
    <row r="97" spans="1:23">
      <c r="A97" s="20">
        <v>87</v>
      </c>
      <c r="B97" s="22" t="s">
        <v>120</v>
      </c>
      <c r="C97" s="22" t="s">
        <v>42</v>
      </c>
      <c r="D97" s="22">
        <v>55634159.009999998</v>
      </c>
      <c r="E97" s="22">
        <v>1610616.83</v>
      </c>
      <c r="F97" s="22">
        <v>0</v>
      </c>
      <c r="G97" s="22">
        <v>154988.87</v>
      </c>
      <c r="H97" s="23">
        <f t="shared" si="36"/>
        <v>1455627.96</v>
      </c>
      <c r="I97" s="22">
        <v>64761162.619999997</v>
      </c>
      <c r="J97" s="25">
        <f t="shared" si="29"/>
        <v>2.9561602868602004E-4</v>
      </c>
      <c r="K97" s="22">
        <v>56998457.329999998</v>
      </c>
      <c r="L97" s="25">
        <f t="shared" si="37"/>
        <v>2.4765170698707787E-4</v>
      </c>
      <c r="M97" s="25">
        <f t="shared" si="38"/>
        <v>-0.11986667588951941</v>
      </c>
      <c r="N97" s="26">
        <f t="shared" si="39"/>
        <v>2.7191765753004811E-3</v>
      </c>
      <c r="O97" s="27">
        <f t="shared" si="40"/>
        <v>2.5538023802511921E-2</v>
      </c>
      <c r="P97" s="37">
        <f t="shared" si="41"/>
        <v>11.640203801387058</v>
      </c>
      <c r="Q97" s="37">
        <f t="shared" si="42"/>
        <v>0.29726780174591239</v>
      </c>
      <c r="R97" s="22">
        <v>12.78</v>
      </c>
      <c r="S97" s="22">
        <v>13.26</v>
      </c>
      <c r="T97" s="30">
        <v>59</v>
      </c>
      <c r="U97" s="22">
        <v>4896688.95</v>
      </c>
      <c r="V97" s="22">
        <v>4896688.95</v>
      </c>
    </row>
    <row r="98" spans="1:23">
      <c r="A98" s="20">
        <v>88</v>
      </c>
      <c r="B98" s="21" t="s">
        <v>264</v>
      </c>
      <c r="C98" s="21" t="s">
        <v>265</v>
      </c>
      <c r="D98" s="22">
        <v>736502210.55999994</v>
      </c>
      <c r="E98" s="22">
        <v>11075401.789999999</v>
      </c>
      <c r="F98" s="22">
        <v>0</v>
      </c>
      <c r="G98" s="22">
        <v>1097643.6200000001</v>
      </c>
      <c r="H98" s="23">
        <f t="shared" si="36"/>
        <v>9977758.1699999981</v>
      </c>
      <c r="I98" s="22">
        <v>641058776.21000004</v>
      </c>
      <c r="J98" s="25">
        <f t="shared" si="29"/>
        <v>2.9262484166551282E-3</v>
      </c>
      <c r="K98" s="22">
        <v>718512404.38</v>
      </c>
      <c r="L98" s="25">
        <f t="shared" si="37"/>
        <v>3.121853323255487E-3</v>
      </c>
      <c r="M98" s="25">
        <f t="shared" si="38"/>
        <v>0.12082141457903925</v>
      </c>
      <c r="N98" s="26">
        <f t="shared" si="39"/>
        <v>1.5276613365459574E-3</v>
      </c>
      <c r="O98" s="27">
        <f t="shared" si="40"/>
        <v>1.3886688815915078E-2</v>
      </c>
      <c r="P98" s="37">
        <f t="shared" si="41"/>
        <v>147.5168418528437</v>
      </c>
      <c r="Q98" s="37">
        <f t="shared" si="42"/>
        <v>2.0485204779169979</v>
      </c>
      <c r="R98" s="22">
        <v>147.52000000000001</v>
      </c>
      <c r="S98" s="22">
        <v>147.52000000000001</v>
      </c>
      <c r="T98" s="30">
        <v>164</v>
      </c>
      <c r="U98" s="22">
        <v>4408785.6500000004</v>
      </c>
      <c r="V98" s="22">
        <v>4870714.3899999997</v>
      </c>
    </row>
    <row r="99" spans="1:23">
      <c r="A99" s="20">
        <v>89</v>
      </c>
      <c r="B99" s="21" t="s">
        <v>121</v>
      </c>
      <c r="C99" s="21" t="s">
        <v>122</v>
      </c>
      <c r="D99" s="22">
        <v>9894134561.9300003</v>
      </c>
      <c r="E99" s="22">
        <v>163955458.21000001</v>
      </c>
      <c r="F99" s="22">
        <v>0</v>
      </c>
      <c r="G99" s="22">
        <v>15427523.68</v>
      </c>
      <c r="H99" s="23">
        <f t="shared" si="36"/>
        <v>148527934.53</v>
      </c>
      <c r="I99" s="22">
        <v>9527700508</v>
      </c>
      <c r="J99" s="25">
        <f t="shared" si="29"/>
        <v>4.3491204801423863E-2</v>
      </c>
      <c r="K99" s="22">
        <v>9838993905</v>
      </c>
      <c r="L99" s="25">
        <f t="shared" si="37"/>
        <v>4.2749290941357224E-2</v>
      </c>
      <c r="M99" s="25">
        <f t="shared" si="38"/>
        <v>3.267245824305879E-2</v>
      </c>
      <c r="N99" s="26">
        <f t="shared" si="39"/>
        <v>1.567998092992009E-3</v>
      </c>
      <c r="O99" s="27">
        <f t="shared" si="40"/>
        <v>1.5095845770828334E-2</v>
      </c>
      <c r="P99" s="37">
        <f t="shared" si="41"/>
        <v>1.1100000001218417</v>
      </c>
      <c r="Q99" s="37">
        <f t="shared" si="42"/>
        <v>1.6756388807458753E-2</v>
      </c>
      <c r="R99" s="22">
        <v>1.1100000000000001</v>
      </c>
      <c r="S99" s="22">
        <v>1.1100000000000001</v>
      </c>
      <c r="T99" s="30">
        <v>4935</v>
      </c>
      <c r="U99" s="22">
        <v>8661545917</v>
      </c>
      <c r="V99" s="22">
        <v>8863958472</v>
      </c>
    </row>
    <row r="100" spans="1:23">
      <c r="A100" s="20">
        <v>90</v>
      </c>
      <c r="B100" s="22" t="s">
        <v>123</v>
      </c>
      <c r="C100" s="21" t="s">
        <v>46</v>
      </c>
      <c r="D100" s="22">
        <v>7574899556.29</v>
      </c>
      <c r="E100" s="22">
        <v>117814770.73</v>
      </c>
      <c r="F100" s="22">
        <v>0</v>
      </c>
      <c r="G100" s="22">
        <v>9820995.9600000009</v>
      </c>
      <c r="H100" s="23">
        <f t="shared" si="36"/>
        <v>107993774.77000001</v>
      </c>
      <c r="I100" s="22">
        <v>7753850761.8400002</v>
      </c>
      <c r="J100" s="25">
        <f t="shared" si="29"/>
        <v>3.5394092331062166E-2</v>
      </c>
      <c r="K100" s="22">
        <v>7529835804.4300003</v>
      </c>
      <c r="L100" s="25">
        <f t="shared" si="37"/>
        <v>3.2716265977220021E-2</v>
      </c>
      <c r="M100" s="25">
        <f t="shared" si="38"/>
        <v>-2.8890800750573226E-2</v>
      </c>
      <c r="N100" s="26">
        <f t="shared" si="39"/>
        <v>1.3042775719255459E-3</v>
      </c>
      <c r="O100" s="27">
        <f t="shared" si="40"/>
        <v>1.4342115495594795E-2</v>
      </c>
      <c r="P100" s="37">
        <f t="shared" si="41"/>
        <v>5176.0722712786255</v>
      </c>
      <c r="Q100" s="37">
        <f t="shared" si="42"/>
        <v>74.235826328223723</v>
      </c>
      <c r="R100" s="22">
        <v>5176.07</v>
      </c>
      <c r="S100" s="22">
        <v>5176.07</v>
      </c>
      <c r="T100" s="30">
        <v>236</v>
      </c>
      <c r="U100" s="22">
        <v>1498037.31</v>
      </c>
      <c r="V100" s="22">
        <v>1454739.31</v>
      </c>
    </row>
    <row r="101" spans="1:23">
      <c r="A101" s="20">
        <v>91</v>
      </c>
      <c r="B101" s="21" t="s">
        <v>124</v>
      </c>
      <c r="C101" s="21" t="s">
        <v>46</v>
      </c>
      <c r="D101" s="22">
        <v>16633381765.34</v>
      </c>
      <c r="E101" s="22">
        <v>156422012.47</v>
      </c>
      <c r="F101" s="22">
        <v>0</v>
      </c>
      <c r="G101" s="22">
        <v>29005334.390000001</v>
      </c>
      <c r="H101" s="23">
        <f t="shared" si="36"/>
        <v>127416678.08</v>
      </c>
      <c r="I101" s="22">
        <v>16809136621.65</v>
      </c>
      <c r="J101" s="25">
        <f t="shared" si="29"/>
        <v>7.6728860519226366E-2</v>
      </c>
      <c r="K101" s="22">
        <v>16665742689.15</v>
      </c>
      <c r="L101" s="25">
        <f t="shared" si="37"/>
        <v>7.2410725105766835E-2</v>
      </c>
      <c r="M101" s="25">
        <f t="shared" si="38"/>
        <v>-8.5307137259691291E-3</v>
      </c>
      <c r="N101" s="26">
        <f t="shared" si="39"/>
        <v>1.7404165497456961E-3</v>
      </c>
      <c r="O101" s="27">
        <f t="shared" si="40"/>
        <v>7.6454245368226441E-3</v>
      </c>
      <c r="P101" s="37">
        <f t="shared" si="41"/>
        <v>259.16579913673576</v>
      </c>
      <c r="Q101" s="37">
        <f t="shared" si="42"/>
        <v>1.9814325598252485</v>
      </c>
      <c r="R101" s="22">
        <v>259.17</v>
      </c>
      <c r="S101" s="22">
        <v>259.17</v>
      </c>
      <c r="T101" s="30">
        <v>6137</v>
      </c>
      <c r="U101" s="22">
        <v>65246711.869999997</v>
      </c>
      <c r="V101" s="22">
        <v>64305331.740000002</v>
      </c>
    </row>
    <row r="102" spans="1:23">
      <c r="A102" s="20">
        <v>92</v>
      </c>
      <c r="B102" s="22" t="s">
        <v>125</v>
      </c>
      <c r="C102" s="21" t="s">
        <v>46</v>
      </c>
      <c r="D102" s="22">
        <v>522412081.51999998</v>
      </c>
      <c r="E102" s="22">
        <v>10537545</v>
      </c>
      <c r="F102" s="22">
        <v>224666.58</v>
      </c>
      <c r="G102" s="22">
        <v>694148.9</v>
      </c>
      <c r="H102" s="23">
        <f t="shared" si="36"/>
        <v>10068062.68</v>
      </c>
      <c r="I102" s="22">
        <v>535954126.11000001</v>
      </c>
      <c r="J102" s="25">
        <f t="shared" si="29"/>
        <v>2.4464760036533848E-3</v>
      </c>
      <c r="K102" s="22">
        <v>528131810.95999998</v>
      </c>
      <c r="L102" s="25">
        <f t="shared" si="37"/>
        <v>2.2946716564832461E-3</v>
      </c>
      <c r="M102" s="25">
        <f t="shared" si="38"/>
        <v>-1.4595120680896806E-2</v>
      </c>
      <c r="N102" s="26">
        <f t="shared" si="39"/>
        <v>1.3143478305884021E-3</v>
      </c>
      <c r="O102" s="27">
        <f t="shared" si="40"/>
        <v>1.9063541470260993E-2</v>
      </c>
      <c r="P102" s="37">
        <f t="shared" si="41"/>
        <v>8745.1435329245323</v>
      </c>
      <c r="Q102" s="37">
        <f t="shared" si="42"/>
        <v>166.71340640329157</v>
      </c>
      <c r="R102" s="22">
        <v>8723.24</v>
      </c>
      <c r="S102" s="22">
        <v>8760.16</v>
      </c>
      <c r="T102" s="30">
        <v>15</v>
      </c>
      <c r="U102" s="22">
        <v>60391.44</v>
      </c>
      <c r="V102" s="22">
        <v>60391.44</v>
      </c>
    </row>
    <row r="103" spans="1:23" ht="16.2" customHeight="1">
      <c r="A103" s="20">
        <v>93</v>
      </c>
      <c r="B103" s="21" t="s">
        <v>126</v>
      </c>
      <c r="C103" s="21" t="s">
        <v>46</v>
      </c>
      <c r="D103" s="22">
        <v>6372316500.6499996</v>
      </c>
      <c r="E103" s="22">
        <v>93695786.980000004</v>
      </c>
      <c r="F103" s="22">
        <v>0</v>
      </c>
      <c r="G103" s="22">
        <v>9003067.2799999993</v>
      </c>
      <c r="H103" s="23">
        <f t="shared" si="36"/>
        <v>84692719.700000003</v>
      </c>
      <c r="I103" s="22">
        <v>6288731182.0600004</v>
      </c>
      <c r="J103" s="25">
        <f t="shared" si="29"/>
        <v>2.8706244025032263E-2</v>
      </c>
      <c r="K103" s="22">
        <v>6389362997.1599998</v>
      </c>
      <c r="L103" s="25">
        <f t="shared" si="37"/>
        <v>2.7761043490100119E-2</v>
      </c>
      <c r="M103" s="25">
        <f t="shared" si="38"/>
        <v>1.6001926650494137E-2</v>
      </c>
      <c r="N103" s="26">
        <f t="shared" si="39"/>
        <v>1.4090711834656698E-3</v>
      </c>
      <c r="O103" s="27">
        <f t="shared" si="40"/>
        <v>1.3255268128864328E-2</v>
      </c>
      <c r="P103" s="37">
        <f t="shared" si="41"/>
        <v>153.4799111331611</v>
      </c>
      <c r="Q103" s="37">
        <f t="shared" si="42"/>
        <v>2.0344173744643199</v>
      </c>
      <c r="R103" s="22">
        <v>153.47999999999999</v>
      </c>
      <c r="S103" s="22">
        <v>153.47999999999999</v>
      </c>
      <c r="T103" s="30">
        <v>4863</v>
      </c>
      <c r="U103" s="22">
        <v>41526809.560000002</v>
      </c>
      <c r="V103" s="22">
        <v>41629962.840000004</v>
      </c>
    </row>
    <row r="104" spans="1:23">
      <c r="A104" s="20">
        <v>94</v>
      </c>
      <c r="B104" s="21" t="s">
        <v>127</v>
      </c>
      <c r="C104" s="21" t="s">
        <v>46</v>
      </c>
      <c r="D104" s="22">
        <v>7003903580.9200001</v>
      </c>
      <c r="E104" s="22">
        <v>110002686.04000001</v>
      </c>
      <c r="F104" s="22">
        <v>124555887.5</v>
      </c>
      <c r="G104" s="22">
        <v>16949847.859999999</v>
      </c>
      <c r="H104" s="23">
        <f t="shared" si="36"/>
        <v>217608725.68000001</v>
      </c>
      <c r="I104" s="22">
        <v>7256502163.5100002</v>
      </c>
      <c r="J104" s="25">
        <f t="shared" si="29"/>
        <v>3.3123839426963314E-2</v>
      </c>
      <c r="K104" s="22">
        <v>7031156116.75</v>
      </c>
      <c r="L104" s="25">
        <f t="shared" si="37"/>
        <v>3.054956039115965E-2</v>
      </c>
      <c r="M104" s="25">
        <f t="shared" si="38"/>
        <v>-3.1054362237108384E-2</v>
      </c>
      <c r="N104" s="26">
        <f t="shared" si="39"/>
        <v>2.410677217025683E-3</v>
      </c>
      <c r="O104" s="27">
        <f t="shared" si="40"/>
        <v>3.094920978380792E-2</v>
      </c>
      <c r="P104" s="37">
        <f t="shared" si="41"/>
        <v>383.24383320933947</v>
      </c>
      <c r="Q104" s="37">
        <f t="shared" si="42"/>
        <v>11.861093792346539</v>
      </c>
      <c r="R104" s="22">
        <v>382.88</v>
      </c>
      <c r="S104" s="22">
        <v>383.5</v>
      </c>
      <c r="T104" s="30">
        <v>10532</v>
      </c>
      <c r="U104" s="22">
        <v>18752557.059999999</v>
      </c>
      <c r="V104" s="22">
        <v>18346429.890000001</v>
      </c>
    </row>
    <row r="105" spans="1:23">
      <c r="A105" s="20">
        <v>95</v>
      </c>
      <c r="B105" s="21" t="s">
        <v>302</v>
      </c>
      <c r="C105" s="21" t="s">
        <v>87</v>
      </c>
      <c r="D105" s="22">
        <v>87195292.709999993</v>
      </c>
      <c r="E105" s="22">
        <v>1392390.68</v>
      </c>
      <c r="F105" s="22">
        <v>0</v>
      </c>
      <c r="G105" s="22">
        <v>143225.04999999999</v>
      </c>
      <c r="H105" s="23">
        <f t="shared" si="36"/>
        <v>1249165.6299999999</v>
      </c>
      <c r="I105" s="22">
        <v>0</v>
      </c>
      <c r="J105" s="25">
        <f t="shared" si="29"/>
        <v>0</v>
      </c>
      <c r="K105" s="22">
        <v>86859056.230000004</v>
      </c>
      <c r="L105" s="25">
        <f t="shared" si="37"/>
        <v>3.7739255675125626E-4</v>
      </c>
      <c r="M105" s="25" t="e">
        <f t="shared" si="38"/>
        <v>#DIV/0!</v>
      </c>
      <c r="N105" s="26">
        <f t="shared" si="39"/>
        <v>1.6489362907736948E-3</v>
      </c>
      <c r="O105" s="27">
        <f t="shared" si="40"/>
        <v>1.4381524324789452E-2</v>
      </c>
      <c r="P105" s="37">
        <f t="shared" si="41"/>
        <v>103.91625850937267</v>
      </c>
      <c r="Q105" s="37">
        <f t="shared" si="42"/>
        <v>1.4944741994936521</v>
      </c>
      <c r="R105" s="22">
        <v>103.91630000000001</v>
      </c>
      <c r="S105" s="22">
        <v>103.91630000000001</v>
      </c>
      <c r="T105" s="22">
        <v>23</v>
      </c>
      <c r="U105" s="22">
        <v>830990.23</v>
      </c>
      <c r="V105" s="22">
        <v>835856.27</v>
      </c>
    </row>
    <row r="106" spans="1:23">
      <c r="A106" s="20">
        <v>96</v>
      </c>
      <c r="B106" s="21" t="s">
        <v>128</v>
      </c>
      <c r="C106" s="21" t="s">
        <v>50</v>
      </c>
      <c r="D106" s="22">
        <v>78753055043</v>
      </c>
      <c r="E106" s="22">
        <v>716390192</v>
      </c>
      <c r="F106" s="22">
        <v>0</v>
      </c>
      <c r="G106" s="22">
        <v>133586495</v>
      </c>
      <c r="H106" s="23">
        <f t="shared" si="36"/>
        <v>582803697</v>
      </c>
      <c r="I106" s="22">
        <v>86330003159</v>
      </c>
      <c r="J106" s="25">
        <f t="shared" si="29"/>
        <v>0.39407156477505412</v>
      </c>
      <c r="K106" s="22">
        <v>85788549041</v>
      </c>
      <c r="L106" s="25">
        <f t="shared" si="37"/>
        <v>0.3727413267861559</v>
      </c>
      <c r="M106" s="25">
        <f t="shared" si="38"/>
        <v>-6.2719112497049969E-3</v>
      </c>
      <c r="N106" s="26">
        <f t="shared" si="39"/>
        <v>1.5571599763991397E-3</v>
      </c>
      <c r="O106" s="27">
        <f t="shared" si="40"/>
        <v>6.7934905475725777E-3</v>
      </c>
      <c r="P106" s="37">
        <f t="shared" si="41"/>
        <v>1.9266109506255686</v>
      </c>
      <c r="Q106" s="37">
        <f t="shared" si="42"/>
        <v>1.3088413281924617E-2</v>
      </c>
      <c r="R106" s="22">
        <v>1.93</v>
      </c>
      <c r="S106" s="22">
        <v>1.93</v>
      </c>
      <c r="T106" s="30">
        <v>1371</v>
      </c>
      <c r="U106" s="22">
        <v>45115195904</v>
      </c>
      <c r="V106" s="22">
        <v>44528216251</v>
      </c>
    </row>
    <row r="107" spans="1:23">
      <c r="A107" s="20">
        <v>97</v>
      </c>
      <c r="B107" s="41" t="s">
        <v>263</v>
      </c>
      <c r="C107" s="21" t="s">
        <v>50</v>
      </c>
      <c r="D107" s="22">
        <v>24718121345</v>
      </c>
      <c r="E107" s="21">
        <v>861134240</v>
      </c>
      <c r="F107" s="22"/>
      <c r="G107" s="22">
        <v>95611431</v>
      </c>
      <c r="H107" s="23">
        <f t="shared" si="36"/>
        <v>765522809</v>
      </c>
      <c r="I107" s="22">
        <v>41066635528</v>
      </c>
      <c r="J107" s="25">
        <f t="shared" si="29"/>
        <v>0.1874573465815827</v>
      </c>
      <c r="K107" s="22">
        <v>51518166511</v>
      </c>
      <c r="L107" s="25">
        <f t="shared" si="37"/>
        <v>0.22384047700495302</v>
      </c>
      <c r="M107" s="25">
        <f t="shared" si="38"/>
        <v>0.25450175911961309</v>
      </c>
      <c r="N107" s="26">
        <f t="shared" si="39"/>
        <v>1.8558779839260263E-3</v>
      </c>
      <c r="O107" s="27">
        <f t="shared" si="40"/>
        <v>1.4859278985337104E-2</v>
      </c>
      <c r="P107" s="37">
        <f t="shared" si="41"/>
        <v>122.16417678582248</v>
      </c>
      <c r="Q107" s="37">
        <f t="shared" si="42"/>
        <v>1.8152715848745786</v>
      </c>
      <c r="R107" s="22">
        <v>122.16</v>
      </c>
      <c r="S107" s="22">
        <v>122.16</v>
      </c>
      <c r="T107" s="30">
        <v>189</v>
      </c>
      <c r="U107" s="22">
        <v>343948183</v>
      </c>
      <c r="V107" s="22">
        <v>421712550</v>
      </c>
    </row>
    <row r="108" spans="1:23">
      <c r="A108" s="20">
        <v>98</v>
      </c>
      <c r="B108" s="21" t="s">
        <v>243</v>
      </c>
      <c r="C108" s="21" t="s">
        <v>244</v>
      </c>
      <c r="D108" s="22">
        <v>107156874.53</v>
      </c>
      <c r="E108" s="22">
        <v>2101934.35</v>
      </c>
      <c r="F108" s="22">
        <v>0</v>
      </c>
      <c r="G108" s="22">
        <v>465136.97</v>
      </c>
      <c r="H108" s="23">
        <f t="shared" si="36"/>
        <v>1636797.3800000001</v>
      </c>
      <c r="I108" s="22">
        <v>109021957.69</v>
      </c>
      <c r="J108" s="25">
        <f t="shared" si="29"/>
        <v>4.9765379230452583E-4</v>
      </c>
      <c r="K108" s="22">
        <v>109848924.48999999</v>
      </c>
      <c r="L108" s="25">
        <f t="shared" si="37"/>
        <v>4.7728087627250037E-4</v>
      </c>
      <c r="M108" s="25">
        <f t="shared" si="38"/>
        <v>7.5853233378128035E-3</v>
      </c>
      <c r="N108" s="26">
        <f t="shared" si="39"/>
        <v>4.2343334007092929E-3</v>
      </c>
      <c r="O108" s="27">
        <f t="shared" si="40"/>
        <v>1.4900440651551437E-2</v>
      </c>
      <c r="P108" s="37">
        <f t="shared" si="41"/>
        <v>119.06251403550512</v>
      </c>
      <c r="Q108" s="37">
        <f t="shared" si="42"/>
        <v>1.7740839242105539</v>
      </c>
      <c r="R108" s="22">
        <v>119.0625</v>
      </c>
      <c r="S108" s="22">
        <v>119.0625</v>
      </c>
      <c r="T108" s="30">
        <v>85</v>
      </c>
      <c r="U108" s="22">
        <v>924674.34</v>
      </c>
      <c r="V108" s="22">
        <v>922615.53</v>
      </c>
    </row>
    <row r="109" spans="1:23">
      <c r="A109" s="20">
        <v>99</v>
      </c>
      <c r="B109" s="21" t="s">
        <v>288</v>
      </c>
      <c r="C109" s="21" t="s">
        <v>286</v>
      </c>
      <c r="D109" s="22">
        <v>286545249.49000001</v>
      </c>
      <c r="E109" s="22">
        <v>4765340.22</v>
      </c>
      <c r="F109" s="22">
        <v>0</v>
      </c>
      <c r="G109" s="22">
        <v>654659.78</v>
      </c>
      <c r="H109" s="23">
        <f t="shared" si="36"/>
        <v>4110680.4399999995</v>
      </c>
      <c r="I109" s="22">
        <v>319167326.44</v>
      </c>
      <c r="J109" s="25">
        <f t="shared" si="29"/>
        <v>1.4569067896781276E-3</v>
      </c>
      <c r="K109" s="22">
        <v>243375589.5</v>
      </c>
      <c r="L109" s="25">
        <f t="shared" si="37"/>
        <v>1.057438797504756E-3</v>
      </c>
      <c r="M109" s="25">
        <f t="shared" si="38"/>
        <v>-0.23746709221580681</v>
      </c>
      <c r="N109" s="26">
        <f t="shared" si="39"/>
        <v>2.6899155389616429E-3</v>
      </c>
      <c r="O109" s="27">
        <f t="shared" si="40"/>
        <v>1.6890274199007127E-2</v>
      </c>
      <c r="P109" s="37">
        <f t="shared" si="41"/>
        <v>1</v>
      </c>
      <c r="Q109" s="37">
        <f t="shared" si="42"/>
        <v>1.6890274199007127E-2</v>
      </c>
      <c r="R109" s="22">
        <v>1.3015000000000001</v>
      </c>
      <c r="S109" s="22">
        <v>1.3015000000000001</v>
      </c>
      <c r="T109" s="30">
        <v>444</v>
      </c>
      <c r="U109" s="22">
        <v>243926391.5</v>
      </c>
      <c r="V109" s="22">
        <v>243375589.5</v>
      </c>
    </row>
    <row r="110" spans="1:23">
      <c r="A110" s="20">
        <v>100</v>
      </c>
      <c r="B110" s="22" t="s">
        <v>129</v>
      </c>
      <c r="C110" s="22" t="s">
        <v>94</v>
      </c>
      <c r="D110" s="22">
        <v>1903830572.27</v>
      </c>
      <c r="E110" s="22">
        <v>18620077.66</v>
      </c>
      <c r="F110" s="22">
        <v>0</v>
      </c>
      <c r="G110" s="22">
        <v>3364230.49</v>
      </c>
      <c r="H110" s="23">
        <f t="shared" si="36"/>
        <v>15255847.17</v>
      </c>
      <c r="I110" s="22">
        <v>1930000604.27</v>
      </c>
      <c r="J110" s="25">
        <f t="shared" si="29"/>
        <v>8.8098960999770312E-3</v>
      </c>
      <c r="K110" s="22">
        <v>1944304254.8699999</v>
      </c>
      <c r="L110" s="25">
        <f t="shared" si="37"/>
        <v>8.4477771886531505E-3</v>
      </c>
      <c r="M110" s="25">
        <f t="shared" si="38"/>
        <v>7.4112156070594041E-3</v>
      </c>
      <c r="N110" s="26">
        <f t="shared" si="39"/>
        <v>1.7303004308988356E-3</v>
      </c>
      <c r="O110" s="27">
        <f t="shared" si="40"/>
        <v>7.8464299668058058E-3</v>
      </c>
      <c r="P110" s="37">
        <f t="shared" si="41"/>
        <v>29.355005432070495</v>
      </c>
      <c r="Q110" s="37">
        <f t="shared" si="42"/>
        <v>0.23033199429794513</v>
      </c>
      <c r="R110" s="22">
        <v>29.458600000000001</v>
      </c>
      <c r="S110" s="22">
        <v>29.458600000000001</v>
      </c>
      <c r="T110" s="40">
        <v>1291</v>
      </c>
      <c r="U110" s="22">
        <v>68149957.540000007</v>
      </c>
      <c r="V110" s="22">
        <v>66234164.369999997</v>
      </c>
    </row>
    <row r="111" spans="1:23">
      <c r="A111" s="120" t="s">
        <v>51</v>
      </c>
      <c r="B111" s="120"/>
      <c r="C111" s="120"/>
      <c r="D111" s="120"/>
      <c r="E111" s="120"/>
      <c r="F111" s="120"/>
      <c r="G111" s="120"/>
      <c r="H111" s="120"/>
      <c r="I111" s="34">
        <f>SUM(I72:I110)</f>
        <v>219071891696.31998</v>
      </c>
      <c r="J111" s="32">
        <f>(I111/$I$234)</f>
        <v>3.4658316898030797E-2</v>
      </c>
      <c r="K111" s="34">
        <f>SUM(K72:K110)</f>
        <v>230155721611.77997</v>
      </c>
      <c r="L111" s="32">
        <f>(K111/$K$234)</f>
        <v>3.4659779536241539E-2</v>
      </c>
      <c r="M111" s="32">
        <f t="shared" si="31"/>
        <v>5.059448672139339E-2</v>
      </c>
      <c r="N111" s="26"/>
      <c r="O111" s="26"/>
      <c r="P111" s="39"/>
      <c r="Q111" s="39"/>
      <c r="R111" s="34"/>
      <c r="S111" s="34"/>
      <c r="T111" s="34">
        <f>SUM(T72:T110)</f>
        <v>47654</v>
      </c>
      <c r="U111" s="34"/>
      <c r="V111" s="22"/>
    </row>
    <row r="112" spans="1:23" ht="6.9" customHeight="1">
      <c r="A112" s="122"/>
      <c r="B112" s="122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5"/>
    </row>
    <row r="113" spans="1:24">
      <c r="A113" s="119" t="s">
        <v>130</v>
      </c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</row>
    <row r="114" spans="1:24">
      <c r="A114" s="123" t="s">
        <v>131</v>
      </c>
      <c r="B114" s="123"/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  <c r="T114" s="123"/>
      <c r="U114" s="123"/>
      <c r="V114" s="123"/>
    </row>
    <row r="115" spans="1:24">
      <c r="A115" s="20">
        <v>101</v>
      </c>
      <c r="B115" s="42" t="s">
        <v>132</v>
      </c>
      <c r="C115" s="42" t="s">
        <v>22</v>
      </c>
      <c r="D115" s="30">
        <f>1958163.81*FX_RATE</f>
        <v>2999065533.9308434</v>
      </c>
      <c r="E115" s="30">
        <f>12943.56*FX_RATE</f>
        <v>19823972.072268002</v>
      </c>
      <c r="F115" s="30">
        <f>101525.8*FX_RATE</f>
        <v>155493899.96374002</v>
      </c>
      <c r="G115" s="30">
        <f>3809.18*FX_RATE</f>
        <v>5834026.9553540004</v>
      </c>
      <c r="H115" s="23">
        <f>(E115+F115)-G115</f>
        <v>169483845.08065403</v>
      </c>
      <c r="I115" s="24">
        <v>2936982722.6366</v>
      </c>
      <c r="J115" s="25">
        <f t="shared" ref="J115:J131" si="43">(I115/$I$153)</f>
        <v>1.4950536512401708E-3</v>
      </c>
      <c r="K115" s="30">
        <f>1936464.46*FX_RATE</f>
        <v>2965831453.9415383</v>
      </c>
      <c r="L115" s="25">
        <f t="shared" ref="L115" si="44">(K115/$K$153)</f>
        <v>1.488955966008705E-3</v>
      </c>
      <c r="M115" s="25">
        <f t="shared" ref="M115" si="45">((K115-I115)/I115)</f>
        <v>9.822574400110912E-3</v>
      </c>
      <c r="N115" s="26">
        <f t="shared" ref="N115" si="46">(G115/K115)</f>
        <v>1.9670797366454118E-3</v>
      </c>
      <c r="O115" s="27">
        <f t="shared" ref="O115" si="47">H115/K115</f>
        <v>5.7145474283581743E-2</v>
      </c>
      <c r="P115" s="37">
        <f t="shared" ref="P115" si="48">K115/V115</f>
        <v>172752.25557262756</v>
      </c>
      <c r="Q115" s="37">
        <f t="shared" ref="Q115" si="49">H115/V115</f>
        <v>9872.0095782563276</v>
      </c>
      <c r="R115" s="30">
        <f>112.7942*FX_RATE</f>
        <v>172752.24673226001</v>
      </c>
      <c r="S115" s="30">
        <f>112.7942*FX_RATE</f>
        <v>172752.24673226001</v>
      </c>
      <c r="T115" s="22">
        <v>190</v>
      </c>
      <c r="U115" s="22">
        <v>17060.39</v>
      </c>
      <c r="V115" s="22">
        <v>17168.12</v>
      </c>
    </row>
    <row r="116" spans="1:24">
      <c r="A116" s="20">
        <v>102</v>
      </c>
      <c r="B116" s="43" t="s">
        <v>232</v>
      </c>
      <c r="C116" s="44" t="s">
        <v>55</v>
      </c>
      <c r="D116" s="30">
        <f>3285778.98*FX_RATE</f>
        <v>5032401498.1322947</v>
      </c>
      <c r="E116" s="30">
        <f>61402.51*FX_RATE</f>
        <v>94042260.661453009</v>
      </c>
      <c r="F116" s="30">
        <v>0</v>
      </c>
      <c r="G116" s="30">
        <f>6323.12*FX_RATE</f>
        <v>9684302.7953360006</v>
      </c>
      <c r="H116" s="23">
        <f t="shared" ref="H116:H131" si="50">(E116+F116)-G116</f>
        <v>84357957.866117001</v>
      </c>
      <c r="I116" s="24">
        <v>5651289616.59482</v>
      </c>
      <c r="J116" s="25">
        <f t="shared" si="43"/>
        <v>2.8767554914047627E-3</v>
      </c>
      <c r="K116" s="24">
        <f>3599970.42*FX_RATE</f>
        <v>5513607776.150526</v>
      </c>
      <c r="L116" s="25">
        <f t="shared" ref="L116:L131" si="51">(K116/$K$153)</f>
        <v>2.768032951306456E-3</v>
      </c>
      <c r="M116" s="25">
        <f t="shared" ref="M116:M131" si="52">((K116-I116)/I116)</f>
        <v>-2.4362906484211307E-2</v>
      </c>
      <c r="N116" s="26">
        <f t="shared" ref="N116:N131" si="53">(G116/K116)</f>
        <v>1.7564366542767316E-3</v>
      </c>
      <c r="O116" s="27">
        <f t="shared" ref="O116:O131" si="54">H116/K116</f>
        <v>1.5299956270196242E-2</v>
      </c>
      <c r="P116" s="37">
        <f t="shared" ref="P116:P131" si="55">K116/V116</f>
        <v>161629.7025863626</v>
      </c>
      <c r="Q116" s="37">
        <f t="shared" ref="Q116:Q131" si="56">H116/V116</f>
        <v>2472.9273815361721</v>
      </c>
      <c r="R116" s="22">
        <f>100*FX_RATE</f>
        <v>153157.03</v>
      </c>
      <c r="S116" s="22">
        <f>100*FX_RATE</f>
        <v>153157.03</v>
      </c>
      <c r="T116" s="22">
        <v>82</v>
      </c>
      <c r="U116" s="22">
        <v>35836.99</v>
      </c>
      <c r="V116" s="22">
        <v>34112.589999999997</v>
      </c>
    </row>
    <row r="117" spans="1:24" ht="12.9" customHeight="1">
      <c r="A117" s="20">
        <v>103</v>
      </c>
      <c r="B117" s="42" t="s">
        <v>133</v>
      </c>
      <c r="C117" s="45" t="s">
        <v>26</v>
      </c>
      <c r="D117" s="30">
        <f>7905573.19*FX_RATE</f>
        <v>12107941102.280258</v>
      </c>
      <c r="E117" s="30">
        <f>72488.93*FX_RATE</f>
        <v>111021892.26677899</v>
      </c>
      <c r="F117" s="30">
        <f>-2814*FX_RATE</f>
        <v>-4309838.8242000006</v>
      </c>
      <c r="G117" s="30">
        <f>18070.27*FX_RATE</f>
        <v>27675888.844981004</v>
      </c>
      <c r="H117" s="23">
        <f t="shared" si="50"/>
        <v>79036164.597597986</v>
      </c>
      <c r="I117" s="24">
        <v>16846452608.744001</v>
      </c>
      <c r="J117" s="25">
        <f t="shared" si="43"/>
        <v>8.5755868732305066E-3</v>
      </c>
      <c r="K117" s="24">
        <f>11025462*FX_RATE</f>
        <v>16886270142.978601</v>
      </c>
      <c r="L117" s="25">
        <f t="shared" si="51"/>
        <v>8.4775258012751067E-3</v>
      </c>
      <c r="M117" s="25">
        <f t="shared" si="52"/>
        <v>2.36355600549003E-3</v>
      </c>
      <c r="N117" s="26">
        <f t="shared" si="53"/>
        <v>1.6389580772216167E-3</v>
      </c>
      <c r="O117" s="27">
        <f t="shared" si="54"/>
        <v>4.6804986493989989E-3</v>
      </c>
      <c r="P117" s="37">
        <f t="shared" si="55"/>
        <v>1832.5613289925211</v>
      </c>
      <c r="Q117" s="37">
        <f t="shared" si="56"/>
        <v>8.5773008252903296</v>
      </c>
      <c r="R117" s="22">
        <f>1.1965*FX_RATE</f>
        <v>1832.5238639499998</v>
      </c>
      <c r="S117" s="22">
        <f>1.1965*FX_RATE</f>
        <v>1832.5238639499998</v>
      </c>
      <c r="T117" s="22">
        <v>316</v>
      </c>
      <c r="U117" s="22">
        <v>9224225</v>
      </c>
      <c r="V117" s="22">
        <v>9214573</v>
      </c>
    </row>
    <row r="118" spans="1:24" ht="12.9" customHeight="1">
      <c r="A118" s="20">
        <v>104</v>
      </c>
      <c r="B118" s="42" t="s">
        <v>271</v>
      </c>
      <c r="C118" s="45" t="s">
        <v>26</v>
      </c>
      <c r="D118" s="30">
        <f>1631556.9*FX_RATE</f>
        <v>2498844090.8000698</v>
      </c>
      <c r="E118" s="30">
        <f>18381.13*FX_RATE</f>
        <v>28151992.788439002</v>
      </c>
      <c r="F118" s="30">
        <v>0</v>
      </c>
      <c r="G118" s="30">
        <f>3977.45*FX_RATE</f>
        <v>6091744.2897349996</v>
      </c>
      <c r="H118" s="23">
        <f t="shared" si="50"/>
        <v>22060248.498704001</v>
      </c>
      <c r="I118" s="24">
        <v>3322438606.7840004</v>
      </c>
      <c r="J118" s="25">
        <f t="shared" si="43"/>
        <v>1.6912676849642921E-3</v>
      </c>
      <c r="K118" s="24">
        <f>2230694*FX_RATE</f>
        <v>3416464678.7882004</v>
      </c>
      <c r="L118" s="25">
        <f t="shared" si="51"/>
        <v>1.7151903421144233E-3</v>
      </c>
      <c r="M118" s="25">
        <f t="shared" si="52"/>
        <v>2.8300318871870379E-2</v>
      </c>
      <c r="N118" s="26">
        <f t="shared" si="53"/>
        <v>1.7830549595776019E-3</v>
      </c>
      <c r="O118" s="27">
        <f t="shared" si="54"/>
        <v>6.4570398270672709E-3</v>
      </c>
      <c r="P118" s="37">
        <f t="shared" si="55"/>
        <v>1584.9089862639185</v>
      </c>
      <c r="Q118" s="37">
        <f t="shared" si="56"/>
        <v>10.233820446582936</v>
      </c>
      <c r="R118" s="22">
        <f>1.0348*FX_RATE</f>
        <v>1584.8689464399999</v>
      </c>
      <c r="S118" s="22">
        <f>1.0348*FX_RATE</f>
        <v>1584.8689464399999</v>
      </c>
      <c r="T118" s="22">
        <v>89</v>
      </c>
      <c r="U118" s="22">
        <v>2107334</v>
      </c>
      <c r="V118" s="22">
        <v>2155622</v>
      </c>
    </row>
    <row r="119" spans="1:24" ht="12.9" customHeight="1">
      <c r="A119" s="20">
        <v>105</v>
      </c>
      <c r="B119" s="43" t="s">
        <v>237</v>
      </c>
      <c r="C119" s="44" t="s">
        <v>103</v>
      </c>
      <c r="D119" s="30">
        <f>17413100.6*FX_RATE</f>
        <v>26669387709.872185</v>
      </c>
      <c r="E119" s="30">
        <f>303082.64*FX_RATE</f>
        <v>464192369.86959207</v>
      </c>
      <c r="F119" s="30">
        <v>0</v>
      </c>
      <c r="G119" s="30">
        <f>20097.43*FX_RATE</f>
        <v>30780626.894329004</v>
      </c>
      <c r="H119" s="23">
        <f t="shared" si="50"/>
        <v>433411742.97526306</v>
      </c>
      <c r="I119" s="24">
        <v>21520697290.061203</v>
      </c>
      <c r="J119" s="25">
        <f t="shared" si="43"/>
        <v>1.0954983430020502E-2</v>
      </c>
      <c r="K119" s="24">
        <f>17471305.51*FX_RATE</f>
        <v>26758532621.342358</v>
      </c>
      <c r="L119" s="25">
        <f t="shared" si="51"/>
        <v>1.3433762979091938E-2</v>
      </c>
      <c r="M119" s="25">
        <f t="shared" si="52"/>
        <v>0.24338594891626111</v>
      </c>
      <c r="N119" s="26">
        <f t="shared" si="53"/>
        <v>1.1503107188238963E-3</v>
      </c>
      <c r="O119" s="27">
        <f t="shared" si="54"/>
        <v>1.6197141641077054E-2</v>
      </c>
      <c r="P119" s="37">
        <f t="shared" si="55"/>
        <v>1703.5540524167327</v>
      </c>
      <c r="Q119" s="37">
        <f t="shared" si="56"/>
        <v>27.592706280224625</v>
      </c>
      <c r="R119" s="22">
        <f>1.1123*FX_RATE</f>
        <v>1703.5656446900002</v>
      </c>
      <c r="S119" s="22">
        <f>1.1123*FX_RATE</f>
        <v>1703.5656446900002</v>
      </c>
      <c r="T119" s="22">
        <v>518</v>
      </c>
      <c r="U119" s="22">
        <v>12852708.6</v>
      </c>
      <c r="V119" s="22">
        <v>15707474.960000001</v>
      </c>
    </row>
    <row r="120" spans="1:24" ht="12.9" customHeight="1">
      <c r="A120" s="20">
        <v>106</v>
      </c>
      <c r="B120" s="43" t="s">
        <v>238</v>
      </c>
      <c r="C120" s="44" t="s">
        <v>216</v>
      </c>
      <c r="D120" s="30">
        <f>704176.42*FX_RATE</f>
        <v>1078495690.8323262</v>
      </c>
      <c r="E120" s="30">
        <f>17263.18*FX_RATE</f>
        <v>26439773.771554001</v>
      </c>
      <c r="F120" s="30">
        <v>0</v>
      </c>
      <c r="G120" s="30">
        <f>1324.84*FX_RATE</f>
        <v>2029085.596252</v>
      </c>
      <c r="H120" s="23">
        <f t="shared" si="50"/>
        <v>24410688.175301999</v>
      </c>
      <c r="I120" s="24">
        <v>941681563.42612004</v>
      </c>
      <c r="J120" s="25">
        <f t="shared" si="43"/>
        <v>4.7935741972697049E-4</v>
      </c>
      <c r="K120" s="24">
        <f>696034.07*FX_RATE</f>
        <v>1066025109.400121</v>
      </c>
      <c r="L120" s="25">
        <f t="shared" si="51"/>
        <v>5.3518363103437509E-4</v>
      </c>
      <c r="M120" s="25">
        <f t="shared" si="52"/>
        <v>0.13204415463078814</v>
      </c>
      <c r="N120" s="26">
        <f t="shared" si="53"/>
        <v>1.9034125728931632E-3</v>
      </c>
      <c r="O120" s="27">
        <f t="shared" si="54"/>
        <v>2.2898792870871966E-2</v>
      </c>
      <c r="P120" s="37">
        <f t="shared" si="55"/>
        <v>1683.6536252024832</v>
      </c>
      <c r="Q120" s="37">
        <f t="shared" si="56"/>
        <v>38.553635629804369</v>
      </c>
      <c r="R120" s="22">
        <f>1.09*FX_RATE</f>
        <v>1669.4116270000002</v>
      </c>
      <c r="S120" s="22">
        <f>1.1064*FX_RATE</f>
        <v>1694.5293799200001</v>
      </c>
      <c r="T120" s="22">
        <v>49</v>
      </c>
      <c r="U120" s="22">
        <v>564421.96</v>
      </c>
      <c r="V120" s="22">
        <v>633161.77</v>
      </c>
    </row>
    <row r="121" spans="1:24" ht="12.9" customHeight="1">
      <c r="A121" s="20">
        <v>107</v>
      </c>
      <c r="B121" s="43" t="s">
        <v>239</v>
      </c>
      <c r="C121" s="44" t="s">
        <v>48</v>
      </c>
      <c r="D121" s="30">
        <f>428998.86*FX_RATE</f>
        <v>657041912.70985806</v>
      </c>
      <c r="E121" s="30">
        <f>3147.37*FX_RATE</f>
        <v>4820418.4151109997</v>
      </c>
      <c r="F121" s="30">
        <v>0</v>
      </c>
      <c r="G121" s="30">
        <f>874.47*FX_RATE</f>
        <v>1339312.2802410002</v>
      </c>
      <c r="H121" s="23">
        <f t="shared" si="50"/>
        <v>3481106.1348699993</v>
      </c>
      <c r="I121" s="24">
        <v>580626072.30826008</v>
      </c>
      <c r="J121" s="25">
        <f t="shared" si="43"/>
        <v>2.9556426148479991E-4</v>
      </c>
      <c r="K121" s="24">
        <f>450935.13*FX_RATE</f>
        <v>690638852.33463907</v>
      </c>
      <c r="L121" s="25">
        <f t="shared" si="51"/>
        <v>3.4672598747121389E-4</v>
      </c>
      <c r="M121" s="25">
        <f t="shared" si="52"/>
        <v>0.18947268349322785</v>
      </c>
      <c r="N121" s="26">
        <f t="shared" si="53"/>
        <v>1.9392368033069414E-3</v>
      </c>
      <c r="O121" s="27">
        <f t="shared" si="54"/>
        <v>5.0404145713819175E-3</v>
      </c>
      <c r="P121" s="37">
        <f t="shared" si="55"/>
        <v>2189.0116035006972</v>
      </c>
      <c r="Q121" s="37">
        <f t="shared" si="56"/>
        <v>11.033525983209012</v>
      </c>
      <c r="R121" s="22">
        <f>1.4293*FX_RATE</f>
        <v>2189.0734297900003</v>
      </c>
      <c r="S121" s="22">
        <f>1.4293*FX_RATE</f>
        <v>2189.0734297900003</v>
      </c>
      <c r="T121" s="22">
        <v>60</v>
      </c>
      <c r="U121" s="22">
        <v>286286.68</v>
      </c>
      <c r="V121" s="22">
        <v>315502.59999999998</v>
      </c>
    </row>
    <row r="122" spans="1:24" ht="12.9" customHeight="1">
      <c r="A122" s="20">
        <v>108</v>
      </c>
      <c r="B122" s="43" t="s">
        <v>240</v>
      </c>
      <c r="C122" s="44" t="s">
        <v>169</v>
      </c>
      <c r="D122" s="30">
        <f>354396.95*FX_RATE</f>
        <v>542783843.03058505</v>
      </c>
      <c r="E122" s="30">
        <f>5154.99*FX_RATE</f>
        <v>7895229.5807969999</v>
      </c>
      <c r="F122" s="30">
        <v>0</v>
      </c>
      <c r="G122" s="30">
        <f>2158.16*FX_RATE</f>
        <v>3305373.7586480002</v>
      </c>
      <c r="H122" s="23">
        <f t="shared" si="50"/>
        <v>4589855.8221489992</v>
      </c>
      <c r="I122" s="24">
        <v>829479989.81298006</v>
      </c>
      <c r="J122" s="25">
        <f t="shared" si="43"/>
        <v>4.2224187355357427E-4</v>
      </c>
      <c r="K122" s="24">
        <f>1266705.25*FX_RATE</f>
        <v>1940048139.7540751</v>
      </c>
      <c r="L122" s="25">
        <f t="shared" si="51"/>
        <v>9.739751893830512E-4</v>
      </c>
      <c r="M122" s="25">
        <f t="shared" si="52"/>
        <v>1.3388727438638885</v>
      </c>
      <c r="N122" s="26">
        <f t="shared" si="53"/>
        <v>1.7037586289312373E-3</v>
      </c>
      <c r="O122" s="27">
        <f t="shared" si="54"/>
        <v>2.3658463561274413E-3</v>
      </c>
      <c r="P122" s="37">
        <f t="shared" si="55"/>
        <v>156266.46312960732</v>
      </c>
      <c r="Q122" s="37">
        <f t="shared" si="56"/>
        <v>369.70244238010463</v>
      </c>
      <c r="R122" s="22">
        <f>107.69*FX_RATE</f>
        <v>164934.80560700002</v>
      </c>
      <c r="S122" s="22">
        <f>106.06*FX_RATE</f>
        <v>162438.34601800001</v>
      </c>
      <c r="T122" s="22">
        <v>101</v>
      </c>
      <c r="U122" s="22">
        <v>12415</v>
      </c>
      <c r="V122" s="22">
        <v>12415</v>
      </c>
    </row>
    <row r="123" spans="1:24" ht="15" customHeight="1">
      <c r="A123" s="20">
        <v>109</v>
      </c>
      <c r="B123" s="42" t="s">
        <v>134</v>
      </c>
      <c r="C123" s="45" t="s">
        <v>69</v>
      </c>
      <c r="D123" s="30">
        <f>739451.63*FX_RATE</f>
        <v>1132522154.794589</v>
      </c>
      <c r="E123" s="30">
        <f>85537.1*FX_RATE</f>
        <v>131006081.90813002</v>
      </c>
      <c r="F123" s="30">
        <v>0</v>
      </c>
      <c r="G123" s="30">
        <f>12421.73*FX_RATE</f>
        <v>19024752.742619</v>
      </c>
      <c r="H123" s="23">
        <f t="shared" si="50"/>
        <v>111981329.16551101</v>
      </c>
      <c r="I123" s="24">
        <v>5325647613.8731804</v>
      </c>
      <c r="J123" s="25">
        <f t="shared" si="43"/>
        <v>2.7109893595805043E-3</v>
      </c>
      <c r="K123" s="24">
        <f>3213788.65*FX_RATE</f>
        <v>4922143246.8170948</v>
      </c>
      <c r="L123" s="25">
        <f t="shared" si="51"/>
        <v>2.4710961046548519E-3</v>
      </c>
      <c r="M123" s="25">
        <f t="shared" si="52"/>
        <v>-7.5766253479664467E-2</v>
      </c>
      <c r="N123" s="26">
        <f t="shared" si="53"/>
        <v>3.8651359354324689E-3</v>
      </c>
      <c r="O123" s="27">
        <f t="shared" si="54"/>
        <v>2.2750522191308385E-2</v>
      </c>
      <c r="P123" s="37">
        <f t="shared" si="55"/>
        <v>171451.57458874222</v>
      </c>
      <c r="Q123" s="37">
        <f t="shared" si="56"/>
        <v>3900.6128524159444</v>
      </c>
      <c r="R123" s="22">
        <f>112.99*FX_RATE</f>
        <v>173052.12819700001</v>
      </c>
      <c r="S123" s="22">
        <f>112.99*FX_RATE</f>
        <v>173052.12819700001</v>
      </c>
      <c r="T123" s="22">
        <v>61</v>
      </c>
      <c r="U123" s="22">
        <v>31418.03</v>
      </c>
      <c r="V123" s="22">
        <v>28708.65</v>
      </c>
    </row>
    <row r="124" spans="1:24" ht="15" customHeight="1">
      <c r="A124" s="20">
        <v>110</v>
      </c>
      <c r="B124" s="42" t="s">
        <v>135</v>
      </c>
      <c r="C124" s="42" t="s">
        <v>136</v>
      </c>
      <c r="D124" s="30">
        <v>58641744417.970001</v>
      </c>
      <c r="E124" s="30">
        <v>451175413.16000003</v>
      </c>
      <c r="F124" s="30">
        <v>0</v>
      </c>
      <c r="G124" s="30">
        <v>93826213.469999999</v>
      </c>
      <c r="H124" s="23">
        <f t="shared" si="50"/>
        <v>357349199.69000006</v>
      </c>
      <c r="I124" s="24">
        <v>56894600745.620003</v>
      </c>
      <c r="J124" s="25">
        <f t="shared" si="43"/>
        <v>2.8961859368457601E-2</v>
      </c>
      <c r="K124" s="24">
        <v>57471773074.040001</v>
      </c>
      <c r="L124" s="25">
        <f t="shared" si="51"/>
        <v>2.8852934067431703E-2</v>
      </c>
      <c r="M124" s="25">
        <f t="shared" si="52"/>
        <v>1.014458878093861E-2</v>
      </c>
      <c r="N124" s="26">
        <f t="shared" si="53"/>
        <v>1.6325616637775406E-3</v>
      </c>
      <c r="O124" s="27">
        <f t="shared" si="54"/>
        <v>6.2178210376358598E-3</v>
      </c>
      <c r="P124" s="37">
        <f t="shared" si="55"/>
        <v>204006.7039143657</v>
      </c>
      <c r="Q124" s="37">
        <f t="shared" si="56"/>
        <v>1268.4771754174928</v>
      </c>
      <c r="R124" s="22">
        <f>132.89*FX_RATE</f>
        <v>203530.377167</v>
      </c>
      <c r="S124" s="22">
        <f>132.89*FX_RATE</f>
        <v>203530.377167</v>
      </c>
      <c r="T124" s="22">
        <v>2487</v>
      </c>
      <c r="U124" s="22">
        <v>281117.2</v>
      </c>
      <c r="V124" s="22">
        <v>281715.12</v>
      </c>
    </row>
    <row r="125" spans="1:24">
      <c r="A125" s="20">
        <v>111</v>
      </c>
      <c r="B125" s="42" t="s">
        <v>137</v>
      </c>
      <c r="C125" s="42" t="s">
        <v>136</v>
      </c>
      <c r="D125" s="30">
        <v>167767783191.84</v>
      </c>
      <c r="E125" s="30">
        <v>1373973792.5699999</v>
      </c>
      <c r="F125" s="30">
        <v>0</v>
      </c>
      <c r="G125" s="30">
        <v>271148013.13999999</v>
      </c>
      <c r="H125" s="23">
        <f t="shared" si="50"/>
        <v>1102825779.4299998</v>
      </c>
      <c r="I125" s="24">
        <v>162758150648.79001</v>
      </c>
      <c r="J125" s="25">
        <f t="shared" si="43"/>
        <v>8.2851072129605907E-2</v>
      </c>
      <c r="K125" s="24">
        <v>166352628112.14999</v>
      </c>
      <c r="L125" s="25">
        <f t="shared" si="51"/>
        <v>8.3515109316018327E-2</v>
      </c>
      <c r="M125" s="25">
        <f t="shared" si="52"/>
        <v>2.2084777008288696E-2</v>
      </c>
      <c r="N125" s="26">
        <f t="shared" si="53"/>
        <v>1.6299592992134759E-3</v>
      </c>
      <c r="O125" s="27">
        <f t="shared" si="54"/>
        <v>6.6294460865776493E-3</v>
      </c>
      <c r="P125" s="37">
        <f t="shared" si="55"/>
        <v>192436.29173842233</v>
      </c>
      <c r="Q125" s="37">
        <f t="shared" si="56"/>
        <v>1275.7460211807988</v>
      </c>
      <c r="R125" s="22">
        <f>125.36*FX_RATE</f>
        <v>191997.65280800001</v>
      </c>
      <c r="S125" s="22">
        <f>125.36*FX_RATE</f>
        <v>191997.65280800001</v>
      </c>
      <c r="T125" s="22">
        <v>954</v>
      </c>
      <c r="U125" s="22">
        <v>851902.54</v>
      </c>
      <c r="V125" s="22">
        <v>864455.59</v>
      </c>
    </row>
    <row r="126" spans="1:24">
      <c r="A126" s="20">
        <v>112</v>
      </c>
      <c r="B126" s="43" t="s">
        <v>273</v>
      </c>
      <c r="C126" s="44" t="s">
        <v>274</v>
      </c>
      <c r="D126" s="30">
        <f>998325.12*FX_RATE</f>
        <v>1529005103.5359361</v>
      </c>
      <c r="E126" s="30">
        <f>4762.39*FX_RATE</f>
        <v>7293935.0810170006</v>
      </c>
      <c r="F126" s="30">
        <v>0</v>
      </c>
      <c r="G126" s="30">
        <f>1100.95*FX_RATE</f>
        <v>1686182.3217850002</v>
      </c>
      <c r="H126" s="23">
        <f t="shared" si="50"/>
        <v>5607752.7592320004</v>
      </c>
      <c r="I126" s="46">
        <v>1151210632.3865402</v>
      </c>
      <c r="J126" s="25">
        <f t="shared" si="43"/>
        <v>5.8601695067205255E-4</v>
      </c>
      <c r="K126" s="24">
        <f>1014780.23*FX_RATE</f>
        <v>1554207261.2951691</v>
      </c>
      <c r="L126" s="25">
        <f t="shared" si="51"/>
        <v>7.8026894314713415E-4</v>
      </c>
      <c r="M126" s="25">
        <f t="shared" si="52"/>
        <v>0.35006333121957772</v>
      </c>
      <c r="N126" s="26">
        <f t="shared" si="53"/>
        <v>1.0849147110404387E-3</v>
      </c>
      <c r="O126" s="27">
        <f t="shared" si="54"/>
        <v>3.6081112853371218E-3</v>
      </c>
      <c r="P126" s="37">
        <f t="shared" si="55"/>
        <v>159558.55821983182</v>
      </c>
      <c r="Q126" s="37">
        <f t="shared" si="56"/>
        <v>575.70503458509529</v>
      </c>
      <c r="R126" s="22">
        <f>1*FX_RATE</f>
        <v>1531.5703000000001</v>
      </c>
      <c r="S126" s="22">
        <f>1*FX_RATE</f>
        <v>1531.5703000000001</v>
      </c>
      <c r="T126" s="22">
        <v>12</v>
      </c>
      <c r="U126" s="22">
        <v>7255.43</v>
      </c>
      <c r="V126" s="22">
        <v>9740.67</v>
      </c>
    </row>
    <row r="127" spans="1:24" s="3" customFormat="1">
      <c r="A127" s="20">
        <v>113</v>
      </c>
      <c r="B127" s="43" t="s">
        <v>138</v>
      </c>
      <c r="C127" s="44" t="s">
        <v>139</v>
      </c>
      <c r="D127" s="30">
        <f>164213.4*FX_RATE</f>
        <v>251504366.30202001</v>
      </c>
      <c r="E127" s="30">
        <v>0</v>
      </c>
      <c r="F127" s="30">
        <v>0</v>
      </c>
      <c r="G127" s="30">
        <f>3827.95*FX_RATE</f>
        <v>5862774.5298849996</v>
      </c>
      <c r="H127" s="23">
        <f t="shared" si="50"/>
        <v>-5862774.5298849996</v>
      </c>
      <c r="I127" s="24">
        <v>251104592.0262</v>
      </c>
      <c r="J127" s="25">
        <f t="shared" si="43"/>
        <v>1.2782330459708147E-4</v>
      </c>
      <c r="K127" s="24">
        <f>146750.99*FX_RATE</f>
        <v>224759457.77959698</v>
      </c>
      <c r="L127" s="25">
        <f t="shared" si="51"/>
        <v>1.1283747602482916E-4</v>
      </c>
      <c r="M127" s="25">
        <f t="shared" si="52"/>
        <v>-0.10491697516967029</v>
      </c>
      <c r="N127" s="26">
        <f t="shared" si="53"/>
        <v>2.6084662188650312E-2</v>
      </c>
      <c r="O127" s="27">
        <f t="shared" si="54"/>
        <v>-2.6084662188650312E-2</v>
      </c>
      <c r="P127" s="37">
        <f t="shared" si="55"/>
        <v>200140.21048752638</v>
      </c>
      <c r="Q127" s="37">
        <f t="shared" si="56"/>
        <v>-5220.5897809324933</v>
      </c>
      <c r="R127" s="22">
        <f>130.667*FX_RATE</f>
        <v>200125.69639010003</v>
      </c>
      <c r="S127" s="22">
        <f>130.667*FX_RATE</f>
        <v>200125.69639010003</v>
      </c>
      <c r="T127" s="22">
        <v>7</v>
      </c>
      <c r="U127" s="22">
        <v>1276.7</v>
      </c>
      <c r="V127" s="22">
        <v>1123.01</v>
      </c>
      <c r="W127" s="6"/>
      <c r="X127" s="6"/>
    </row>
    <row r="128" spans="1:24">
      <c r="A128" s="20">
        <v>114</v>
      </c>
      <c r="B128" s="42" t="s">
        <v>140</v>
      </c>
      <c r="C128" s="42" t="s">
        <v>141</v>
      </c>
      <c r="D128" s="30">
        <f>10734054*FX_RATE</f>
        <v>16439958304.996201</v>
      </c>
      <c r="E128" s="30">
        <f>64502.1*FX_RATE</f>
        <v>98789500.647630006</v>
      </c>
      <c r="F128" s="30">
        <v>0</v>
      </c>
      <c r="G128" s="30">
        <f>17870.42*FX_RATE</f>
        <v>27369804.520525999</v>
      </c>
      <c r="H128" s="23">
        <f t="shared" si="50"/>
        <v>71419696.127104014</v>
      </c>
      <c r="I128" s="24">
        <v>16611761798.535202</v>
      </c>
      <c r="J128" s="25">
        <f t="shared" si="43"/>
        <v>8.4561189070042047E-3</v>
      </c>
      <c r="K128" s="24">
        <f>10674573.34*FX_RATE</f>
        <v>16348859492.715803</v>
      </c>
      <c r="L128" s="25">
        <f t="shared" si="51"/>
        <v>8.2077259807755362E-3</v>
      </c>
      <c r="M128" s="25">
        <f t="shared" si="52"/>
        <v>-1.5826274720757264E-2</v>
      </c>
      <c r="N128" s="26">
        <f t="shared" si="53"/>
        <v>1.6741109392199836E-3</v>
      </c>
      <c r="O128" s="27">
        <f t="shared" si="54"/>
        <v>4.3684818600909069E-3</v>
      </c>
      <c r="P128" s="37">
        <f t="shared" si="55"/>
        <v>2193.8052136386377</v>
      </c>
      <c r="Q128" s="37">
        <f t="shared" si="56"/>
        <v>9.5835982803532467</v>
      </c>
      <c r="R128" s="22">
        <f>1.43*FX_RATE</f>
        <v>2190.1455289999999</v>
      </c>
      <c r="S128" s="22">
        <f>1.43*FX_RATE</f>
        <v>2190.1455289999999</v>
      </c>
      <c r="T128" s="22">
        <v>115</v>
      </c>
      <c r="U128" s="22">
        <v>7597340</v>
      </c>
      <c r="V128" s="22">
        <v>7452284</v>
      </c>
    </row>
    <row r="129" spans="1:22">
      <c r="A129" s="20">
        <v>115</v>
      </c>
      <c r="B129" s="42" t="s">
        <v>142</v>
      </c>
      <c r="C129" s="42" t="s">
        <v>50</v>
      </c>
      <c r="D129" s="30">
        <f>110627063*FX_RATE</f>
        <v>169433124067.0289</v>
      </c>
      <c r="E129" s="30">
        <f>731246*FX_RATE</f>
        <v>1119954655.5938001</v>
      </c>
      <c r="F129" s="30">
        <v>0</v>
      </c>
      <c r="G129" s="30">
        <f>172331*FX_RATE</f>
        <v>263937041.36930001</v>
      </c>
      <c r="H129" s="23">
        <f t="shared" si="50"/>
        <v>856017614.22450006</v>
      </c>
      <c r="I129" s="24">
        <v>183362767030.12402</v>
      </c>
      <c r="J129" s="25">
        <f t="shared" si="43"/>
        <v>9.3339730001471777E-2</v>
      </c>
      <c r="K129" s="24">
        <f>118028386*FX_RATE</f>
        <v>180768770554.5358</v>
      </c>
      <c r="L129" s="25">
        <f t="shared" si="51"/>
        <v>9.0752540582685559E-2</v>
      </c>
      <c r="M129" s="25">
        <f t="shared" si="52"/>
        <v>-1.4146800452471726E-2</v>
      </c>
      <c r="N129" s="26">
        <f t="shared" si="53"/>
        <v>1.4600809673022217E-3</v>
      </c>
      <c r="O129" s="27">
        <f t="shared" si="54"/>
        <v>4.7354286451057629E-3</v>
      </c>
      <c r="P129" s="37">
        <f t="shared" si="55"/>
        <v>186025.11480086038</v>
      </c>
      <c r="Q129" s="37">
        <f t="shared" si="56"/>
        <v>880.90865733708233</v>
      </c>
      <c r="R129" s="22">
        <f>121.5*FX_RATE</f>
        <v>186085.79145000002</v>
      </c>
      <c r="S129" s="22">
        <f>121.5*FX_RATE</f>
        <v>186085.79145000002</v>
      </c>
      <c r="T129" s="22">
        <v>968</v>
      </c>
      <c r="U129" s="22">
        <v>982038</v>
      </c>
      <c r="V129" s="22">
        <v>971743.9</v>
      </c>
    </row>
    <row r="130" spans="1:22" ht="13.95" customHeight="1">
      <c r="A130" s="20">
        <v>116</v>
      </c>
      <c r="B130" s="42" t="s">
        <v>143</v>
      </c>
      <c r="C130" s="42" t="s">
        <v>144</v>
      </c>
      <c r="D130" s="30">
        <f>20607454.67*FX_RATE</f>
        <v>31561765531.168304</v>
      </c>
      <c r="E130" s="30">
        <f>193780.91*FX_RATE</f>
        <v>296789086.462973</v>
      </c>
      <c r="F130" s="30">
        <f>4058.02*FX_RATE</f>
        <v>6215142.9088059999</v>
      </c>
      <c r="G130" s="30">
        <f>43044.45*FX_RATE</f>
        <v>65925601.199835002</v>
      </c>
      <c r="H130" s="23">
        <f t="shared" si="50"/>
        <v>237078628.17194402</v>
      </c>
      <c r="I130" s="24">
        <v>32485439791.134441</v>
      </c>
      <c r="J130" s="25">
        <f t="shared" si="43"/>
        <v>1.6536520626269837E-2</v>
      </c>
      <c r="K130" s="30">
        <f>22091994.22*FX_RATE</f>
        <v>33835442215.123665</v>
      </c>
      <c r="L130" s="25">
        <f t="shared" si="51"/>
        <v>1.6986630673768637E-2</v>
      </c>
      <c r="M130" s="25">
        <f t="shared" si="52"/>
        <v>4.1557153994807569E-2</v>
      </c>
      <c r="N130" s="26">
        <f t="shared" si="53"/>
        <v>1.9484184891299507E-3</v>
      </c>
      <c r="O130" s="27">
        <f t="shared" si="54"/>
        <v>7.0068133486955089E-3</v>
      </c>
      <c r="P130" s="37">
        <f t="shared" si="55"/>
        <v>160425.97418388727</v>
      </c>
      <c r="Q130" s="37">
        <f t="shared" si="56"/>
        <v>1124.0748573891424</v>
      </c>
      <c r="R130" s="30">
        <f>104.75*FX_RATE</f>
        <v>160431.98892500001</v>
      </c>
      <c r="S130" s="30">
        <f>104.75*FX_RATE</f>
        <v>160431.98892500001</v>
      </c>
      <c r="T130" s="22">
        <f>675+42+34</f>
        <v>751</v>
      </c>
      <c r="U130" s="22">
        <v>203675</v>
      </c>
      <c r="V130" s="22">
        <v>210910</v>
      </c>
    </row>
    <row r="131" spans="1:22">
      <c r="A131" s="20">
        <v>117</v>
      </c>
      <c r="B131" s="42" t="s">
        <v>145</v>
      </c>
      <c r="C131" s="42" t="s">
        <v>42</v>
      </c>
      <c r="D131" s="30">
        <f>1712960.76*FX_RATE</f>
        <v>2623519825.0814281</v>
      </c>
      <c r="E131" s="30">
        <f>32843.99*FX_RATE</f>
        <v>50302879.617496997</v>
      </c>
      <c r="F131" s="30">
        <v>0</v>
      </c>
      <c r="G131" s="30">
        <f>2162.32*FX_RATE</f>
        <v>3311745.0910960003</v>
      </c>
      <c r="H131" s="23">
        <f t="shared" si="50"/>
        <v>46991134.526400998</v>
      </c>
      <c r="I131" s="24">
        <v>2623601790.8557601</v>
      </c>
      <c r="J131" s="25">
        <f t="shared" si="43"/>
        <v>1.3355289449227333E-3</v>
      </c>
      <c r="K131" s="24">
        <f>1710798.44*FX_RATE</f>
        <v>2620208079.9903321</v>
      </c>
      <c r="L131" s="25">
        <f t="shared" si="51"/>
        <v>1.3154403793583617E-3</v>
      </c>
      <c r="M131" s="25">
        <f t="shared" si="52"/>
        <v>-1.2935312352874322E-3</v>
      </c>
      <c r="N131" s="26">
        <f t="shared" si="53"/>
        <v>1.2639244632465295E-3</v>
      </c>
      <c r="O131" s="27">
        <f t="shared" si="54"/>
        <v>1.7934123203900042E-2</v>
      </c>
      <c r="P131" s="37">
        <f t="shared" si="55"/>
        <v>211044.31900845497</v>
      </c>
      <c r="Q131" s="37">
        <f t="shared" si="56"/>
        <v>3784.8948185808154</v>
      </c>
      <c r="R131" s="22">
        <f>139.41*FX_RATE</f>
        <v>213516.21552300002</v>
      </c>
      <c r="S131" s="22">
        <f>144.74*FX_RATE</f>
        <v>221679.48522200002</v>
      </c>
      <c r="T131" s="22">
        <v>50</v>
      </c>
      <c r="U131" s="22">
        <v>12415.44</v>
      </c>
      <c r="V131" s="22">
        <v>12415.44</v>
      </c>
    </row>
    <row r="132" spans="1:22" ht="8.1" customHeight="1">
      <c r="A132" s="124"/>
      <c r="B132" s="124"/>
      <c r="C132" s="124"/>
      <c r="D132" s="124"/>
      <c r="E132" s="124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</row>
    <row r="133" spans="1:22">
      <c r="A133" s="123" t="s">
        <v>146</v>
      </c>
      <c r="B133" s="123"/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  <c r="T133" s="123"/>
      <c r="U133" s="123"/>
      <c r="V133" s="123"/>
    </row>
    <row r="134" spans="1:22">
      <c r="A134" s="20">
        <v>118</v>
      </c>
      <c r="B134" s="21" t="s">
        <v>147</v>
      </c>
      <c r="C134" s="22" t="s">
        <v>101</v>
      </c>
      <c r="D134" s="47">
        <f>885223.6*FX_RATE</f>
        <v>1355782174.6190801</v>
      </c>
      <c r="E134" s="22">
        <f>8042.48*FX_RATE</f>
        <v>12317623.506344</v>
      </c>
      <c r="F134" s="22">
        <v>0</v>
      </c>
      <c r="G134" s="22">
        <f>2006.63*FX_RATE</f>
        <v>3073294.9110890003</v>
      </c>
      <c r="H134" s="23">
        <f>(E134+F134)-G134</f>
        <v>9244328.5952549987</v>
      </c>
      <c r="I134" s="22">
        <v>1837642146.6202803</v>
      </c>
      <c r="J134" s="25">
        <f t="shared" ref="J134:J152" si="57">(I134/$I$153)</f>
        <v>9.3544084539628884E-4</v>
      </c>
      <c r="K134" s="22">
        <f>1050214.04*FX_RATE</f>
        <v>1608476632.3070121</v>
      </c>
      <c r="L134" s="25">
        <f t="shared" ref="L134" si="58">(K134/$K$153)</f>
        <v>8.0751415414259892E-4</v>
      </c>
      <c r="M134" s="25">
        <f t="shared" ref="M134:M153" si="59">((K134-I134)/I134)</f>
        <v>-0.12470627904063937</v>
      </c>
      <c r="N134" s="26">
        <f t="shared" ref="N134" si="60">(G134/K134)</f>
        <v>1.9106867015413354E-3</v>
      </c>
      <c r="O134" s="27">
        <f t="shared" ref="O134" si="61">H134/K134</f>
        <v>5.7472570067716852E-3</v>
      </c>
      <c r="P134" s="28">
        <f t="shared" ref="P134" si="62">K134/V134</f>
        <v>172029.58634299596</v>
      </c>
      <c r="Q134" s="28">
        <f t="shared" ref="Q134" si="63">H134/V134</f>
        <v>988.69824548181805</v>
      </c>
      <c r="R134" s="22">
        <f>112.32*FX_RATE</f>
        <v>172025.976096</v>
      </c>
      <c r="S134" s="22">
        <f>112.32*FX_RATE</f>
        <v>172025.976096</v>
      </c>
      <c r="T134" s="22">
        <v>24</v>
      </c>
      <c r="U134" s="30">
        <v>11015</v>
      </c>
      <c r="V134" s="30">
        <v>9350</v>
      </c>
    </row>
    <row r="135" spans="1:22">
      <c r="A135" s="20">
        <v>119</v>
      </c>
      <c r="B135" s="21" t="s">
        <v>148</v>
      </c>
      <c r="C135" s="22" t="s">
        <v>28</v>
      </c>
      <c r="D135" s="47">
        <f>10005867.81*FX_RATE</f>
        <v>15324689963.522045</v>
      </c>
      <c r="E135" s="22">
        <f>81316.01*FX_RATE</f>
        <v>124541185.830503</v>
      </c>
      <c r="F135" s="22">
        <v>0</v>
      </c>
      <c r="G135" s="22">
        <f>14768.12*FX_RATE</f>
        <v>22618413.978836004</v>
      </c>
      <c r="H135" s="23">
        <f t="shared" ref="H135:H152" si="64">(E135+F135)-G135</f>
        <v>101922771.851667</v>
      </c>
      <c r="I135" s="22">
        <v>19376075404.075939</v>
      </c>
      <c r="J135" s="25">
        <f t="shared" si="57"/>
        <v>9.8632763673744354E-3</v>
      </c>
      <c r="K135" s="22">
        <f>12835072.75*FX_RATE</f>
        <v>19657816222.239326</v>
      </c>
      <c r="L135" s="25">
        <f t="shared" ref="L135:L152" si="65">(K135/$K$153)</f>
        <v>9.8689433966003461E-3</v>
      </c>
      <c r="M135" s="25">
        <f t="shared" ref="M135:M152" si="66">((K135-I135)/I135)</f>
        <v>1.4540654507574866E-2</v>
      </c>
      <c r="N135" s="26">
        <f t="shared" ref="N135:N152" si="67">(G135/K135)</f>
        <v>1.150606645373319E-3</v>
      </c>
      <c r="O135" s="27">
        <f t="shared" ref="O135:O152" si="68">H135/K135</f>
        <v>5.1848471213378974E-3</v>
      </c>
      <c r="P135" s="28">
        <f t="shared" ref="P135:P152" si="69">K135/V135</f>
        <v>204668.75920762244</v>
      </c>
      <c r="Q135" s="28">
        <f t="shared" ref="Q135:Q152" si="70">H135/V135</f>
        <v>1061.1762270054405</v>
      </c>
      <c r="R135" s="22">
        <f>133.63*FX_RATE</f>
        <v>204663.73918900001</v>
      </c>
      <c r="S135" s="22">
        <f>133.63*FX_RATE</f>
        <v>204663.73918900001</v>
      </c>
      <c r="T135" s="22">
        <v>619</v>
      </c>
      <c r="U135" s="30">
        <v>90924.53</v>
      </c>
      <c r="V135" s="30">
        <v>96046.98</v>
      </c>
    </row>
    <row r="136" spans="1:22">
      <c r="A136" s="20">
        <v>120</v>
      </c>
      <c r="B136" s="21" t="s">
        <v>305</v>
      </c>
      <c r="C136" s="21" t="s">
        <v>304</v>
      </c>
      <c r="D136" s="47">
        <f>62610*FX_RATE</f>
        <v>95891616.48300001</v>
      </c>
      <c r="E136" s="47">
        <f>146.09*FX_RATE</f>
        <v>223747.10512700002</v>
      </c>
      <c r="F136" s="47">
        <v>0</v>
      </c>
      <c r="G136" s="47">
        <f>225.11*FX_RATE</f>
        <v>344771.79023300007</v>
      </c>
      <c r="H136" s="23">
        <f t="shared" si="64"/>
        <v>-121024.68510600005</v>
      </c>
      <c r="I136" s="22">
        <v>0</v>
      </c>
      <c r="J136" s="25">
        <f t="shared" si="57"/>
        <v>0</v>
      </c>
      <c r="K136" s="47">
        <f>99531.83*FX_RATE</f>
        <v>152439994.732649</v>
      </c>
      <c r="L136" s="25">
        <f t="shared" si="65"/>
        <v>7.6530458031883621E-5</v>
      </c>
      <c r="M136" s="25" t="e">
        <f t="shared" si="66"/>
        <v>#DIV/0!</v>
      </c>
      <c r="N136" s="26">
        <f t="shared" si="67"/>
        <v>2.2616885472717626E-3</v>
      </c>
      <c r="O136" s="27">
        <f t="shared" si="68"/>
        <v>-7.9391688066018712E-4</v>
      </c>
      <c r="P136" s="28">
        <f t="shared" si="69"/>
        <v>152439.99473264901</v>
      </c>
      <c r="Q136" s="28">
        <f t="shared" si="70"/>
        <v>-121.02468510600005</v>
      </c>
      <c r="R136" s="47">
        <f>100*FX_RATE</f>
        <v>153157.03</v>
      </c>
      <c r="S136" s="47">
        <f>100*FX_RATE</f>
        <v>153157.03</v>
      </c>
      <c r="T136" s="47">
        <v>5</v>
      </c>
      <c r="U136" s="47">
        <v>130</v>
      </c>
      <c r="V136" s="47">
        <v>1000</v>
      </c>
    </row>
    <row r="137" spans="1:22" ht="14.1" customHeight="1">
      <c r="A137" s="20">
        <v>121</v>
      </c>
      <c r="B137" s="21" t="s">
        <v>149</v>
      </c>
      <c r="C137" s="21" t="s">
        <v>62</v>
      </c>
      <c r="D137" s="47">
        <f>11959038.04*FX_RATE</f>
        <v>18316107478.634212</v>
      </c>
      <c r="E137" s="22">
        <f>86279.09*FX_RATE</f>
        <v>132142491.755027</v>
      </c>
      <c r="F137" s="22">
        <v>0</v>
      </c>
      <c r="G137" s="22">
        <f>21241.9*FX_RATE</f>
        <v>32533463.155570004</v>
      </c>
      <c r="H137" s="23">
        <f t="shared" si="64"/>
        <v>99609028.599456996</v>
      </c>
      <c r="I137" s="22">
        <v>18367845295.490902</v>
      </c>
      <c r="J137" s="25">
        <f t="shared" si="57"/>
        <v>9.3500428050819259E-3</v>
      </c>
      <c r="K137" s="22">
        <f>12061527.02*FX_RATE</f>
        <v>18473076556.479507</v>
      </c>
      <c r="L137" s="25">
        <f t="shared" si="65"/>
        <v>9.2741607122519536E-3</v>
      </c>
      <c r="M137" s="25">
        <f t="shared" si="66"/>
        <v>5.7291020963922525E-3</v>
      </c>
      <c r="N137" s="26">
        <f t="shared" si="67"/>
        <v>1.7611285838664897E-3</v>
      </c>
      <c r="O137" s="27">
        <f t="shared" si="68"/>
        <v>5.3921190817843882E-3</v>
      </c>
      <c r="P137" s="28">
        <f t="shared" si="69"/>
        <v>178981.86796573564</v>
      </c>
      <c r="Q137" s="28">
        <f t="shared" si="70"/>
        <v>965.0915455514571</v>
      </c>
      <c r="R137" s="22">
        <f>116.18*FX_RATE</f>
        <v>177937.83745400002</v>
      </c>
      <c r="S137" s="22">
        <f>116.18*FX_RATE</f>
        <v>177937.83745400002</v>
      </c>
      <c r="T137" s="22">
        <f>384+36+17</f>
        <v>437</v>
      </c>
      <c r="U137" s="30">
        <v>102815</v>
      </c>
      <c r="V137" s="30">
        <v>103212</v>
      </c>
    </row>
    <row r="138" spans="1:22" ht="14.1" customHeight="1">
      <c r="A138" s="20">
        <v>122</v>
      </c>
      <c r="B138" s="21" t="s">
        <v>258</v>
      </c>
      <c r="C138" s="21" t="s">
        <v>64</v>
      </c>
      <c r="D138" s="47">
        <v>194833898.63</v>
      </c>
      <c r="E138" s="22">
        <v>1617813.79</v>
      </c>
      <c r="F138" s="22">
        <v>5929398.1799999997</v>
      </c>
      <c r="G138" s="22">
        <v>631204.98</v>
      </c>
      <c r="H138" s="23">
        <f t="shared" si="64"/>
        <v>6916006.9900000002</v>
      </c>
      <c r="I138" s="22">
        <v>199330222.99000001</v>
      </c>
      <c r="J138" s="25">
        <f t="shared" si="57"/>
        <v>1.0146786883927828E-4</v>
      </c>
      <c r="K138" s="22">
        <v>198980244.08000001</v>
      </c>
      <c r="L138" s="25">
        <f t="shared" si="65"/>
        <v>9.9895366996341918E-5</v>
      </c>
      <c r="M138" s="25">
        <f t="shared" si="66"/>
        <v>-1.755774436762428E-3</v>
      </c>
      <c r="N138" s="26">
        <f t="shared" si="67"/>
        <v>3.1721992447965035E-3</v>
      </c>
      <c r="O138" s="27">
        <f t="shared" si="68"/>
        <v>3.4757254530351361E-2</v>
      </c>
      <c r="P138" s="28">
        <f t="shared" si="69"/>
        <v>1571.2963106011043</v>
      </c>
      <c r="Q138" s="28">
        <f t="shared" si="70"/>
        <v>54.613945810164616</v>
      </c>
      <c r="R138" s="22">
        <v>1.0235000000000001</v>
      </c>
      <c r="S138" s="22">
        <v>1.0235000000000001</v>
      </c>
      <c r="T138" s="22">
        <v>3</v>
      </c>
      <c r="U138" s="30">
        <v>126634.45</v>
      </c>
      <c r="V138" s="30">
        <v>126634.45</v>
      </c>
    </row>
    <row r="139" spans="1:22" ht="15" customHeight="1">
      <c r="A139" s="20">
        <v>123</v>
      </c>
      <c r="B139" s="21" t="s">
        <v>150</v>
      </c>
      <c r="C139" s="22" t="s">
        <v>60</v>
      </c>
      <c r="D139" s="47">
        <f>6567604.37*FX_RATE</f>
        <v>10058747795.242212</v>
      </c>
      <c r="E139" s="22">
        <f>43846.33*FX_RATE</f>
        <v>67153736.791999012</v>
      </c>
      <c r="F139" s="22">
        <v>0</v>
      </c>
      <c r="G139" s="22">
        <f>8331.34*FX_RATE</f>
        <v>12760032.903202001</v>
      </c>
      <c r="H139" s="23">
        <f t="shared" si="64"/>
        <v>54393703.888797015</v>
      </c>
      <c r="I139" s="22">
        <v>9937747473.0267811</v>
      </c>
      <c r="J139" s="25">
        <f t="shared" si="57"/>
        <v>5.0587514629005263E-3</v>
      </c>
      <c r="K139" s="22">
        <f>6620075.4*FX_RATE</f>
        <v>10139110866.400621</v>
      </c>
      <c r="L139" s="25">
        <f t="shared" si="65"/>
        <v>5.0902048376645472E-3</v>
      </c>
      <c r="M139" s="25">
        <f t="shared" si="66"/>
        <v>2.0262478385608469E-2</v>
      </c>
      <c r="N139" s="26">
        <f t="shared" si="67"/>
        <v>1.2584962400881414E-3</v>
      </c>
      <c r="O139" s="27">
        <f t="shared" si="68"/>
        <v>5.3647410118621919E-3</v>
      </c>
      <c r="P139" s="28">
        <f t="shared" si="69"/>
        <v>2017.4133412504229</v>
      </c>
      <c r="Q139" s="28">
        <f t="shared" si="70"/>
        <v>10.822900089684079</v>
      </c>
      <c r="R139" s="22">
        <f>1.32*FX_RATE</f>
        <v>2021.6727960000003</v>
      </c>
      <c r="S139" s="22">
        <f>1.32*FX_RATE</f>
        <v>2021.6727960000003</v>
      </c>
      <c r="T139" s="22">
        <v>282</v>
      </c>
      <c r="U139" s="30">
        <v>4946309.6100000003</v>
      </c>
      <c r="V139" s="30">
        <v>5025797.47</v>
      </c>
    </row>
    <row r="140" spans="1:22" ht="15" customHeight="1">
      <c r="A140" s="20">
        <v>124</v>
      </c>
      <c r="B140" s="21" t="s">
        <v>308</v>
      </c>
      <c r="C140" s="22" t="s">
        <v>77</v>
      </c>
      <c r="D140" s="47">
        <v>0</v>
      </c>
      <c r="E140" s="47">
        <f>237.17*FX_RATE</f>
        <v>363242.52805100003</v>
      </c>
      <c r="F140" s="47">
        <v>0</v>
      </c>
      <c r="G140" s="47">
        <f>339.68*FX_RATE</f>
        <v>520243.79950400005</v>
      </c>
      <c r="H140" s="23">
        <f t="shared" ref="H140:H141" si="71">(E140+F140)-G140</f>
        <v>-157001.27145300002</v>
      </c>
      <c r="I140" s="22">
        <v>0</v>
      </c>
      <c r="J140" s="25">
        <f t="shared" si="57"/>
        <v>0</v>
      </c>
      <c r="K140" s="47">
        <f>217070.36*FX_RATE</f>
        <v>332458516.38630801</v>
      </c>
      <c r="L140" s="25">
        <f t="shared" si="65"/>
        <v>1.6690634620046543E-4</v>
      </c>
      <c r="M140" s="25" t="e">
        <f t="shared" si="66"/>
        <v>#DIV/0!</v>
      </c>
      <c r="N140" s="26">
        <f t="shared" si="67"/>
        <v>1.5648382395459244E-3</v>
      </c>
      <c r="O140" s="27">
        <f t="shared" si="68"/>
        <v>-4.7224319340512456E-4</v>
      </c>
      <c r="P140" s="28">
        <f t="shared" si="69"/>
        <v>1564.5695667898462</v>
      </c>
      <c r="Q140" s="28">
        <f t="shared" si="70"/>
        <v>-0.73885732852530928</v>
      </c>
      <c r="R140" s="47">
        <f>1.0215*FX_RATE</f>
        <v>1564.4990614500002</v>
      </c>
      <c r="S140" s="47">
        <f>1.0215*FX_RATE</f>
        <v>1564.4990614500002</v>
      </c>
      <c r="T140" s="47">
        <v>9</v>
      </c>
      <c r="U140" s="47">
        <v>212492</v>
      </c>
      <c r="V140" s="47">
        <v>212492</v>
      </c>
    </row>
    <row r="141" spans="1:22" ht="15" customHeight="1">
      <c r="A141" s="20">
        <v>125</v>
      </c>
      <c r="B141" s="22" t="s">
        <v>270</v>
      </c>
      <c r="C141" s="22" t="s">
        <v>36</v>
      </c>
      <c r="D141" s="47">
        <f>57650168.45*FX_RATE</f>
        <v>88295285788.017044</v>
      </c>
      <c r="E141" s="22">
        <f>802412.38*FX_RATE</f>
        <v>1228950969.5603142</v>
      </c>
      <c r="F141" s="22">
        <v>0</v>
      </c>
      <c r="G141" s="22">
        <f>66763.79*FX_RATE</f>
        <v>102253437.879437</v>
      </c>
      <c r="H141" s="23">
        <f t="shared" si="71"/>
        <v>1126697531.6808772</v>
      </c>
      <c r="I141" s="22">
        <v>99254875215.804001</v>
      </c>
      <c r="J141" s="25">
        <f t="shared" si="57"/>
        <v>5.0525106072657047E-2</v>
      </c>
      <c r="K141" s="22">
        <f>67048773*FX_RATE</f>
        <v>102689909378.24191</v>
      </c>
      <c r="L141" s="25">
        <f t="shared" si="65"/>
        <v>5.155409388298992E-2</v>
      </c>
      <c r="M141" s="25">
        <f t="shared" si="66"/>
        <v>3.4608216019307067E-2</v>
      </c>
      <c r="N141" s="26">
        <f t="shared" si="67"/>
        <v>9.9574961647694868E-4</v>
      </c>
      <c r="O141" s="27">
        <f t="shared" si="68"/>
        <v>1.0971842691289818E-2</v>
      </c>
      <c r="P141" s="28">
        <f t="shared" si="69"/>
        <v>153157.03000000003</v>
      </c>
      <c r="Q141" s="28">
        <f t="shared" si="70"/>
        <v>1680.4148402251556</v>
      </c>
      <c r="R141" s="22">
        <f>100*FX_RATE</f>
        <v>153157.03</v>
      </c>
      <c r="S141" s="22">
        <f>100*FX_RATE</f>
        <v>153157.03</v>
      </c>
      <c r="T141" s="22">
        <v>1947</v>
      </c>
      <c r="U141" s="30">
        <v>647221.26</v>
      </c>
      <c r="V141" s="30">
        <v>670487.73</v>
      </c>
    </row>
    <row r="142" spans="1:22" ht="15" customHeight="1">
      <c r="A142" s="20">
        <v>126</v>
      </c>
      <c r="B142" s="21" t="s">
        <v>234</v>
      </c>
      <c r="C142" s="21" t="s">
        <v>235</v>
      </c>
      <c r="D142" s="47">
        <f>984313.34*FX_RATE</f>
        <v>1507545077.4378021</v>
      </c>
      <c r="E142" s="22">
        <f>6052.46*FX_RATE</f>
        <v>9269767.9779380001</v>
      </c>
      <c r="F142" s="22">
        <v>0</v>
      </c>
      <c r="G142" s="22">
        <f>8757.82*FX_RATE</f>
        <v>13413217.004746001</v>
      </c>
      <c r="H142" s="23">
        <f t="shared" si="64"/>
        <v>-4143449.0268080011</v>
      </c>
      <c r="I142" s="22">
        <v>1582243358.02544</v>
      </c>
      <c r="J142" s="25">
        <f t="shared" si="57"/>
        <v>8.0543160548211942E-4</v>
      </c>
      <c r="K142" s="22">
        <f>936889.04*FX_RATE</f>
        <v>1434911428.0595121</v>
      </c>
      <c r="L142" s="25">
        <f t="shared" si="65"/>
        <v>7.2037806756141971E-4</v>
      </c>
      <c r="M142" s="25">
        <f t="shared" si="66"/>
        <v>-9.311584669869663E-2</v>
      </c>
      <c r="N142" s="26">
        <f t="shared" si="67"/>
        <v>9.3477665188611871E-3</v>
      </c>
      <c r="O142" s="27">
        <f t="shared" si="68"/>
        <v>-2.8875991547515599E-3</v>
      </c>
      <c r="P142" s="28">
        <f t="shared" si="69"/>
        <v>1723.1338393104957</v>
      </c>
      <c r="Q142" s="28">
        <f t="shared" si="70"/>
        <v>-4.9757198179167981</v>
      </c>
      <c r="R142" s="22">
        <f>1.1251*FX_RATE</f>
        <v>1723.1697445300001</v>
      </c>
      <c r="S142" s="22">
        <f>1.182*FX_RATE</f>
        <v>1810.3160946</v>
      </c>
      <c r="T142" s="22">
        <v>54</v>
      </c>
      <c r="U142" s="30">
        <v>886533.82</v>
      </c>
      <c r="V142" s="30">
        <v>832733.59</v>
      </c>
    </row>
    <row r="143" spans="1:22" ht="15" customHeight="1">
      <c r="A143" s="20">
        <v>127</v>
      </c>
      <c r="B143" s="21" t="s">
        <v>236</v>
      </c>
      <c r="C143" s="21" t="s">
        <v>40</v>
      </c>
      <c r="D143" s="47">
        <f>2971499.77*FX_RATE</f>
        <v>4551060794.1888313</v>
      </c>
      <c r="E143" s="22">
        <f>32542.49*FX_RATE</f>
        <v>49841111.172047004</v>
      </c>
      <c r="F143" s="22">
        <f>3101.27*FX_RATE</f>
        <v>4749813.0242809998</v>
      </c>
      <c r="G143" s="22">
        <f>7061.1*FX_RATE</f>
        <v>10814571.045330001</v>
      </c>
      <c r="H143" s="23">
        <f t="shared" si="64"/>
        <v>43776353.150998004</v>
      </c>
      <c r="I143" s="22">
        <v>5901207299.1671801</v>
      </c>
      <c r="J143" s="25">
        <f t="shared" si="57"/>
        <v>3.0039746067776524E-3</v>
      </c>
      <c r="K143" s="22">
        <f>4120958.33*FX_RATE</f>
        <v>6311537385.7655993</v>
      </c>
      <c r="L143" s="25">
        <f t="shared" si="65"/>
        <v>3.1686228267400109E-3</v>
      </c>
      <c r="M143" s="25">
        <f t="shared" si="66"/>
        <v>6.9533243927277028E-2</v>
      </c>
      <c r="N143" s="26">
        <f t="shared" si="67"/>
        <v>1.7134606648643302E-3</v>
      </c>
      <c r="O143" s="27">
        <f t="shared" si="68"/>
        <v>6.935925508375621E-3</v>
      </c>
      <c r="P143" s="28">
        <f t="shared" si="69"/>
        <v>16312.973444362038</v>
      </c>
      <c r="Q143" s="28">
        <f t="shared" si="70"/>
        <v>113.14556863020478</v>
      </c>
      <c r="R143" s="22">
        <f>10.65*FX_RATE</f>
        <v>16311.223695000001</v>
      </c>
      <c r="S143" s="22">
        <f>10.65*FX_RATE</f>
        <v>16311.223695000001</v>
      </c>
      <c r="T143" s="22">
        <v>145</v>
      </c>
      <c r="U143" s="30">
        <v>354995.8</v>
      </c>
      <c r="V143" s="30">
        <v>386902.94</v>
      </c>
    </row>
    <row r="144" spans="1:22">
      <c r="A144" s="20">
        <v>128</v>
      </c>
      <c r="B144" s="22" t="s">
        <v>151</v>
      </c>
      <c r="C144" s="22" t="s">
        <v>44</v>
      </c>
      <c r="D144" s="47">
        <f>17229511.06*FX_RATE</f>
        <v>26388207423.017517</v>
      </c>
      <c r="E144" s="22">
        <f>182251.51*FX_RATE</f>
        <v>279130999.84615302</v>
      </c>
      <c r="F144" s="22">
        <f>147109.8*FX_RATE</f>
        <v>225309000.51894</v>
      </c>
      <c r="G144" s="22">
        <f>29380.56*FX_RATE</f>
        <v>44998393.093368001</v>
      </c>
      <c r="H144" s="23">
        <f t="shared" si="64"/>
        <v>459441607.271725</v>
      </c>
      <c r="I144" s="22">
        <v>26370200663.094204</v>
      </c>
      <c r="J144" s="25">
        <f t="shared" si="57"/>
        <v>1.342359438529564E-2</v>
      </c>
      <c r="K144" s="22">
        <f>17460236.65*FX_RATE</f>
        <v>26741579884.111496</v>
      </c>
      <c r="L144" s="25">
        <f t="shared" si="65"/>
        <v>1.3425252084379252E-2</v>
      </c>
      <c r="M144" s="25">
        <f t="shared" si="66"/>
        <v>1.408329143043068E-2</v>
      </c>
      <c r="N144" s="26">
        <f t="shared" si="67"/>
        <v>1.6827125879762918E-3</v>
      </c>
      <c r="O144" s="27">
        <f t="shared" si="68"/>
        <v>1.7180795198443087E-2</v>
      </c>
      <c r="P144" s="28">
        <f t="shared" si="69"/>
        <v>1650.2780951800901</v>
      </c>
      <c r="Q144" s="28">
        <f t="shared" si="70"/>
        <v>28.353089973765893</v>
      </c>
      <c r="R144" s="22">
        <f>1.08*FX_RATE</f>
        <v>1654.0959240000002</v>
      </c>
      <c r="S144" s="22">
        <f>1.08*FX_RATE</f>
        <v>1654.0959240000002</v>
      </c>
      <c r="T144" s="22">
        <v>556</v>
      </c>
      <c r="U144" s="30">
        <v>16142773</v>
      </c>
      <c r="V144" s="30">
        <v>16204287</v>
      </c>
    </row>
    <row r="145" spans="1:22">
      <c r="A145" s="20">
        <v>129</v>
      </c>
      <c r="B145" s="21" t="s">
        <v>152</v>
      </c>
      <c r="C145" s="22" t="s">
        <v>83</v>
      </c>
      <c r="D145" s="47">
        <f>269649.23*FX_RATE</f>
        <v>412986752.08586901</v>
      </c>
      <c r="E145" s="22">
        <f>1709.75*FX_RATE</f>
        <v>2618602.320425</v>
      </c>
      <c r="F145" s="22">
        <f>34164.94*FX_RATE</f>
        <v>52326007.405282006</v>
      </c>
      <c r="G145" s="22">
        <f>133.54*FX_RATE</f>
        <v>204525.89786200001</v>
      </c>
      <c r="H145" s="23">
        <f t="shared" si="64"/>
        <v>54740083.827845007</v>
      </c>
      <c r="I145" s="22">
        <v>444357239.60100001</v>
      </c>
      <c r="J145" s="25">
        <f t="shared" si="57"/>
        <v>2.261974196852225E-4</v>
      </c>
      <c r="K145" s="22">
        <f>293393.04*FX_RATE</f>
        <v>449352066.290712</v>
      </c>
      <c r="L145" s="25">
        <f t="shared" si="65"/>
        <v>2.2559118760869516E-4</v>
      </c>
      <c r="M145" s="25">
        <f t="shared" si="66"/>
        <v>1.1240565573314331E-2</v>
      </c>
      <c r="N145" s="26">
        <f t="shared" si="67"/>
        <v>4.5515735478932973E-4</v>
      </c>
      <c r="O145" s="27">
        <f t="shared" si="68"/>
        <v>0.12182003363133632</v>
      </c>
      <c r="P145" s="28">
        <f t="shared" si="69"/>
        <v>1872.1832647572526</v>
      </c>
      <c r="Q145" s="28">
        <f t="shared" si="70"/>
        <v>228.06942827675357</v>
      </c>
      <c r="R145" s="22">
        <f>1.24*FX_RATE</f>
        <v>1899.1471720000002</v>
      </c>
      <c r="S145" s="22">
        <f>1.24*FX_RATE</f>
        <v>1899.1471720000002</v>
      </c>
      <c r="T145" s="22">
        <v>2</v>
      </c>
      <c r="U145" s="30">
        <v>240015</v>
      </c>
      <c r="V145" s="30">
        <v>240015</v>
      </c>
    </row>
    <row r="146" spans="1:22">
      <c r="A146" s="20">
        <v>130</v>
      </c>
      <c r="B146" s="21" t="s">
        <v>281</v>
      </c>
      <c r="C146" s="22" t="s">
        <v>282</v>
      </c>
      <c r="D146" s="47">
        <f>347194.25*FX_RATE</f>
        <v>531752401.63077503</v>
      </c>
      <c r="E146" s="22">
        <v>2642.82</v>
      </c>
      <c r="F146" s="22"/>
      <c r="G146" s="22">
        <v>0</v>
      </c>
      <c r="H146" s="23">
        <f t="shared" si="64"/>
        <v>2642.82</v>
      </c>
      <c r="I146" s="22">
        <v>658287025.79089999</v>
      </c>
      <c r="J146" s="25">
        <f t="shared" si="57"/>
        <v>3.3509710965858204E-4</v>
      </c>
      <c r="K146" s="22">
        <f>433057.8322*FX_RATE</f>
        <v>663258513.9799037</v>
      </c>
      <c r="L146" s="25">
        <f t="shared" si="65"/>
        <v>3.3298005525027124E-4</v>
      </c>
      <c r="M146" s="25">
        <f t="shared" si="66"/>
        <v>7.5521588520306984E-3</v>
      </c>
      <c r="N146" s="26">
        <f t="shared" si="67"/>
        <v>0</v>
      </c>
      <c r="O146" s="27">
        <f t="shared" si="68"/>
        <v>3.9846001887584902E-6</v>
      </c>
      <c r="P146" s="28">
        <f t="shared" si="69"/>
        <v>1582.0541852504155</v>
      </c>
      <c r="Q146" s="28">
        <f t="shared" si="70"/>
        <v>6.3038534051749646E-3</v>
      </c>
      <c r="R146" s="22">
        <f>1.033*FX_RATE</f>
        <v>1582.1121198999999</v>
      </c>
      <c r="S146" s="22">
        <f>1.033*FX_RATE</f>
        <v>1582.1121198999999</v>
      </c>
      <c r="T146" s="22">
        <v>7</v>
      </c>
      <c r="U146" s="30">
        <v>418267.14</v>
      </c>
      <c r="V146" s="30">
        <v>419238.81</v>
      </c>
    </row>
    <row r="147" spans="1:22">
      <c r="A147" s="20">
        <v>131</v>
      </c>
      <c r="B147" s="21" t="s">
        <v>153</v>
      </c>
      <c r="C147" s="21" t="s">
        <v>46</v>
      </c>
      <c r="D147" s="47">
        <f>709745291.74*FX_RATE</f>
        <v>1087024809393.8195</v>
      </c>
      <c r="E147" s="22">
        <f>5135772.01*FX_RATE</f>
        <v>7865795878.0873032</v>
      </c>
      <c r="F147" s="22">
        <v>0</v>
      </c>
      <c r="G147" s="22">
        <f>1144045.01*FX_RATE</f>
        <v>1752185359.179203</v>
      </c>
      <c r="H147" s="23">
        <f t="shared" si="64"/>
        <v>6113610518.9081001</v>
      </c>
      <c r="I147" s="22">
        <v>1079685973835.7091</v>
      </c>
      <c r="J147" s="25">
        <f t="shared" si="57"/>
        <v>0.54960774707138238</v>
      </c>
      <c r="K147" s="22">
        <f>712450178.12*FX_RATE</f>
        <v>1091167533038.3019</v>
      </c>
      <c r="L147" s="25">
        <f t="shared" si="65"/>
        <v>0.54780604813978273</v>
      </c>
      <c r="M147" s="25">
        <f t="shared" si="66"/>
        <v>1.0634165378478715E-2</v>
      </c>
      <c r="N147" s="26">
        <f t="shared" si="67"/>
        <v>1.6057894925633736E-3</v>
      </c>
      <c r="O147" s="27">
        <f t="shared" si="68"/>
        <v>5.6028156390293751E-3</v>
      </c>
      <c r="P147" s="28">
        <f t="shared" si="69"/>
        <v>2522.8809038500076</v>
      </c>
      <c r="Q147" s="28">
        <f t="shared" si="70"/>
        <v>14.135236583499386</v>
      </c>
      <c r="R147" s="22">
        <f>1.6473*FX_RATE</f>
        <v>2522.9557551900002</v>
      </c>
      <c r="S147" s="22">
        <f>1.6473*FX_RATE</f>
        <v>2522.9557551900002</v>
      </c>
      <c r="T147" s="22">
        <v>11893</v>
      </c>
      <c r="U147" s="30">
        <v>429803759.01999998</v>
      </c>
      <c r="V147" s="30">
        <v>432508538.69999999</v>
      </c>
    </row>
    <row r="148" spans="1:22">
      <c r="A148" s="20">
        <v>132</v>
      </c>
      <c r="B148" s="21" t="s">
        <v>289</v>
      </c>
      <c r="C148" s="21" t="s">
        <v>290</v>
      </c>
      <c r="D148" s="47">
        <f>287001.85*FX_RATE</f>
        <v>439563509.50505501</v>
      </c>
      <c r="E148" s="47">
        <f>12055.61*FX_RATE</f>
        <v>18464014.224383</v>
      </c>
      <c r="F148" s="47">
        <v>0</v>
      </c>
      <c r="G148" s="47">
        <f>3074.68*FX_RATE</f>
        <v>4709088.5700040003</v>
      </c>
      <c r="H148" s="23">
        <f t="shared" si="64"/>
        <v>13754925.654378999</v>
      </c>
      <c r="I148" s="22">
        <v>548925854.88994002</v>
      </c>
      <c r="J148" s="25">
        <f t="shared" si="57"/>
        <v>2.7942745365440848E-4</v>
      </c>
      <c r="K148" s="47">
        <f>360081.34*FX_RATE</f>
        <v>551489885.92820203</v>
      </c>
      <c r="L148" s="25">
        <f t="shared" si="65"/>
        <v>2.7686811223037315E-4</v>
      </c>
      <c r="M148" s="25">
        <f t="shared" si="66"/>
        <v>4.6709970306938802E-3</v>
      </c>
      <c r="N148" s="26">
        <f t="shared" si="67"/>
        <v>8.538848472403486E-3</v>
      </c>
      <c r="O148" s="27">
        <f t="shared" si="68"/>
        <v>2.4941392408726313E-2</v>
      </c>
      <c r="P148" s="28">
        <f t="shared" si="69"/>
        <v>160446.49045688144</v>
      </c>
      <c r="Q148" s="28">
        <f t="shared" si="70"/>
        <v>4001.7588790880422</v>
      </c>
      <c r="R148" s="47">
        <f>104.7595*FX_RATE</f>
        <v>160446.53884285002</v>
      </c>
      <c r="S148" s="47">
        <f>104.7595*FX_RATE</f>
        <v>160446.53884285002</v>
      </c>
      <c r="T148" s="22">
        <v>21</v>
      </c>
      <c r="U148" s="30">
        <v>3439.89</v>
      </c>
      <c r="V148" s="30">
        <v>3437.22</v>
      </c>
    </row>
    <row r="149" spans="1:22">
      <c r="A149" s="20">
        <v>133</v>
      </c>
      <c r="B149" s="21" t="s">
        <v>154</v>
      </c>
      <c r="C149" s="21" t="s">
        <v>50</v>
      </c>
      <c r="D149" s="47">
        <f>69171723*FX_RATE</f>
        <v>105941356546.62691</v>
      </c>
      <c r="E149" s="22">
        <f xml:space="preserve"> 1091420*FX_RATE</f>
        <v>1671586456.8260002</v>
      </c>
      <c r="F149" s="22">
        <v>0</v>
      </c>
      <c r="G149" s="22">
        <f>288458*FX_RATE</f>
        <v>441793705.59740001</v>
      </c>
      <c r="H149" s="23">
        <f t="shared" si="64"/>
        <v>1229792751.2286003</v>
      </c>
      <c r="I149" s="22">
        <v>182001352933.07001</v>
      </c>
      <c r="J149" s="25">
        <f t="shared" si="57"/>
        <v>9.2646710222716241E-2</v>
      </c>
      <c r="K149" s="22">
        <f>119311620*FX_RATE</f>
        <v>182734133636.88602</v>
      </c>
      <c r="L149" s="25">
        <f t="shared" si="65"/>
        <v>9.1739224800006666E-2</v>
      </c>
      <c r="M149" s="25">
        <f t="shared" si="66"/>
        <v>4.0262376735489738E-3</v>
      </c>
      <c r="N149" s="26">
        <f t="shared" si="67"/>
        <v>2.4176857208040589E-3</v>
      </c>
      <c r="O149" s="27">
        <f t="shared" si="68"/>
        <v>6.7299563948591103E-3</v>
      </c>
      <c r="P149" s="28">
        <f t="shared" si="69"/>
        <v>1858.742287871698</v>
      </c>
      <c r="Q149" s="28">
        <f t="shared" si="70"/>
        <v>12.509254546657187</v>
      </c>
      <c r="R149" s="22">
        <f>1.21*FX_RATE</f>
        <v>1853.200063</v>
      </c>
      <c r="S149" s="22">
        <f>1.21*FX_RATE</f>
        <v>1853.200063</v>
      </c>
      <c r="T149" s="22">
        <v>405</v>
      </c>
      <c r="U149" s="30">
        <v>98669943.629999995</v>
      </c>
      <c r="V149" s="30">
        <v>98310634.469999999</v>
      </c>
    </row>
    <row r="150" spans="1:22">
      <c r="A150" s="20">
        <v>134</v>
      </c>
      <c r="B150" s="21" t="s">
        <v>233</v>
      </c>
      <c r="C150" s="22" t="s">
        <v>213</v>
      </c>
      <c r="D150" s="22">
        <f>1224401.39*FX_RATE</f>
        <v>1875256804.2027171</v>
      </c>
      <c r="E150" s="22">
        <f>6133.68*FX_RATE</f>
        <v>9394162.1177040003</v>
      </c>
      <c r="F150" s="22">
        <v>0</v>
      </c>
      <c r="G150" s="22">
        <f>1525.13*FX_RATE</f>
        <v>2335843.8116390002</v>
      </c>
      <c r="H150" s="23">
        <f t="shared" si="64"/>
        <v>7058318.3060650006</v>
      </c>
      <c r="I150" s="22">
        <v>1144844589.0283601</v>
      </c>
      <c r="J150" s="25">
        <f t="shared" si="57"/>
        <v>5.8277635402391968E-4</v>
      </c>
      <c r="K150" s="22">
        <f>1221649.45*FX_RATE</f>
        <v>1871042014.631335</v>
      </c>
      <c r="L150" s="25">
        <f t="shared" si="65"/>
        <v>9.3933158832605319E-4</v>
      </c>
      <c r="M150" s="25">
        <f t="shared" si="66"/>
        <v>0.63431965575284344</v>
      </c>
      <c r="N150" s="26">
        <f t="shared" si="67"/>
        <v>1.2484186850818784E-3</v>
      </c>
      <c r="O150" s="27">
        <f t="shared" si="68"/>
        <v>3.7723996847049703E-3</v>
      </c>
      <c r="P150" s="28">
        <f t="shared" si="69"/>
        <v>164544.92737508233</v>
      </c>
      <c r="Q150" s="28">
        <f t="shared" si="70"/>
        <v>620.72923214956279</v>
      </c>
      <c r="R150" s="22">
        <f>107.44*FX_RATE</f>
        <v>164551.91303200001</v>
      </c>
      <c r="S150" s="22">
        <f>107.44*FX_RATE</f>
        <v>164551.91303200001</v>
      </c>
      <c r="T150" s="22">
        <v>29</v>
      </c>
      <c r="U150" s="30">
        <v>6981.03</v>
      </c>
      <c r="V150" s="30">
        <v>11371.01</v>
      </c>
    </row>
    <row r="151" spans="1:22">
      <c r="A151" s="20">
        <v>135</v>
      </c>
      <c r="B151" s="21" t="s">
        <v>307</v>
      </c>
      <c r="C151" s="21" t="s">
        <v>92</v>
      </c>
      <c r="D151" s="47">
        <f>986103.94*FX_RATE</f>
        <v>1510287507.2169819</v>
      </c>
      <c r="E151" s="47">
        <f>12291.28*FX_RATE</f>
        <v>18824959.396984003</v>
      </c>
      <c r="F151" s="47">
        <f>4641.5*FX_RATE</f>
        <v>7108783.5474500004</v>
      </c>
      <c r="G151" s="47">
        <f>1859.42*FX_RATE</f>
        <v>2847832.4472260005</v>
      </c>
      <c r="H151" s="23">
        <f t="shared" si="64"/>
        <v>23085910.497208003</v>
      </c>
      <c r="I151" s="22">
        <v>1115318613.8001602</v>
      </c>
      <c r="J151" s="25">
        <f t="shared" si="57"/>
        <v>5.6774633129647273E-4</v>
      </c>
      <c r="K151" s="47">
        <f>994307.14*FX_RATE</f>
        <v>1522851284.7019422</v>
      </c>
      <c r="L151" s="25">
        <f t="shared" si="65"/>
        <v>7.645270949863199E-4</v>
      </c>
      <c r="M151" s="25">
        <f t="shared" si="66"/>
        <v>0.36539574060655161</v>
      </c>
      <c r="N151" s="26">
        <f t="shared" si="67"/>
        <v>1.8700660240657631E-3</v>
      </c>
      <c r="O151" s="27">
        <f t="shared" si="68"/>
        <v>1.5159661832459535E-2</v>
      </c>
      <c r="P151" s="28">
        <f t="shared" si="69"/>
        <v>1674.5262928192426</v>
      </c>
      <c r="Q151" s="28">
        <f t="shared" si="70"/>
        <v>25.385252328701831</v>
      </c>
      <c r="R151" s="47">
        <f>1.09*FX_RATE</f>
        <v>1669.4116270000002</v>
      </c>
      <c r="S151" s="47">
        <f>1.09*FX_RATE</f>
        <v>1669.4116270000002</v>
      </c>
      <c r="T151" s="47">
        <v>29</v>
      </c>
      <c r="U151" s="47">
        <v>675838.36</v>
      </c>
      <c r="V151" s="47">
        <v>909422.14</v>
      </c>
    </row>
    <row r="152" spans="1:22">
      <c r="A152" s="20">
        <v>136</v>
      </c>
      <c r="B152" s="21" t="s">
        <v>287</v>
      </c>
      <c r="C152" s="22" t="s">
        <v>286</v>
      </c>
      <c r="D152" s="47">
        <f>896913*FX_RATE</f>
        <v>1373685312.4839001</v>
      </c>
      <c r="E152" s="22">
        <f>22684.86*FX_RATE</f>
        <v>34743457.835658006</v>
      </c>
      <c r="F152" s="22"/>
      <c r="G152" s="22">
        <f>2396.5*FX_RATE</f>
        <v>3670408.22395</v>
      </c>
      <c r="H152" s="23">
        <f t="shared" si="64"/>
        <v>31073049.611708008</v>
      </c>
      <c r="I152" s="22">
        <v>1946278897.2827201</v>
      </c>
      <c r="J152" s="25">
        <f t="shared" si="57"/>
        <v>9.9074173957075041E-4</v>
      </c>
      <c r="K152" s="22">
        <f>1208200.35*FX_RATE</f>
        <v>1850443772.5096052</v>
      </c>
      <c r="L152" s="25">
        <f t="shared" si="65"/>
        <v>9.2899051669985487E-4</v>
      </c>
      <c r="M152" s="25">
        <f t="shared" si="66"/>
        <v>-4.9240180791619473E-2</v>
      </c>
      <c r="N152" s="26">
        <f t="shared" si="67"/>
        <v>1.9835286424143145E-3</v>
      </c>
      <c r="O152" s="27">
        <f t="shared" si="68"/>
        <v>1.6792214966665091E-2</v>
      </c>
      <c r="P152" s="28">
        <f t="shared" si="69"/>
        <v>2112.3867174767583</v>
      </c>
      <c r="Q152" s="28">
        <f t="shared" si="70"/>
        <v>35.471651852597766</v>
      </c>
      <c r="R152" s="22">
        <f>1.3792*FX_RATE</f>
        <v>2112.3417577600003</v>
      </c>
      <c r="S152" s="22">
        <f>1.3792*FX_RATE</f>
        <v>2112.3417577600003</v>
      </c>
      <c r="T152" s="22">
        <v>109</v>
      </c>
      <c r="U152" s="30">
        <v>942774.69</v>
      </c>
      <c r="V152" s="30">
        <v>875996.69</v>
      </c>
    </row>
    <row r="153" spans="1:22" ht="15" customHeight="1">
      <c r="A153" s="120" t="s">
        <v>51</v>
      </c>
      <c r="B153" s="120"/>
      <c r="C153" s="120"/>
      <c r="D153" s="120"/>
      <c r="E153" s="120"/>
      <c r="F153" s="120"/>
      <c r="G153" s="120"/>
      <c r="H153" s="120"/>
      <c r="I153" s="34">
        <f>SUM(I115:I152)</f>
        <v>1964466439181.1799</v>
      </c>
      <c r="J153" s="32">
        <f>(I153/$I$234)</f>
        <v>0.31078884587835592</v>
      </c>
      <c r="K153" s="34">
        <f>SUM(K115:K152)</f>
        <v>1991886611591.1711</v>
      </c>
      <c r="L153" s="32">
        <f>(K153/$K$234)</f>
        <v>0.29996365215457504</v>
      </c>
      <c r="M153" s="32">
        <f t="shared" si="59"/>
        <v>1.3958076281221869E-2</v>
      </c>
      <c r="N153" s="26"/>
      <c r="O153" s="26"/>
      <c r="P153" s="33"/>
      <c r="Q153" s="33"/>
      <c r="R153" s="34"/>
      <c r="S153" s="34"/>
      <c r="T153" s="48">
        <f>SUM(T115:T150)</f>
        <v>23248</v>
      </c>
      <c r="U153" s="48"/>
      <c r="V153" s="34"/>
    </row>
    <row r="154" spans="1:22" ht="6.9" customHeight="1">
      <c r="A154" s="125"/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</row>
    <row r="155" spans="1:22">
      <c r="A155" s="119" t="s">
        <v>155</v>
      </c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</row>
    <row r="156" spans="1:22">
      <c r="A156" s="20">
        <v>137</v>
      </c>
      <c r="B156" s="49" t="s">
        <v>229</v>
      </c>
      <c r="C156" s="49" t="s">
        <v>230</v>
      </c>
      <c r="D156" s="50">
        <v>2424275465.1500001</v>
      </c>
      <c r="E156" s="50">
        <v>48342780.060000002</v>
      </c>
      <c r="F156" s="50">
        <v>0</v>
      </c>
      <c r="G156" s="50">
        <v>4170872.02</v>
      </c>
      <c r="H156" s="23">
        <f t="shared" ref="H156:H161" si="72">(E156+F156)-G156</f>
        <v>44171908.039999999</v>
      </c>
      <c r="I156" s="51">
        <v>2479866682.0500002</v>
      </c>
      <c r="J156" s="25">
        <f>(I156/$I$162)</f>
        <v>5.930605223954998E-3</v>
      </c>
      <c r="K156" s="51">
        <v>2524038590.0900002</v>
      </c>
      <c r="L156" s="25">
        <f>(K156/$K$162)</f>
        <v>5.9795584644235077E-3</v>
      </c>
      <c r="M156" s="25">
        <f t="shared" ref="M156:M162" si="73">((K156-I156)/I156)</f>
        <v>1.7812210777187799E-2</v>
      </c>
      <c r="N156" s="26">
        <f>(G156/K156)</f>
        <v>1.652459687572082E-3</v>
      </c>
      <c r="O156" s="27">
        <f>H156/K156</f>
        <v>1.7500488389293981E-2</v>
      </c>
      <c r="P156" s="28">
        <f>K156/V156</f>
        <v>118.94621065457116</v>
      </c>
      <c r="Q156" s="28">
        <f>H156/V156</f>
        <v>2.0816167785108388</v>
      </c>
      <c r="R156" s="50">
        <v>118.95</v>
      </c>
      <c r="S156" s="50">
        <v>118.95</v>
      </c>
      <c r="T156" s="50">
        <v>8</v>
      </c>
      <c r="U156" s="50">
        <v>21220000</v>
      </c>
      <c r="V156" s="50">
        <v>21220000</v>
      </c>
    </row>
    <row r="157" spans="1:22">
      <c r="A157" s="20">
        <v>138</v>
      </c>
      <c r="B157" s="49" t="s">
        <v>284</v>
      </c>
      <c r="C157" s="49" t="s">
        <v>58</v>
      </c>
      <c r="D157" s="50">
        <v>117299124195.95</v>
      </c>
      <c r="E157" s="50">
        <v>4087902062.8699999</v>
      </c>
      <c r="F157" s="50">
        <v>101209655.90000001</v>
      </c>
      <c r="G157" s="50">
        <v>560703258.5</v>
      </c>
      <c r="H157" s="23">
        <f t="shared" si="72"/>
        <v>3628408460.27</v>
      </c>
      <c r="I157" s="51">
        <v>254801543152</v>
      </c>
      <c r="J157" s="25">
        <f t="shared" ref="J157:J161" si="74">(I157/$I$162)</f>
        <v>0.60935830697151083</v>
      </c>
      <c r="K157" s="51">
        <v>258485255301</v>
      </c>
      <c r="L157" s="25">
        <f t="shared" ref="L157:L161" si="75">(K157/$K$162)</f>
        <v>0.61236294180773732</v>
      </c>
      <c r="M157" s="25">
        <f t="shared" ref="M157:M161" si="76">((K157-I157)/I157)</f>
        <v>1.445718147320053E-2</v>
      </c>
      <c r="N157" s="26">
        <f t="shared" ref="N157:N161" si="77">(G157/K157)</f>
        <v>2.1691885591194524E-3</v>
      </c>
      <c r="O157" s="27">
        <f t="shared" ref="O157:O161" si="78">H157/K157</f>
        <v>1.4037197038743288E-2</v>
      </c>
      <c r="P157" s="28">
        <f t="shared" ref="P157:P161" si="79">K157/V157</f>
        <v>103.39410212040001</v>
      </c>
      <c r="Q157" s="28">
        <f t="shared" ref="Q157:Q161" si="80">H157/V157</f>
        <v>1.451363384108</v>
      </c>
      <c r="R157" s="50">
        <v>103.39409999999999</v>
      </c>
      <c r="S157" s="50">
        <v>103.39409999999999</v>
      </c>
      <c r="T157" s="50">
        <v>45</v>
      </c>
      <c r="U157" s="50">
        <v>2500000000</v>
      </c>
      <c r="V157" s="50">
        <v>2500000000</v>
      </c>
    </row>
    <row r="158" spans="1:22">
      <c r="A158" s="20">
        <v>139</v>
      </c>
      <c r="B158" s="21" t="s">
        <v>156</v>
      </c>
      <c r="C158" s="21" t="s">
        <v>44</v>
      </c>
      <c r="D158" s="50">
        <v>95103517696</v>
      </c>
      <c r="E158" s="50">
        <v>937854688</v>
      </c>
      <c r="F158" s="50">
        <v>0</v>
      </c>
      <c r="G158" s="50">
        <v>201589077</v>
      </c>
      <c r="H158" s="23">
        <f t="shared" si="72"/>
        <v>736265611</v>
      </c>
      <c r="I158" s="51">
        <v>114797961554</v>
      </c>
      <c r="J158" s="25">
        <f t="shared" si="74"/>
        <v>0.27453951271635757</v>
      </c>
      <c r="K158" s="51">
        <v>115534227145</v>
      </c>
      <c r="L158" s="25">
        <f t="shared" si="75"/>
        <v>0.27370566700839521</v>
      </c>
      <c r="M158" s="25">
        <f t="shared" si="76"/>
        <v>6.4135772189096475E-3</v>
      </c>
      <c r="N158" s="26">
        <f t="shared" si="77"/>
        <v>1.7448429091666297E-3</v>
      </c>
      <c r="O158" s="27">
        <f t="shared" si="78"/>
        <v>6.3727055539650398E-3</v>
      </c>
      <c r="P158" s="28">
        <f t="shared" si="79"/>
        <v>108.53208263125072</v>
      </c>
      <c r="Q158" s="28">
        <f t="shared" si="80"/>
        <v>0.6916430057675641</v>
      </c>
      <c r="R158" s="50">
        <v>108.53</v>
      </c>
      <c r="S158" s="50">
        <v>108.53</v>
      </c>
      <c r="T158" s="50">
        <v>659</v>
      </c>
      <c r="U158" s="50">
        <v>1064516817</v>
      </c>
      <c r="V158" s="50">
        <v>1064516817</v>
      </c>
    </row>
    <row r="159" spans="1:22">
      <c r="A159" s="20">
        <v>140</v>
      </c>
      <c r="B159" s="21" t="s">
        <v>157</v>
      </c>
      <c r="C159" s="21" t="s">
        <v>122</v>
      </c>
      <c r="D159" s="50">
        <v>2795899018.2600002</v>
      </c>
      <c r="E159" s="50">
        <v>33399528.16</v>
      </c>
      <c r="F159" s="50">
        <v>0</v>
      </c>
      <c r="G159" s="50">
        <v>6861168.0999999996</v>
      </c>
      <c r="H159" s="23">
        <f t="shared" si="72"/>
        <v>26538360.060000002</v>
      </c>
      <c r="I159" s="51">
        <v>2546147495.1100001</v>
      </c>
      <c r="J159" s="25">
        <f t="shared" si="74"/>
        <v>6.0891158967370821E-3</v>
      </c>
      <c r="K159" s="51">
        <v>2572685855.1700001</v>
      </c>
      <c r="L159" s="25">
        <f t="shared" si="75"/>
        <v>6.0948059756233252E-3</v>
      </c>
      <c r="M159" s="25">
        <f t="shared" si="76"/>
        <v>1.0422946868148115E-2</v>
      </c>
      <c r="N159" s="26">
        <f t="shared" si="77"/>
        <v>2.6669280612757213E-3</v>
      </c>
      <c r="O159" s="27">
        <f t="shared" si="78"/>
        <v>1.031542969254067E-2</v>
      </c>
      <c r="P159" s="28">
        <f t="shared" si="79"/>
        <v>128.63429275850001</v>
      </c>
      <c r="Q159" s="28">
        <f t="shared" si="80"/>
        <v>1.3269180030000001</v>
      </c>
      <c r="R159" s="50">
        <v>301.55</v>
      </c>
      <c r="S159" s="50">
        <v>301.55</v>
      </c>
      <c r="T159" s="50">
        <v>3552</v>
      </c>
      <c r="U159" s="50">
        <v>20000000</v>
      </c>
      <c r="V159" s="50">
        <v>20000000</v>
      </c>
    </row>
    <row r="160" spans="1:22">
      <c r="A160" s="20">
        <v>141</v>
      </c>
      <c r="B160" s="21" t="s">
        <v>158</v>
      </c>
      <c r="C160" s="21" t="s">
        <v>122</v>
      </c>
      <c r="D160" s="50">
        <v>11676848348.059999</v>
      </c>
      <c r="E160" s="50">
        <v>82529741.480000004</v>
      </c>
      <c r="F160" s="50">
        <v>0</v>
      </c>
      <c r="G160" s="50">
        <v>16807722.789999999</v>
      </c>
      <c r="H160" s="23">
        <f t="shared" si="72"/>
        <v>65722018.690000005</v>
      </c>
      <c r="I160" s="51">
        <v>10223510709.799999</v>
      </c>
      <c r="J160" s="25">
        <f t="shared" si="74"/>
        <v>2.4449542574836395E-2</v>
      </c>
      <c r="K160" s="51">
        <v>10289232728.49</v>
      </c>
      <c r="L160" s="25">
        <f t="shared" si="75"/>
        <v>2.437564500623263E-2</v>
      </c>
      <c r="M160" s="25">
        <f t="shared" si="76"/>
        <v>6.4285176154802743E-3</v>
      </c>
      <c r="N160" s="26">
        <f t="shared" si="77"/>
        <v>1.6335253787642359E-3</v>
      </c>
      <c r="O160" s="27">
        <f t="shared" si="78"/>
        <v>6.3874557437136586E-3</v>
      </c>
      <c r="P160" s="28">
        <f t="shared" si="79"/>
        <v>54.692995257205574</v>
      </c>
      <c r="Q160" s="28">
        <f t="shared" si="80"/>
        <v>0.34934908669654163</v>
      </c>
      <c r="R160" s="52">
        <v>57.6</v>
      </c>
      <c r="S160" s="52">
        <v>57.6</v>
      </c>
      <c r="T160" s="50">
        <v>5482</v>
      </c>
      <c r="U160" s="50">
        <v>188127066</v>
      </c>
      <c r="V160" s="50">
        <v>188127066</v>
      </c>
    </row>
    <row r="161" spans="1:22" ht="15.9" customHeight="1">
      <c r="A161" s="20">
        <v>142</v>
      </c>
      <c r="B161" s="21" t="s">
        <v>159</v>
      </c>
      <c r="C161" s="22" t="s">
        <v>160</v>
      </c>
      <c r="D161" s="50">
        <v>32919873273.110001</v>
      </c>
      <c r="E161" s="50">
        <v>243206650.27000001</v>
      </c>
      <c r="F161" s="50">
        <v>0</v>
      </c>
      <c r="G161" s="50">
        <v>78261253.870000005</v>
      </c>
      <c r="H161" s="23">
        <f t="shared" si="72"/>
        <v>164945396.40000001</v>
      </c>
      <c r="I161" s="51">
        <v>33298290689.509998</v>
      </c>
      <c r="J161" s="25">
        <f t="shared" si="74"/>
        <v>7.9632916616603183E-2</v>
      </c>
      <c r="K161" s="51">
        <v>32705758908.91</v>
      </c>
      <c r="L161" s="25">
        <f t="shared" si="75"/>
        <v>7.7481381737588256E-2</v>
      </c>
      <c r="M161" s="25">
        <f t="shared" si="76"/>
        <v>-1.7794660576576218E-2</v>
      </c>
      <c r="N161" s="26">
        <f t="shared" si="77"/>
        <v>2.3928890960141997E-3</v>
      </c>
      <c r="O161" s="27">
        <f t="shared" si="78"/>
        <v>5.0433135295650973E-3</v>
      </c>
      <c r="P161" s="28">
        <f t="shared" si="79"/>
        <v>12.257292192153004</v>
      </c>
      <c r="Q161" s="28">
        <f t="shared" si="80"/>
        <v>6.1817367548517868E-2</v>
      </c>
      <c r="R161" s="50">
        <v>12.26</v>
      </c>
      <c r="S161" s="50">
        <v>12.26</v>
      </c>
      <c r="T161" s="50">
        <v>209805</v>
      </c>
      <c r="U161" s="50">
        <v>2668269500</v>
      </c>
      <c r="V161" s="50">
        <v>2668269500</v>
      </c>
    </row>
    <row r="162" spans="1:22" ht="15" customHeight="1">
      <c r="A162" s="120" t="s">
        <v>51</v>
      </c>
      <c r="B162" s="120"/>
      <c r="C162" s="120"/>
      <c r="D162" s="120"/>
      <c r="E162" s="120"/>
      <c r="F162" s="120"/>
      <c r="G162" s="120"/>
      <c r="H162" s="120"/>
      <c r="I162" s="34">
        <f>SUM(I156:I161)</f>
        <v>418147320282.46997</v>
      </c>
      <c r="J162" s="32">
        <f>(I162/$I$234)</f>
        <v>6.6153088943521773E-2</v>
      </c>
      <c r="K162" s="34">
        <f>SUM(K156:K161)</f>
        <v>422111198528.65991</v>
      </c>
      <c r="L162" s="32">
        <f>(K162/$K$234)</f>
        <v>6.356687975569851E-2</v>
      </c>
      <c r="M162" s="32">
        <f t="shared" si="73"/>
        <v>9.4796213055059943E-3</v>
      </c>
      <c r="N162" s="26"/>
      <c r="O162" s="26"/>
      <c r="P162" s="39"/>
      <c r="Q162" s="39"/>
      <c r="R162" s="34"/>
      <c r="S162" s="34"/>
      <c r="T162" s="34">
        <f>SUM(T156:T161)</f>
        <v>219551</v>
      </c>
      <c r="U162" s="34"/>
      <c r="V162" s="34"/>
    </row>
    <row r="163" spans="1:22" ht="8.1" customHeight="1">
      <c r="A163" s="125"/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</row>
    <row r="164" spans="1:22">
      <c r="A164" s="119" t="s">
        <v>161</v>
      </c>
      <c r="B164" s="119"/>
      <c r="C164" s="119"/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</row>
    <row r="165" spans="1:22">
      <c r="A165" s="20">
        <v>143</v>
      </c>
      <c r="B165" s="21" t="s">
        <v>162</v>
      </c>
      <c r="C165" s="21" t="s">
        <v>55</v>
      </c>
      <c r="D165" s="24">
        <v>487307441.68000001</v>
      </c>
      <c r="E165" s="24">
        <v>17457548.030000001</v>
      </c>
      <c r="F165" s="24">
        <v>32417749.300000001</v>
      </c>
      <c r="G165" s="22">
        <v>1076451.94</v>
      </c>
      <c r="H165" s="23">
        <f>(E165+F165)-G165</f>
        <v>48798845.390000001</v>
      </c>
      <c r="I165" s="22">
        <v>410526583.35000002</v>
      </c>
      <c r="J165" s="25">
        <f t="shared" ref="J165:J192" si="81">(I165/$I$193)</f>
        <v>5.4551288249071678E-3</v>
      </c>
      <c r="K165" s="22">
        <v>510739015.62</v>
      </c>
      <c r="L165" s="25">
        <f t="shared" ref="L165" si="82">(K165/$K$193)</f>
        <v>6.757342655895642E-3</v>
      </c>
      <c r="M165" s="25">
        <f t="shared" ref="M165:M193" si="83">((K165-I165)/I165)</f>
        <v>0.24410704771477004</v>
      </c>
      <c r="N165" s="26">
        <f t="shared" ref="N165" si="84">(G165/K165)</f>
        <v>2.1076360079780973E-3</v>
      </c>
      <c r="O165" s="27">
        <f t="shared" ref="O165" si="85">H165/K165</f>
        <v>9.5545560252062886E-2</v>
      </c>
      <c r="P165" s="28">
        <f t="shared" ref="P165" si="86">K165/V165</f>
        <v>7.4433457269106569</v>
      </c>
      <c r="Q165" s="28">
        <f t="shared" ref="Q165" si="87">H165/V165</f>
        <v>0.71117863762747702</v>
      </c>
      <c r="R165" s="22">
        <v>7.4104999999999999</v>
      </c>
      <c r="S165" s="22">
        <v>7.4821999999999997</v>
      </c>
      <c r="T165" s="22">
        <v>11892</v>
      </c>
      <c r="U165" s="22">
        <v>54886791.450000003</v>
      </c>
      <c r="V165" s="22">
        <v>68616860.530000001</v>
      </c>
    </row>
    <row r="166" spans="1:22">
      <c r="A166" s="20">
        <v>144</v>
      </c>
      <c r="B166" s="21" t="s">
        <v>223</v>
      </c>
      <c r="C166" s="21" t="s">
        <v>224</v>
      </c>
      <c r="D166" s="24">
        <v>1010583597.85</v>
      </c>
      <c r="E166" s="24">
        <v>5891671.1399999997</v>
      </c>
      <c r="F166" s="24">
        <v>76264809.549999997</v>
      </c>
      <c r="G166" s="22">
        <v>1675218.06</v>
      </c>
      <c r="H166" s="23">
        <f t="shared" ref="H166:H192" si="88">(E166+F166)-G166</f>
        <v>80481262.629999995</v>
      </c>
      <c r="I166" s="22">
        <v>1064305217.99</v>
      </c>
      <c r="J166" s="25">
        <f t="shared" si="81"/>
        <v>1.4142621473568345E-2</v>
      </c>
      <c r="K166" s="22">
        <v>1025044533.09</v>
      </c>
      <c r="L166" s="25">
        <f t="shared" ref="L166:L192" si="89">(K166/$K$193)</f>
        <v>1.3561871985114214E-2</v>
      </c>
      <c r="M166" s="25">
        <f t="shared" ref="M166:M192" si="90">((K166-I166)/I166)</f>
        <v>-3.6888558128227521E-2</v>
      </c>
      <c r="N166" s="26">
        <f t="shared" ref="N166:N192" si="91">(G166/K166)</f>
        <v>1.6342880781482242E-3</v>
      </c>
      <c r="O166" s="27">
        <f t="shared" ref="O166:O192" si="92">H166/K166</f>
        <v>7.8514893774799199E-2</v>
      </c>
      <c r="P166" s="28">
        <f t="shared" ref="P166:P192" si="93">K166/V166</f>
        <v>2121.5821411732563</v>
      </c>
      <c r="Q166" s="28">
        <f t="shared" ref="Q166:Q192" si="94">H166/V166</f>
        <v>166.57579644872928</v>
      </c>
      <c r="R166" s="22">
        <v>2106.9</v>
      </c>
      <c r="S166" s="22">
        <v>2131.17</v>
      </c>
      <c r="T166" s="22">
        <v>152</v>
      </c>
      <c r="U166" s="22">
        <v>468674</v>
      </c>
      <c r="V166" s="22">
        <v>483151</v>
      </c>
    </row>
    <row r="167" spans="1:22">
      <c r="A167" s="20">
        <v>145</v>
      </c>
      <c r="B167" s="21" t="s">
        <v>163</v>
      </c>
      <c r="C167" s="22" t="s">
        <v>58</v>
      </c>
      <c r="D167" s="24">
        <v>7215756940.04</v>
      </c>
      <c r="E167" s="24">
        <v>97672166.930000007</v>
      </c>
      <c r="F167" s="24">
        <v>161533690.96000001</v>
      </c>
      <c r="G167" s="22">
        <v>2682494.27</v>
      </c>
      <c r="H167" s="23">
        <f t="shared" si="88"/>
        <v>256523363.62</v>
      </c>
      <c r="I167" s="22">
        <v>8689652709</v>
      </c>
      <c r="J167" s="25">
        <f t="shared" si="81"/>
        <v>0.11546919710893444</v>
      </c>
      <c r="K167" s="22">
        <v>8790435927</v>
      </c>
      <c r="L167" s="25">
        <f t="shared" si="89"/>
        <v>0.1163020365329392</v>
      </c>
      <c r="M167" s="25">
        <f t="shared" si="90"/>
        <v>1.1598072026010585E-2</v>
      </c>
      <c r="N167" s="26">
        <f t="shared" si="91"/>
        <v>3.0516055088470245E-4</v>
      </c>
      <c r="O167" s="27">
        <f t="shared" si="92"/>
        <v>2.9182098106429893E-2</v>
      </c>
      <c r="P167" s="28">
        <f t="shared" si="93"/>
        <v>978.35515235372895</v>
      </c>
      <c r="Q167" s="28">
        <f t="shared" si="94"/>
        <v>28.550456038917684</v>
      </c>
      <c r="R167" s="22">
        <v>973.46339999999998</v>
      </c>
      <c r="S167" s="22">
        <v>1002.8141000000001</v>
      </c>
      <c r="T167" s="22">
        <v>21721</v>
      </c>
      <c r="U167" s="22">
        <v>8825494</v>
      </c>
      <c r="V167" s="22">
        <v>8984913</v>
      </c>
    </row>
    <row r="168" spans="1:22">
      <c r="A168" s="20">
        <v>146</v>
      </c>
      <c r="B168" s="21" t="s">
        <v>164</v>
      </c>
      <c r="C168" s="21" t="s">
        <v>105</v>
      </c>
      <c r="D168" s="24">
        <v>2634698362.3200002</v>
      </c>
      <c r="E168" s="24">
        <v>71716285.989999995</v>
      </c>
      <c r="F168" s="24">
        <v>167369400.81999999</v>
      </c>
      <c r="G168" s="22">
        <v>3988733.06</v>
      </c>
      <c r="H168" s="23">
        <f t="shared" si="88"/>
        <v>235096953.75</v>
      </c>
      <c r="I168" s="22">
        <v>2631637626.2199998</v>
      </c>
      <c r="J168" s="25">
        <f t="shared" si="81"/>
        <v>3.4969531459704911E-2</v>
      </c>
      <c r="K168" s="22">
        <v>2533095778.3299999</v>
      </c>
      <c r="L168" s="25">
        <f t="shared" si="89"/>
        <v>3.3514173836121944E-2</v>
      </c>
      <c r="M168" s="25">
        <f t="shared" si="90"/>
        <v>-3.7445067249453422E-2</v>
      </c>
      <c r="N168" s="26">
        <f t="shared" si="91"/>
        <v>1.574647549501528E-3</v>
      </c>
      <c r="O168" s="27">
        <f t="shared" si="92"/>
        <v>9.2810132076803248E-2</v>
      </c>
      <c r="P168" s="28">
        <f t="shared" si="93"/>
        <v>6.1166042519949357</v>
      </c>
      <c r="Q168" s="28">
        <f t="shared" si="94"/>
        <v>0.56768284848918626</v>
      </c>
      <c r="R168" s="22">
        <v>5.8550000000000004</v>
      </c>
      <c r="S168" s="22">
        <v>5.9908999999999999</v>
      </c>
      <c r="T168" s="22">
        <v>2738</v>
      </c>
      <c r="U168" s="22">
        <v>413956438.83999997</v>
      </c>
      <c r="V168" s="22">
        <v>414134325.83999997</v>
      </c>
    </row>
    <row r="169" spans="1:22">
      <c r="A169" s="20">
        <v>147</v>
      </c>
      <c r="B169" s="21" t="s">
        <v>279</v>
      </c>
      <c r="C169" s="21" t="s">
        <v>278</v>
      </c>
      <c r="D169" s="24">
        <v>913078922.04999995</v>
      </c>
      <c r="E169" s="24">
        <v>8760199.0600000005</v>
      </c>
      <c r="F169" s="24">
        <v>22430643.600000001</v>
      </c>
      <c r="G169" s="22">
        <v>1611507.83</v>
      </c>
      <c r="H169" s="23">
        <f t="shared" si="88"/>
        <v>29579334.830000006</v>
      </c>
      <c r="I169" s="22">
        <v>921518175.35000002</v>
      </c>
      <c r="J169" s="25">
        <f t="shared" si="81"/>
        <v>1.2245249308841482E-2</v>
      </c>
      <c r="K169" s="22">
        <v>918759192.37</v>
      </c>
      <c r="L169" s="25">
        <f t="shared" si="89"/>
        <v>1.2155661680871434E-2</v>
      </c>
      <c r="M169" s="25">
        <f t="shared" si="90"/>
        <v>-2.9939539488216117E-3</v>
      </c>
      <c r="N169" s="26">
        <f t="shared" si="91"/>
        <v>1.7540045785479537E-3</v>
      </c>
      <c r="O169" s="27">
        <f t="shared" si="92"/>
        <v>3.219487225341186E-2</v>
      </c>
      <c r="P169" s="28">
        <f t="shared" si="93"/>
        <v>1.1206219073189811</v>
      </c>
      <c r="Q169" s="28">
        <f t="shared" si="94"/>
        <v>3.6078279150509346E-2</v>
      </c>
      <c r="R169" s="22">
        <v>1.1161000000000001</v>
      </c>
      <c r="S169" s="22">
        <v>1.1161000000000001</v>
      </c>
      <c r="T169" s="22">
        <v>208</v>
      </c>
      <c r="U169" s="22">
        <v>808488526.66999996</v>
      </c>
      <c r="V169" s="22">
        <v>819865457.17999995</v>
      </c>
    </row>
    <row r="170" spans="1:22">
      <c r="A170" s="20">
        <v>148</v>
      </c>
      <c r="B170" s="21" t="s">
        <v>165</v>
      </c>
      <c r="C170" s="21" t="s">
        <v>60</v>
      </c>
      <c r="D170" s="24">
        <v>6137569373.0799999</v>
      </c>
      <c r="E170" s="24">
        <v>93391618.689999998</v>
      </c>
      <c r="F170" s="24">
        <v>1810301406.5599999</v>
      </c>
      <c r="G170" s="22">
        <v>16293063.380000001</v>
      </c>
      <c r="H170" s="23">
        <f t="shared" si="88"/>
        <v>1887399961.8699999</v>
      </c>
      <c r="I170" s="22">
        <v>6165742851.5299997</v>
      </c>
      <c r="J170" s="25">
        <f t="shared" si="81"/>
        <v>8.1931165777078818E-2</v>
      </c>
      <c r="K170" s="22">
        <v>6076909819.2200003</v>
      </c>
      <c r="L170" s="25">
        <f t="shared" si="89"/>
        <v>8.0400675651532055E-2</v>
      </c>
      <c r="M170" s="25">
        <f t="shared" si="90"/>
        <v>-1.4407514949793272E-2</v>
      </c>
      <c r="N170" s="26">
        <f t="shared" si="91"/>
        <v>2.6811428612069301E-3</v>
      </c>
      <c r="O170" s="27">
        <f t="shared" si="92"/>
        <v>0.31058548144001524</v>
      </c>
      <c r="P170" s="28">
        <f t="shared" si="93"/>
        <v>11207.738148272701</v>
      </c>
      <c r="Q170" s="28">
        <f t="shared" si="94"/>
        <v>3480.9607486349023</v>
      </c>
      <c r="R170" s="22">
        <v>11207.74</v>
      </c>
      <c r="S170" s="22">
        <v>11207.74</v>
      </c>
      <c r="T170" s="22">
        <v>1261</v>
      </c>
      <c r="U170" s="22">
        <v>528060.82999999996</v>
      </c>
      <c r="V170" s="22">
        <v>542206.62</v>
      </c>
    </row>
    <row r="171" spans="1:22" ht="14.1" customHeight="1">
      <c r="A171" s="20">
        <v>149</v>
      </c>
      <c r="B171" s="21" t="s">
        <v>166</v>
      </c>
      <c r="C171" s="22" t="s">
        <v>62</v>
      </c>
      <c r="D171" s="24">
        <v>853644408.07000005</v>
      </c>
      <c r="E171" s="24">
        <v>9223755.8499999996</v>
      </c>
      <c r="F171" s="24">
        <v>45520638.549999997</v>
      </c>
      <c r="G171" s="22">
        <v>1896446.1</v>
      </c>
      <c r="H171" s="23">
        <f t="shared" si="88"/>
        <v>52847948.299999997</v>
      </c>
      <c r="I171" s="22">
        <v>1034825664.86</v>
      </c>
      <c r="J171" s="25">
        <f t="shared" si="81"/>
        <v>1.3750893467278091E-2</v>
      </c>
      <c r="K171" s="22">
        <v>993325484.89999998</v>
      </c>
      <c r="L171" s="25">
        <f t="shared" si="89"/>
        <v>1.3142212490179196E-2</v>
      </c>
      <c r="M171" s="25">
        <f t="shared" si="90"/>
        <v>-4.0103547263310807E-2</v>
      </c>
      <c r="N171" s="26">
        <f t="shared" si="91"/>
        <v>1.9091890108818854E-3</v>
      </c>
      <c r="O171" s="27">
        <f t="shared" si="92"/>
        <v>5.3203052879812404E-2</v>
      </c>
      <c r="P171" s="28">
        <f t="shared" si="93"/>
        <v>223.96938169306407</v>
      </c>
      <c r="Q171" s="28">
        <f t="shared" si="94"/>
        <v>11.915854857674976</v>
      </c>
      <c r="R171" s="22">
        <v>226.28</v>
      </c>
      <c r="S171" s="22">
        <v>228.04</v>
      </c>
      <c r="T171" s="22">
        <f>491+9+5</f>
        <v>505</v>
      </c>
      <c r="U171" s="22">
        <v>4433193</v>
      </c>
      <c r="V171" s="22">
        <v>4435095</v>
      </c>
    </row>
    <row r="172" spans="1:22">
      <c r="A172" s="20">
        <v>150</v>
      </c>
      <c r="B172" s="21" t="s">
        <v>167</v>
      </c>
      <c r="C172" s="22" t="s">
        <v>64</v>
      </c>
      <c r="D172" s="24">
        <v>599498866.05999994</v>
      </c>
      <c r="E172" s="24">
        <v>4550178.12</v>
      </c>
      <c r="F172" s="24">
        <v>16511367.66</v>
      </c>
      <c r="G172" s="22">
        <v>1088784.72</v>
      </c>
      <c r="H172" s="23">
        <f t="shared" si="88"/>
        <v>19972761.060000002</v>
      </c>
      <c r="I172" s="22">
        <v>411427731.69999999</v>
      </c>
      <c r="J172" s="25">
        <f t="shared" si="81"/>
        <v>5.4671033974171557E-3</v>
      </c>
      <c r="K172" s="22">
        <v>623967262.32000005</v>
      </c>
      <c r="L172" s="25">
        <f t="shared" si="89"/>
        <v>8.2554112151369645E-3</v>
      </c>
      <c r="M172" s="25">
        <f t="shared" si="90"/>
        <v>0.51659019128777917</v>
      </c>
      <c r="N172" s="26">
        <f t="shared" si="91"/>
        <v>1.7449388545670518E-3</v>
      </c>
      <c r="O172" s="27">
        <f t="shared" si="92"/>
        <v>3.2009309247633289E-2</v>
      </c>
      <c r="P172" s="28">
        <f t="shared" si="93"/>
        <v>1.984870961369241</v>
      </c>
      <c r="Q172" s="28">
        <f t="shared" si="94"/>
        <v>6.3534348419115219E-2</v>
      </c>
      <c r="R172" s="22">
        <v>1.9737</v>
      </c>
      <c r="S172" s="22">
        <v>1.9951000000000001</v>
      </c>
      <c r="T172" s="22">
        <v>1270</v>
      </c>
      <c r="U172" s="22">
        <v>203264382.68000001</v>
      </c>
      <c r="V172" s="22">
        <v>314361625.75</v>
      </c>
    </row>
    <row r="173" spans="1:22">
      <c r="A173" s="20">
        <v>151</v>
      </c>
      <c r="B173" s="21" t="s">
        <v>225</v>
      </c>
      <c r="C173" s="21" t="s">
        <v>48</v>
      </c>
      <c r="D173" s="24">
        <v>161212540.66</v>
      </c>
      <c r="E173" s="24">
        <v>116373.65</v>
      </c>
      <c r="F173" s="24">
        <v>0</v>
      </c>
      <c r="G173" s="22">
        <v>374516.52</v>
      </c>
      <c r="H173" s="23">
        <f t="shared" si="88"/>
        <v>-258142.87000000002</v>
      </c>
      <c r="I173" s="22">
        <v>159759147.61000001</v>
      </c>
      <c r="J173" s="25">
        <f t="shared" si="81"/>
        <v>2.1228996282243074E-3</v>
      </c>
      <c r="K173" s="22">
        <v>166206160.53999999</v>
      </c>
      <c r="L173" s="25">
        <f t="shared" si="89"/>
        <v>2.1989938969636082E-3</v>
      </c>
      <c r="M173" s="25">
        <f t="shared" si="90"/>
        <v>4.0354577665488438E-2</v>
      </c>
      <c r="N173" s="26">
        <f t="shared" si="91"/>
        <v>2.2533251401945899E-3</v>
      </c>
      <c r="O173" s="27">
        <f t="shared" si="92"/>
        <v>-1.5531486267494525E-3</v>
      </c>
      <c r="P173" s="28">
        <f t="shared" si="93"/>
        <v>198.61981854517401</v>
      </c>
      <c r="Q173" s="28">
        <f t="shared" si="94"/>
        <v>-0.30848609841866248</v>
      </c>
      <c r="R173" s="22">
        <v>198.6198</v>
      </c>
      <c r="S173" s="22">
        <v>198.6198</v>
      </c>
      <c r="T173" s="22">
        <v>148</v>
      </c>
      <c r="U173" s="22">
        <v>833354.03</v>
      </c>
      <c r="V173" s="22">
        <v>836805.52</v>
      </c>
    </row>
    <row r="174" spans="1:22">
      <c r="A174" s="20">
        <v>152</v>
      </c>
      <c r="B174" s="21" t="s">
        <v>168</v>
      </c>
      <c r="C174" s="21" t="s">
        <v>169</v>
      </c>
      <c r="D174" s="24">
        <v>313114269.42000002</v>
      </c>
      <c r="E174" s="24">
        <v>2656368.92</v>
      </c>
      <c r="F174" s="24">
        <v>0</v>
      </c>
      <c r="G174" s="22">
        <v>815137.21</v>
      </c>
      <c r="H174" s="23">
        <f t="shared" si="88"/>
        <v>1841231.71</v>
      </c>
      <c r="I174" s="22">
        <v>341182691.54000002</v>
      </c>
      <c r="J174" s="25">
        <f t="shared" si="81"/>
        <v>4.5336784770219794E-3</v>
      </c>
      <c r="K174" s="22">
        <v>329132199.27999997</v>
      </c>
      <c r="L174" s="25">
        <f t="shared" si="89"/>
        <v>4.3545900775245122E-3</v>
      </c>
      <c r="M174" s="25">
        <f t="shared" si="90"/>
        <v>-3.5319764333904546E-2</v>
      </c>
      <c r="N174" s="26">
        <f t="shared" si="91"/>
        <v>2.4766255376507387E-3</v>
      </c>
      <c r="O174" s="27">
        <f t="shared" si="92"/>
        <v>5.5942010961790578E-3</v>
      </c>
      <c r="P174" s="28">
        <f t="shared" si="93"/>
        <v>156.66292505952228</v>
      </c>
      <c r="Q174" s="28">
        <f t="shared" si="94"/>
        <v>0.87640390709859706</v>
      </c>
      <c r="R174" s="22">
        <v>128.76</v>
      </c>
      <c r="S174" s="22">
        <v>129.74</v>
      </c>
      <c r="T174" s="22">
        <v>96</v>
      </c>
      <c r="U174" s="22">
        <v>2162468</v>
      </c>
      <c r="V174" s="22">
        <v>2100894</v>
      </c>
    </row>
    <row r="175" spans="1:22">
      <c r="A175" s="20">
        <v>153</v>
      </c>
      <c r="B175" s="21" t="s">
        <v>170</v>
      </c>
      <c r="C175" s="22" t="s">
        <v>69</v>
      </c>
      <c r="D175" s="24">
        <v>465049000.08999997</v>
      </c>
      <c r="E175" s="24">
        <v>27873036.379999999</v>
      </c>
      <c r="F175" s="24">
        <v>38559496.32</v>
      </c>
      <c r="G175" s="22">
        <v>949065.69</v>
      </c>
      <c r="H175" s="23">
        <f t="shared" si="88"/>
        <v>65483467.010000005</v>
      </c>
      <c r="I175" s="22">
        <v>456108455.86000001</v>
      </c>
      <c r="J175" s="25">
        <f t="shared" si="81"/>
        <v>6.0608264744806918E-3</v>
      </c>
      <c r="K175" s="22">
        <v>459178850.99000001</v>
      </c>
      <c r="L175" s="25">
        <f t="shared" si="89"/>
        <v>6.0751748771596531E-3</v>
      </c>
      <c r="M175" s="25">
        <f t="shared" si="90"/>
        <v>6.7317215687455623E-3</v>
      </c>
      <c r="N175" s="26">
        <f t="shared" si="91"/>
        <v>2.0668758762599645E-3</v>
      </c>
      <c r="O175" s="27">
        <f t="shared" si="92"/>
        <v>0.14260993699691563</v>
      </c>
      <c r="P175" s="28">
        <f t="shared" si="93"/>
        <v>1.6857886891654967</v>
      </c>
      <c r="Q175" s="28">
        <f t="shared" si="94"/>
        <v>0.24041021875200447</v>
      </c>
      <c r="R175" s="22">
        <v>1.6645000000000001</v>
      </c>
      <c r="S175" s="22">
        <v>1.6836</v>
      </c>
      <c r="T175" s="22">
        <v>105</v>
      </c>
      <c r="U175" s="22">
        <v>264165865.09999999</v>
      </c>
      <c r="V175" s="22">
        <v>272382211.32999998</v>
      </c>
    </row>
    <row r="176" spans="1:22">
      <c r="A176" s="20">
        <v>154</v>
      </c>
      <c r="B176" s="22" t="s">
        <v>171</v>
      </c>
      <c r="C176" s="22" t="s">
        <v>73</v>
      </c>
      <c r="D176" s="24">
        <v>13587654526.66</v>
      </c>
      <c r="E176" s="24">
        <v>645214290.49000001</v>
      </c>
      <c r="F176" s="24">
        <v>172829994.74000001</v>
      </c>
      <c r="G176" s="22">
        <v>22104644.539999999</v>
      </c>
      <c r="H176" s="23">
        <f t="shared" si="88"/>
        <v>795939640.69000006</v>
      </c>
      <c r="I176" s="22">
        <v>13034642033.41</v>
      </c>
      <c r="J176" s="25">
        <f t="shared" si="81"/>
        <v>0.17320596122804396</v>
      </c>
      <c r="K176" s="22">
        <v>13303137670.23</v>
      </c>
      <c r="L176" s="25">
        <f t="shared" si="89"/>
        <v>0.17600742627263896</v>
      </c>
      <c r="M176" s="25">
        <f t="shared" si="90"/>
        <v>2.0598619903162651E-2</v>
      </c>
      <c r="N176" s="26">
        <f t="shared" si="91"/>
        <v>1.6616113497394055E-3</v>
      </c>
      <c r="O176" s="27">
        <f t="shared" si="92"/>
        <v>5.9830970739419474E-2</v>
      </c>
      <c r="P176" s="28">
        <f t="shared" si="93"/>
        <v>445.9596457538799</v>
      </c>
      <c r="Q176" s="28">
        <f t="shared" si="94"/>
        <v>26.682198516062261</v>
      </c>
      <c r="R176" s="22">
        <v>445.96</v>
      </c>
      <c r="S176" s="22">
        <v>450.2</v>
      </c>
      <c r="T176" s="22">
        <v>5512</v>
      </c>
      <c r="U176" s="22">
        <v>29058743</v>
      </c>
      <c r="V176" s="22">
        <v>29830362</v>
      </c>
    </row>
    <row r="177" spans="1:22" ht="15.6" customHeight="1">
      <c r="A177" s="20">
        <v>155</v>
      </c>
      <c r="B177" s="22" t="s">
        <v>172</v>
      </c>
      <c r="C177" s="21" t="s">
        <v>252</v>
      </c>
      <c r="D177" s="24">
        <v>4243256963.0799999</v>
      </c>
      <c r="E177" s="24">
        <v>38195232.32</v>
      </c>
      <c r="F177" s="24">
        <v>114133228.7</v>
      </c>
      <c r="G177" s="22">
        <v>13498953.359999999</v>
      </c>
      <c r="H177" s="23">
        <f t="shared" si="88"/>
        <v>138829507.66000003</v>
      </c>
      <c r="I177" s="22">
        <v>3873244692.8600001</v>
      </c>
      <c r="J177" s="25">
        <f t="shared" si="81"/>
        <v>5.1468162177272299E-2</v>
      </c>
      <c r="K177" s="22">
        <v>4211643975.4699998</v>
      </c>
      <c r="L177" s="25">
        <f t="shared" si="89"/>
        <v>5.5722238984115088E-2</v>
      </c>
      <c r="M177" s="25">
        <f t="shared" si="90"/>
        <v>8.736842349098424E-2</v>
      </c>
      <c r="N177" s="26">
        <f t="shared" si="91"/>
        <v>3.2051506344368957E-3</v>
      </c>
      <c r="O177" s="27">
        <f t="shared" si="92"/>
        <v>3.2963258164410085E-2</v>
      </c>
      <c r="P177" s="28">
        <f t="shared" si="93"/>
        <v>2.9787717079934213</v>
      </c>
      <c r="Q177" s="28">
        <f t="shared" si="94"/>
        <v>9.8190020823427912E-2</v>
      </c>
      <c r="R177" s="22">
        <v>2.9470000000000001</v>
      </c>
      <c r="S177" s="22">
        <v>3.0055000000000001</v>
      </c>
      <c r="T177" s="22">
        <v>10296</v>
      </c>
      <c r="U177" s="22">
        <v>1412245813.25</v>
      </c>
      <c r="V177" s="22">
        <v>1413886120.97</v>
      </c>
    </row>
    <row r="178" spans="1:22">
      <c r="A178" s="20">
        <v>156</v>
      </c>
      <c r="B178" s="21" t="s">
        <v>173</v>
      </c>
      <c r="C178" s="22" t="s">
        <v>77</v>
      </c>
      <c r="D178" s="24">
        <v>236421438.02000001</v>
      </c>
      <c r="E178" s="24">
        <v>2488833.85</v>
      </c>
      <c r="F178" s="24">
        <v>0</v>
      </c>
      <c r="G178" s="22">
        <v>560743.68000000005</v>
      </c>
      <c r="H178" s="23">
        <f t="shared" si="88"/>
        <v>1928090.17</v>
      </c>
      <c r="I178" s="22">
        <v>309813665.05000001</v>
      </c>
      <c r="J178" s="25">
        <f t="shared" si="81"/>
        <v>4.1168429112993501E-3</v>
      </c>
      <c r="K178" s="22">
        <v>304249114.29000002</v>
      </c>
      <c r="L178" s="25">
        <f t="shared" si="89"/>
        <v>4.0253739290203889E-3</v>
      </c>
      <c r="M178" s="25">
        <f t="shared" si="90"/>
        <v>-1.7960959724297319E-2</v>
      </c>
      <c r="N178" s="26">
        <f t="shared" si="91"/>
        <v>1.8430412897291724E-3</v>
      </c>
      <c r="O178" s="27">
        <f t="shared" si="92"/>
        <v>6.3372088181732856E-3</v>
      </c>
      <c r="P178" s="28">
        <f t="shared" si="93"/>
        <v>346.82052968523357</v>
      </c>
      <c r="Q178" s="28">
        <f t="shared" si="94"/>
        <v>2.1978741190447919</v>
      </c>
      <c r="R178" s="22">
        <v>346.82049999999998</v>
      </c>
      <c r="S178" s="22">
        <v>349.30619999999999</v>
      </c>
      <c r="T178" s="22">
        <v>65</v>
      </c>
      <c r="U178" s="22">
        <v>876823.81</v>
      </c>
      <c r="V178" s="22">
        <v>877252.32</v>
      </c>
    </row>
    <row r="179" spans="1:22">
      <c r="A179" s="20">
        <v>157</v>
      </c>
      <c r="B179" s="21" t="s">
        <v>228</v>
      </c>
      <c r="C179" s="21" t="s">
        <v>227</v>
      </c>
      <c r="D179" s="24">
        <v>70125625.040000007</v>
      </c>
      <c r="E179" s="24">
        <v>2556641.13</v>
      </c>
      <c r="F179" s="24">
        <v>0</v>
      </c>
      <c r="G179" s="22">
        <v>104961.06</v>
      </c>
      <c r="H179" s="23">
        <f>(E179+F179)-G179</f>
        <v>2451680.0699999998</v>
      </c>
      <c r="I179" s="21">
        <v>70003706.969999999</v>
      </c>
      <c r="J179" s="25">
        <f t="shared" si="81"/>
        <v>9.3021805464136155E-4</v>
      </c>
      <c r="K179" s="21">
        <v>70045308.489999995</v>
      </c>
      <c r="L179" s="25">
        <f t="shared" si="89"/>
        <v>9.2673584047670585E-4</v>
      </c>
      <c r="M179" s="25">
        <f t="shared" si="90"/>
        <v>5.942759576692718E-4</v>
      </c>
      <c r="N179" s="26">
        <f t="shared" si="91"/>
        <v>1.4984738059221302E-3</v>
      </c>
      <c r="O179" s="27">
        <f t="shared" si="92"/>
        <v>3.5001345883857636E-2</v>
      </c>
      <c r="P179" s="28">
        <f t="shared" si="93"/>
        <v>1.3764872853577534</v>
      </c>
      <c r="Q179" s="28">
        <f t="shared" si="94"/>
        <v>4.8178907579538972E-2</v>
      </c>
      <c r="R179" s="22">
        <v>1.3480000000000001</v>
      </c>
      <c r="S179" s="22">
        <v>1.3740000000000001</v>
      </c>
      <c r="T179" s="22">
        <v>25</v>
      </c>
      <c r="U179" s="22">
        <v>50862000</v>
      </c>
      <c r="V179" s="22">
        <v>50887000</v>
      </c>
    </row>
    <row r="180" spans="1:22">
      <c r="A180" s="20">
        <v>158</v>
      </c>
      <c r="B180" s="22" t="s">
        <v>174</v>
      </c>
      <c r="C180" s="22" t="s">
        <v>36</v>
      </c>
      <c r="D180" s="24">
        <v>4554249474.5200005</v>
      </c>
      <c r="E180" s="24">
        <v>39116457.469999999</v>
      </c>
      <c r="F180" s="24">
        <v>115171261.28</v>
      </c>
      <c r="G180" s="22">
        <v>9760307.6300000008</v>
      </c>
      <c r="H180" s="23">
        <f t="shared" si="88"/>
        <v>144527411.12</v>
      </c>
      <c r="I180" s="22">
        <v>4379490050.21</v>
      </c>
      <c r="J180" s="25">
        <f t="shared" si="81"/>
        <v>5.8195214098781964E-2</v>
      </c>
      <c r="K180" s="22">
        <v>4388512716.96</v>
      </c>
      <c r="L180" s="25">
        <f t="shared" si="89"/>
        <v>5.8062304369396286E-2</v>
      </c>
      <c r="M180" s="25">
        <f t="shared" si="90"/>
        <v>2.0602094414091331E-3</v>
      </c>
      <c r="N180" s="26">
        <f t="shared" si="91"/>
        <v>2.2240581854257764E-3</v>
      </c>
      <c r="O180" s="27">
        <f t="shared" si="92"/>
        <v>3.2933118904145887E-2</v>
      </c>
      <c r="P180" s="28">
        <f t="shared" si="93"/>
        <v>5.8440681668178813</v>
      </c>
      <c r="Q180" s="28">
        <f t="shared" si="94"/>
        <v>0.19246339182174715</v>
      </c>
      <c r="R180" s="22">
        <v>5.84</v>
      </c>
      <c r="S180" s="22">
        <v>5.99</v>
      </c>
      <c r="T180" s="22">
        <v>2596</v>
      </c>
      <c r="U180" s="22">
        <v>732421933.62</v>
      </c>
      <c r="V180" s="22">
        <v>750934553.07000005</v>
      </c>
    </row>
    <row r="181" spans="1:22">
      <c r="A181" s="20">
        <v>159</v>
      </c>
      <c r="B181" s="21" t="s">
        <v>256</v>
      </c>
      <c r="C181" s="21" t="s">
        <v>257</v>
      </c>
      <c r="D181" s="30">
        <v>84340374.379999995</v>
      </c>
      <c r="E181" s="30">
        <v>2235563.2200000002</v>
      </c>
      <c r="F181" s="30">
        <v>629743.81999999995</v>
      </c>
      <c r="G181" s="30">
        <v>372383.06</v>
      </c>
      <c r="H181" s="23">
        <f t="shared" si="88"/>
        <v>2492923.98</v>
      </c>
      <c r="I181" s="30">
        <v>93020822.060000002</v>
      </c>
      <c r="J181" s="25">
        <f t="shared" si="81"/>
        <v>1.236072372208455E-3</v>
      </c>
      <c r="K181" s="30">
        <v>95521594.079999998</v>
      </c>
      <c r="L181" s="25">
        <f t="shared" si="89"/>
        <v>1.2638003412611359E-3</v>
      </c>
      <c r="M181" s="25">
        <f t="shared" si="90"/>
        <v>2.6884002577261201E-2</v>
      </c>
      <c r="N181" s="26">
        <f t="shared" si="91"/>
        <v>3.8984175629243225E-3</v>
      </c>
      <c r="O181" s="27">
        <f t="shared" si="92"/>
        <v>2.6098014841671915E-2</v>
      </c>
      <c r="P181" s="28">
        <f t="shared" si="93"/>
        <v>2.5864448793186137</v>
      </c>
      <c r="Q181" s="28">
        <f t="shared" si="94"/>
        <v>6.7501076847623506E-2</v>
      </c>
      <c r="R181" s="30">
        <v>2.6</v>
      </c>
      <c r="S181" s="30">
        <v>2.61</v>
      </c>
      <c r="T181" s="30">
        <v>101</v>
      </c>
      <c r="U181" s="30">
        <v>36686158.233999997</v>
      </c>
      <c r="V181" s="30">
        <v>36931617.93</v>
      </c>
    </row>
    <row r="182" spans="1:22">
      <c r="A182" s="20">
        <v>160</v>
      </c>
      <c r="B182" s="22" t="s">
        <v>175</v>
      </c>
      <c r="C182" s="22" t="s">
        <v>115</v>
      </c>
      <c r="D182" s="24">
        <v>778052031.38</v>
      </c>
      <c r="E182" s="24">
        <v>13961119.32</v>
      </c>
      <c r="F182" s="24">
        <v>5397699.4500000002</v>
      </c>
      <c r="G182" s="22">
        <v>3959684.78</v>
      </c>
      <c r="H182" s="23">
        <f t="shared" si="88"/>
        <v>15399133.99</v>
      </c>
      <c r="I182" s="22">
        <v>665757914.38999999</v>
      </c>
      <c r="J182" s="25">
        <f t="shared" si="81"/>
        <v>8.8466748232540905E-3</v>
      </c>
      <c r="K182" s="22">
        <v>768843553.34000003</v>
      </c>
      <c r="L182" s="25">
        <f t="shared" si="89"/>
        <v>1.0172199851205795E-2</v>
      </c>
      <c r="M182" s="25">
        <f t="shared" si="90"/>
        <v>0.15483952458072114</v>
      </c>
      <c r="N182" s="26">
        <f t="shared" si="91"/>
        <v>5.1501827163645836E-3</v>
      </c>
      <c r="O182" s="27">
        <f t="shared" si="92"/>
        <v>2.0028956376239724E-2</v>
      </c>
      <c r="P182" s="28">
        <f t="shared" si="93"/>
        <v>341.65430402890519</v>
      </c>
      <c r="Q182" s="28">
        <f t="shared" si="94"/>
        <v>6.8429791511494864</v>
      </c>
      <c r="R182" s="22">
        <v>341.65429999999998</v>
      </c>
      <c r="S182" s="22">
        <v>345.74630000000002</v>
      </c>
      <c r="T182" s="22">
        <v>164</v>
      </c>
      <c r="U182" s="22">
        <v>1985025.4</v>
      </c>
      <c r="V182" s="22">
        <v>2250355.2400000002</v>
      </c>
    </row>
    <row r="183" spans="1:22">
      <c r="A183" s="20">
        <v>161</v>
      </c>
      <c r="B183" s="21" t="s">
        <v>176</v>
      </c>
      <c r="C183" s="22" t="s">
        <v>32</v>
      </c>
      <c r="D183" s="24">
        <v>2133230324.5699999</v>
      </c>
      <c r="E183" s="24">
        <v>20474181.609999999</v>
      </c>
      <c r="F183" s="24">
        <v>22829078.609999999</v>
      </c>
      <c r="G183" s="22">
        <v>5426361.4800000004</v>
      </c>
      <c r="H183" s="23">
        <f t="shared" si="88"/>
        <v>37876898.739999995</v>
      </c>
      <c r="I183" s="22">
        <v>2075022203.0799999</v>
      </c>
      <c r="J183" s="25">
        <f t="shared" si="81"/>
        <v>2.7573155774649256E-2</v>
      </c>
      <c r="K183" s="22">
        <v>2051196099</v>
      </c>
      <c r="L183" s="25">
        <f t="shared" si="89"/>
        <v>2.7138390589866408E-2</v>
      </c>
      <c r="M183" s="25">
        <f t="shared" si="90"/>
        <v>-1.1482336933375617E-2</v>
      </c>
      <c r="N183" s="26">
        <f t="shared" si="91"/>
        <v>2.6454620709572638E-3</v>
      </c>
      <c r="O183" s="27">
        <f t="shared" si="92"/>
        <v>1.8465761883257166E-2</v>
      </c>
      <c r="P183" s="28">
        <f t="shared" si="93"/>
        <v>2749.7769274080033</v>
      </c>
      <c r="Q183" s="28">
        <f t="shared" si="94"/>
        <v>50.776725973590715</v>
      </c>
      <c r="R183" s="22">
        <v>0</v>
      </c>
      <c r="S183" s="22">
        <v>0</v>
      </c>
      <c r="T183" s="22">
        <v>823</v>
      </c>
      <c r="U183" s="22">
        <v>745950</v>
      </c>
      <c r="V183" s="22">
        <v>745950</v>
      </c>
    </row>
    <row r="184" spans="1:22">
      <c r="A184" s="20">
        <v>162</v>
      </c>
      <c r="B184" s="21" t="s">
        <v>177</v>
      </c>
      <c r="C184" s="22" t="s">
        <v>83</v>
      </c>
      <c r="D184" s="24">
        <v>35947206.950000003</v>
      </c>
      <c r="E184" s="24">
        <v>314400.08</v>
      </c>
      <c r="F184" s="24">
        <v>2818803.5</v>
      </c>
      <c r="G184" s="22">
        <v>15642.73</v>
      </c>
      <c r="H184" s="23">
        <f t="shared" si="88"/>
        <v>3117560.85</v>
      </c>
      <c r="I184" s="22">
        <v>49272363.310000002</v>
      </c>
      <c r="J184" s="25">
        <f t="shared" si="81"/>
        <v>6.5473735505825034E-4</v>
      </c>
      <c r="K184" s="22">
        <v>48627849.170000002</v>
      </c>
      <c r="L184" s="25">
        <f t="shared" si="89"/>
        <v>6.4337172099924664E-4</v>
      </c>
      <c r="M184" s="25">
        <f t="shared" si="90"/>
        <v>-1.3080641899496511E-2</v>
      </c>
      <c r="N184" s="26">
        <f t="shared" si="91"/>
        <v>3.2168253926497897E-4</v>
      </c>
      <c r="O184" s="27">
        <f t="shared" si="92"/>
        <v>6.4110605408460433E-2</v>
      </c>
      <c r="P184" s="28">
        <f t="shared" si="93"/>
        <v>2.6295739874090249</v>
      </c>
      <c r="Q184" s="28">
        <f t="shared" si="94"/>
        <v>0.16858358029913187</v>
      </c>
      <c r="R184" s="22">
        <v>2.65</v>
      </c>
      <c r="S184" s="22">
        <v>2.65</v>
      </c>
      <c r="T184" s="22">
        <v>9</v>
      </c>
      <c r="U184" s="22">
        <v>18270952.399999999</v>
      </c>
      <c r="V184" s="22">
        <v>18492671.969999999</v>
      </c>
    </row>
    <row r="185" spans="1:22">
      <c r="A185" s="20">
        <v>163</v>
      </c>
      <c r="B185" s="22" t="s">
        <v>178</v>
      </c>
      <c r="C185" s="22" t="s">
        <v>42</v>
      </c>
      <c r="D185" s="24">
        <v>361212282.36000001</v>
      </c>
      <c r="E185" s="24">
        <v>16233882.68</v>
      </c>
      <c r="F185" s="24">
        <v>142465898.63</v>
      </c>
      <c r="G185" s="22">
        <v>513916.39</v>
      </c>
      <c r="H185" s="23">
        <f t="shared" si="88"/>
        <v>158185864.92000002</v>
      </c>
      <c r="I185" s="22">
        <v>361727464.76999998</v>
      </c>
      <c r="J185" s="25">
        <f t="shared" si="81"/>
        <v>4.8066800052874552E-3</v>
      </c>
      <c r="K185" s="22">
        <v>367124935.07999998</v>
      </c>
      <c r="L185" s="25">
        <f t="shared" si="89"/>
        <v>4.8572537205670589E-3</v>
      </c>
      <c r="M185" s="25">
        <f t="shared" si="90"/>
        <v>1.4921372678825807E-2</v>
      </c>
      <c r="N185" s="26">
        <f t="shared" si="91"/>
        <v>1.3998406016415442E-3</v>
      </c>
      <c r="O185" s="27">
        <f t="shared" si="92"/>
        <v>0.43087747468182686</v>
      </c>
      <c r="P185" s="28">
        <f t="shared" si="93"/>
        <v>3.6836503634321445</v>
      </c>
      <c r="Q185" s="28">
        <f t="shared" si="94"/>
        <v>1.5872019662064361</v>
      </c>
      <c r="R185" s="22">
        <v>3.64</v>
      </c>
      <c r="S185" s="22">
        <v>3.7</v>
      </c>
      <c r="T185" s="22">
        <v>125</v>
      </c>
      <c r="U185" s="22">
        <v>99663349.900000006</v>
      </c>
      <c r="V185" s="22">
        <v>99663349.900000006</v>
      </c>
    </row>
    <row r="186" spans="1:22">
      <c r="A186" s="20">
        <v>164</v>
      </c>
      <c r="B186" s="21" t="s">
        <v>179</v>
      </c>
      <c r="C186" s="21" t="s">
        <v>46</v>
      </c>
      <c r="D186" s="24">
        <v>3770251064.3499999</v>
      </c>
      <c r="E186" s="24">
        <v>53408489.689999998</v>
      </c>
      <c r="F186" s="24">
        <v>183493572.69999999</v>
      </c>
      <c r="G186" s="22">
        <v>7166353.7000000002</v>
      </c>
      <c r="H186" s="23">
        <f t="shared" si="88"/>
        <v>229735708.69</v>
      </c>
      <c r="I186" s="22">
        <v>3856697322</v>
      </c>
      <c r="J186" s="25">
        <f t="shared" si="81"/>
        <v>5.124827863399916E-2</v>
      </c>
      <c r="K186" s="22">
        <v>3826927034.3099999</v>
      </c>
      <c r="L186" s="25">
        <f t="shared" si="89"/>
        <v>5.0632233878884665E-2</v>
      </c>
      <c r="M186" s="25">
        <f t="shared" si="90"/>
        <v>-7.7191143624830349E-3</v>
      </c>
      <c r="N186" s="26">
        <f t="shared" si="91"/>
        <v>1.8726131007334723E-3</v>
      </c>
      <c r="O186" s="27">
        <f t="shared" si="92"/>
        <v>6.0031379388821207E-2</v>
      </c>
      <c r="P186" s="28">
        <f t="shared" si="93"/>
        <v>9027.9703846493558</v>
      </c>
      <c r="Q186" s="28">
        <f t="shared" si="94"/>
        <v>541.96151527192762</v>
      </c>
      <c r="R186" s="22">
        <v>8977.3700000000008</v>
      </c>
      <c r="S186" s="22">
        <v>9062.65</v>
      </c>
      <c r="T186" s="22">
        <v>2839</v>
      </c>
      <c r="U186" s="22">
        <v>410226.97</v>
      </c>
      <c r="V186" s="22">
        <v>423896.72</v>
      </c>
    </row>
    <row r="187" spans="1:22">
      <c r="A187" s="20">
        <v>165</v>
      </c>
      <c r="B187" s="21" t="s">
        <v>292</v>
      </c>
      <c r="C187" s="21" t="s">
        <v>290</v>
      </c>
      <c r="D187" s="24">
        <v>112785996.81</v>
      </c>
      <c r="E187" s="24">
        <v>4518981.4400000004</v>
      </c>
      <c r="F187" s="24">
        <v>16301402.699999999</v>
      </c>
      <c r="G187" s="22">
        <v>1154041.21</v>
      </c>
      <c r="H187" s="23">
        <f t="shared" si="88"/>
        <v>19666342.93</v>
      </c>
      <c r="I187" s="22">
        <v>134905609.91</v>
      </c>
      <c r="J187" s="25">
        <f t="shared" si="81"/>
        <v>1.792642696257012E-3</v>
      </c>
      <c r="K187" s="22">
        <v>133945309.34999999</v>
      </c>
      <c r="L187" s="25">
        <f t="shared" si="89"/>
        <v>1.7721660667124662E-3</v>
      </c>
      <c r="M187" s="25">
        <f t="shared" si="90"/>
        <v>-7.1183145062733173E-3</v>
      </c>
      <c r="N187" s="26">
        <f t="shared" si="91"/>
        <v>8.6157642667760957E-3</v>
      </c>
      <c r="O187" s="27">
        <f t="shared" si="92"/>
        <v>0.14682367770424654</v>
      </c>
      <c r="P187" s="28">
        <f t="shared" si="93"/>
        <v>1379.884680559675</v>
      </c>
      <c r="Q187" s="28">
        <f t="shared" si="94"/>
        <v>202.59974360752091</v>
      </c>
      <c r="R187" s="22">
        <v>1367.1436000000001</v>
      </c>
      <c r="S187" s="22">
        <v>1388.0754999999999</v>
      </c>
      <c r="T187" s="22">
        <v>17</v>
      </c>
      <c r="U187" s="22">
        <v>97901.84</v>
      </c>
      <c r="V187" s="22">
        <v>97069.93</v>
      </c>
    </row>
    <row r="188" spans="1:22">
      <c r="A188" s="20">
        <v>166</v>
      </c>
      <c r="B188" s="21" t="s">
        <v>226</v>
      </c>
      <c r="C188" s="21" t="s">
        <v>227</v>
      </c>
      <c r="D188" s="24">
        <v>761093195.21000004</v>
      </c>
      <c r="E188" s="24">
        <v>81706094.030000001</v>
      </c>
      <c r="F188" s="24">
        <v>0</v>
      </c>
      <c r="G188" s="22">
        <v>1146159.5</v>
      </c>
      <c r="H188" s="23">
        <f t="shared" si="88"/>
        <v>80559934.530000001</v>
      </c>
      <c r="I188" s="22">
        <v>748498967.03999996</v>
      </c>
      <c r="J188" s="25">
        <f t="shared" si="81"/>
        <v>9.9461483278221515E-3</v>
      </c>
      <c r="K188" s="22">
        <v>759149810.79999995</v>
      </c>
      <c r="L188" s="25">
        <f t="shared" si="89"/>
        <v>1.0043946598649212E-2</v>
      </c>
      <c r="M188" s="25">
        <f t="shared" si="90"/>
        <v>1.422960381912031E-2</v>
      </c>
      <c r="N188" s="26">
        <f t="shared" si="91"/>
        <v>1.5097935660316707E-3</v>
      </c>
      <c r="O188" s="27">
        <f t="shared" si="92"/>
        <v>0.10611862557813866</v>
      </c>
      <c r="P188" s="28">
        <f t="shared" si="93"/>
        <v>1.4460174903606762</v>
      </c>
      <c r="Q188" s="28">
        <f t="shared" si="94"/>
        <v>0.15344938863902433</v>
      </c>
      <c r="R188" s="22">
        <v>1.4350000000000001</v>
      </c>
      <c r="S188" s="22">
        <v>1.4350000000000001</v>
      </c>
      <c r="T188" s="22">
        <v>42</v>
      </c>
      <c r="U188" s="22">
        <v>524793519</v>
      </c>
      <c r="V188" s="22">
        <v>524993519</v>
      </c>
    </row>
    <row r="189" spans="1:22">
      <c r="A189" s="20">
        <v>167</v>
      </c>
      <c r="B189" s="21" t="s">
        <v>180</v>
      </c>
      <c r="C189" s="21" t="s">
        <v>50</v>
      </c>
      <c r="D189" s="24">
        <v>2552802659</v>
      </c>
      <c r="E189" s="24">
        <v>21954276</v>
      </c>
      <c r="F189" s="24">
        <v>92439351</v>
      </c>
      <c r="G189" s="22">
        <v>5416366</v>
      </c>
      <c r="H189" s="23">
        <f t="shared" si="88"/>
        <v>108977261</v>
      </c>
      <c r="I189" s="22">
        <v>3113038471.27</v>
      </c>
      <c r="J189" s="25">
        <f t="shared" si="81"/>
        <v>4.1366446379896581E-2</v>
      </c>
      <c r="K189" s="22">
        <v>3206704457.29</v>
      </c>
      <c r="L189" s="25">
        <f t="shared" si="89"/>
        <v>4.2426366796732874E-2</v>
      </c>
      <c r="M189" s="25">
        <f t="shared" si="90"/>
        <v>3.0088284126404598E-2</v>
      </c>
      <c r="N189" s="26">
        <f t="shared" si="91"/>
        <v>1.6890755204105696E-3</v>
      </c>
      <c r="O189" s="27">
        <f t="shared" si="92"/>
        <v>3.3984192323135751E-2</v>
      </c>
      <c r="P189" s="28">
        <f t="shared" si="93"/>
        <v>2.1621163096010969</v>
      </c>
      <c r="Q189" s="28">
        <f t="shared" si="94"/>
        <v>7.3477776490472199E-2</v>
      </c>
      <c r="R189" s="22">
        <v>2.16</v>
      </c>
      <c r="S189" s="22">
        <v>2.17</v>
      </c>
      <c r="T189" s="22">
        <v>1473</v>
      </c>
      <c r="U189" s="22">
        <v>1426216307</v>
      </c>
      <c r="V189" s="22">
        <v>1483132264</v>
      </c>
    </row>
    <row r="190" spans="1:22">
      <c r="A190" s="20">
        <v>168</v>
      </c>
      <c r="B190" s="38" t="s">
        <v>181</v>
      </c>
      <c r="C190" s="21" t="s">
        <v>90</v>
      </c>
      <c r="D190" s="24">
        <v>10475395731.110001</v>
      </c>
      <c r="E190" s="24">
        <v>308798475.27999997</v>
      </c>
      <c r="F190" s="24">
        <v>599432293.38</v>
      </c>
      <c r="G190" s="22">
        <v>25583971.149999999</v>
      </c>
      <c r="H190" s="23">
        <f t="shared" si="88"/>
        <v>882646797.50999999</v>
      </c>
      <c r="I190" s="22">
        <v>12465767123.48</v>
      </c>
      <c r="J190" s="25">
        <f t="shared" si="81"/>
        <v>0.16564667994203802</v>
      </c>
      <c r="K190" s="22">
        <v>12149549334.33</v>
      </c>
      <c r="L190" s="25">
        <f t="shared" si="89"/>
        <v>0.16074485296000893</v>
      </c>
      <c r="M190" s="25">
        <f t="shared" si="90"/>
        <v>-2.5366893671099067E-2</v>
      </c>
      <c r="N190" s="26">
        <f t="shared" si="91"/>
        <v>2.1057547441458951E-3</v>
      </c>
      <c r="O190" s="27">
        <f t="shared" si="92"/>
        <v>7.2648521621783632E-2</v>
      </c>
      <c r="P190" s="28">
        <f t="shared" si="93"/>
        <v>710.80749297295677</v>
      </c>
      <c r="Q190" s="28">
        <f t="shared" si="94"/>
        <v>51.63911352217167</v>
      </c>
      <c r="R190" s="22">
        <v>704.92</v>
      </c>
      <c r="S190" s="22">
        <v>713.82</v>
      </c>
      <c r="T190" s="22">
        <v>35</v>
      </c>
      <c r="U190" s="22">
        <v>17092601.66</v>
      </c>
      <c r="V190" s="22">
        <v>17092601.66</v>
      </c>
    </row>
    <row r="191" spans="1:22">
      <c r="A191" s="20">
        <v>169</v>
      </c>
      <c r="B191" s="21" t="s">
        <v>182</v>
      </c>
      <c r="C191" s="21" t="s">
        <v>50</v>
      </c>
      <c r="D191" s="24">
        <v>1056122641.53</v>
      </c>
      <c r="E191" s="24">
        <v>17128583</v>
      </c>
      <c r="F191" s="24">
        <v>87654101.290000007</v>
      </c>
      <c r="G191" s="22">
        <v>3718821</v>
      </c>
      <c r="H191" s="23">
        <f t="shared" si="88"/>
        <v>101063863.29000001</v>
      </c>
      <c r="I191" s="22">
        <v>1843728251</v>
      </c>
      <c r="J191" s="25">
        <f t="shared" si="81"/>
        <v>2.4499692675811164E-2</v>
      </c>
      <c r="K191" s="22">
        <v>1963596385</v>
      </c>
      <c r="L191" s="25">
        <f t="shared" si="89"/>
        <v>2.5979400839811997E-2</v>
      </c>
      <c r="M191" s="25">
        <f t="shared" si="90"/>
        <v>6.5013992129797873E-2</v>
      </c>
      <c r="N191" s="26">
        <f t="shared" si="91"/>
        <v>1.8938825862627568E-3</v>
      </c>
      <c r="O191" s="27">
        <f t="shared" si="92"/>
        <v>5.1468756034606371E-2</v>
      </c>
      <c r="P191" s="28">
        <f t="shared" si="93"/>
        <v>1.7266391407674195</v>
      </c>
      <c r="Q191" s="28">
        <f t="shared" si="94"/>
        <v>8.8867968695960683E-2</v>
      </c>
      <c r="R191" s="22">
        <v>1.73</v>
      </c>
      <c r="S191" s="22">
        <v>1.74</v>
      </c>
      <c r="T191" s="22">
        <v>308</v>
      </c>
      <c r="U191" s="22">
        <v>1089960912</v>
      </c>
      <c r="V191" s="22">
        <v>1137236113</v>
      </c>
    </row>
    <row r="192" spans="1:22">
      <c r="A192" s="20">
        <v>170</v>
      </c>
      <c r="B192" s="21" t="s">
        <v>183</v>
      </c>
      <c r="C192" s="21" t="s">
        <v>94</v>
      </c>
      <c r="D192" s="24">
        <v>5307341491</v>
      </c>
      <c r="E192" s="24">
        <v>21307461.75</v>
      </c>
      <c r="F192" s="24">
        <v>837709171.03999996</v>
      </c>
      <c r="G192" s="22">
        <v>47897061.210000001</v>
      </c>
      <c r="H192" s="23">
        <f t="shared" si="88"/>
        <v>811119571.57999992</v>
      </c>
      <c r="I192" s="22">
        <v>5893840799.71</v>
      </c>
      <c r="J192" s="25">
        <f t="shared" si="81"/>
        <v>7.8318097146222065E-2</v>
      </c>
      <c r="K192" s="22">
        <v>5507250922.3299999</v>
      </c>
      <c r="L192" s="25">
        <f t="shared" si="89"/>
        <v>7.2863792340214256E-2</v>
      </c>
      <c r="M192" s="25">
        <f t="shared" si="90"/>
        <v>-6.559218182462985E-2</v>
      </c>
      <c r="N192" s="26">
        <f t="shared" si="91"/>
        <v>8.6970907782309252E-3</v>
      </c>
      <c r="O192" s="27">
        <f t="shared" si="92"/>
        <v>0.14728211643511471</v>
      </c>
      <c r="P192" s="28">
        <f t="shared" si="93"/>
        <v>32.413020099652023</v>
      </c>
      <c r="Q192" s="28">
        <f t="shared" si="94"/>
        <v>4.773858200330662</v>
      </c>
      <c r="R192" s="22">
        <v>0</v>
      </c>
      <c r="S192" s="22">
        <v>0</v>
      </c>
      <c r="T192" s="22">
        <v>6160</v>
      </c>
      <c r="U192" s="22">
        <v>169377843.38</v>
      </c>
      <c r="V192" s="22">
        <v>169908601.71000001</v>
      </c>
    </row>
    <row r="193" spans="1:22" ht="15" customHeight="1">
      <c r="A193" s="120" t="s">
        <v>51</v>
      </c>
      <c r="B193" s="120"/>
      <c r="C193" s="120"/>
      <c r="D193" s="120"/>
      <c r="E193" s="120"/>
      <c r="F193" s="120"/>
      <c r="G193" s="120"/>
      <c r="H193" s="120"/>
      <c r="I193" s="34">
        <f>SUM(I165:I192)</f>
        <v>75255158315.529999</v>
      </c>
      <c r="J193" s="32">
        <f>(I193/$I$234)</f>
        <v>1.1905758903687457E-2</v>
      </c>
      <c r="K193" s="34">
        <f>SUM(K165:K192)</f>
        <v>75582820293.180008</v>
      </c>
      <c r="L193" s="32">
        <f>(K193/$K$234)</f>
        <v>1.1382223608187284E-2</v>
      </c>
      <c r="M193" s="32">
        <f t="shared" si="83"/>
        <v>4.3540135318855784E-3</v>
      </c>
      <c r="N193" s="26"/>
      <c r="O193" s="26"/>
      <c r="P193" s="33"/>
      <c r="Q193" s="33"/>
      <c r="R193" s="34"/>
      <c r="S193" s="34"/>
      <c r="T193" s="34">
        <f>SUM(T165:T192)</f>
        <v>70686</v>
      </c>
      <c r="U193" s="34"/>
      <c r="V193" s="53"/>
    </row>
    <row r="194" spans="1:22" ht="6" customHeight="1">
      <c r="A194" s="125"/>
      <c r="B194" s="125"/>
      <c r="C194" s="125"/>
      <c r="D194" s="125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</row>
    <row r="195" spans="1:22">
      <c r="A195" s="119" t="s">
        <v>184</v>
      </c>
      <c r="B195" s="119"/>
      <c r="C195" s="119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</row>
    <row r="196" spans="1:22">
      <c r="A196" s="20">
        <v>171</v>
      </c>
      <c r="B196" s="22" t="s">
        <v>186</v>
      </c>
      <c r="C196" s="21" t="s">
        <v>46</v>
      </c>
      <c r="D196" s="22">
        <v>6707750626.0100002</v>
      </c>
      <c r="E196" s="22">
        <v>47018247.609999999</v>
      </c>
      <c r="F196" s="21">
        <v>385794193.19999999</v>
      </c>
      <c r="G196" s="22">
        <v>20207465</v>
      </c>
      <c r="H196" s="23">
        <f>(E196+F196)-G196</f>
        <v>412604975.81</v>
      </c>
      <c r="I196" s="22">
        <v>7009859517.6400003</v>
      </c>
      <c r="J196" s="25">
        <f t="shared" ref="J196:J197" si="95">(I196/$I$198)</f>
        <v>0.82489313859620239</v>
      </c>
      <c r="K196" s="22">
        <v>6776813945.8199997</v>
      </c>
      <c r="L196" s="25">
        <f t="shared" ref="L196" si="96">(K196/$K$198)</f>
        <v>0.8267546399036374</v>
      </c>
      <c r="M196" s="25">
        <f t="shared" ref="M196" si="97">((K196-I196)/I196)</f>
        <v>-3.32453983184045E-2</v>
      </c>
      <c r="N196" s="26">
        <f t="shared" ref="N196" si="98">(G196/K196)</f>
        <v>2.9818532958934408E-3</v>
      </c>
      <c r="O196" s="27">
        <f t="shared" ref="O196" si="99">H196/K196</f>
        <v>6.0884802077899529E-2</v>
      </c>
      <c r="P196" s="28">
        <f t="shared" ref="P196" si="100">K196/V196</f>
        <v>4.3539656780373974</v>
      </c>
      <c r="Q196" s="28">
        <f t="shared" ref="Q196" si="101">H196/V196</f>
        <v>0.26509033856127456</v>
      </c>
      <c r="R196" s="22">
        <v>4.32</v>
      </c>
      <c r="S196" s="22">
        <v>4.38</v>
      </c>
      <c r="T196" s="22">
        <v>11044</v>
      </c>
      <c r="U196" s="22">
        <v>1511781692.28</v>
      </c>
      <c r="V196" s="22">
        <v>1556469307.97</v>
      </c>
    </row>
    <row r="197" spans="1:22">
      <c r="A197" s="20">
        <v>172</v>
      </c>
      <c r="B197" s="22" t="s">
        <v>187</v>
      </c>
      <c r="C197" s="21" t="s">
        <v>94</v>
      </c>
      <c r="D197" s="22">
        <v>1366469782.1300001</v>
      </c>
      <c r="E197" s="22">
        <v>8916426.9900000002</v>
      </c>
      <c r="F197" s="22">
        <v>166827318.09999999</v>
      </c>
      <c r="G197" s="22">
        <v>7014282.0300000003</v>
      </c>
      <c r="H197" s="23">
        <f>(E197+F197)-G197</f>
        <v>168729463.06</v>
      </c>
      <c r="I197" s="22">
        <v>1488040621.97</v>
      </c>
      <c r="J197" s="25">
        <f t="shared" si="95"/>
        <v>0.17510686140379753</v>
      </c>
      <c r="K197" s="22">
        <v>1420072553.1900001</v>
      </c>
      <c r="L197" s="25">
        <f t="shared" ref="L197" si="102">(K197/$K$198)</f>
        <v>0.17324536009636254</v>
      </c>
      <c r="M197" s="25">
        <f t="shared" ref="M197" si="103">((K197-I197)/I197)</f>
        <v>-4.5676218630387802E-2</v>
      </c>
      <c r="N197" s="26">
        <f t="shared" ref="N197" si="104">(G197/K197)</f>
        <v>4.9393828605752352E-3</v>
      </c>
      <c r="O197" s="27">
        <f t="shared" ref="O197" si="105">H197/K197</f>
        <v>0.11881749469840269</v>
      </c>
      <c r="P197" s="28">
        <f t="shared" ref="P197" si="106">K197/V197</f>
        <v>39.797534847871162</v>
      </c>
      <c r="Q197" s="28">
        <f t="shared" ref="Q197" si="107">H197/V197</f>
        <v>4.7286433857964285</v>
      </c>
      <c r="R197" s="22">
        <v>39.683999999999997</v>
      </c>
      <c r="S197" s="22">
        <v>40.064900000000002</v>
      </c>
      <c r="T197" s="22">
        <v>1492</v>
      </c>
      <c r="U197" s="22">
        <v>35584077.649999999</v>
      </c>
      <c r="V197" s="22">
        <v>35682425.020000003</v>
      </c>
    </row>
    <row r="198" spans="1:22" ht="15" customHeight="1">
      <c r="A198" s="120" t="s">
        <v>51</v>
      </c>
      <c r="B198" s="120"/>
      <c r="C198" s="120"/>
      <c r="D198" s="120"/>
      <c r="E198" s="120"/>
      <c r="F198" s="120"/>
      <c r="G198" s="120"/>
      <c r="H198" s="120"/>
      <c r="I198" s="34">
        <f>SUM(I196:I197)</f>
        <v>8497900139.6100006</v>
      </c>
      <c r="J198" s="32">
        <f>(I198/$I$234)</f>
        <v>1.3444121640885571E-3</v>
      </c>
      <c r="K198" s="34">
        <f>SUM(K196:K197)</f>
        <v>8196886499.0100002</v>
      </c>
      <c r="L198" s="32">
        <f>(K198/$K$234)</f>
        <v>1.2343915543342298E-3</v>
      </c>
      <c r="M198" s="32">
        <f t="shared" ref="M198" si="108">((K198-I198)/I198)</f>
        <v>-3.5422120247910444E-2</v>
      </c>
      <c r="N198" s="26"/>
      <c r="O198" s="54"/>
      <c r="P198" s="33"/>
      <c r="Q198" s="33"/>
      <c r="R198" s="34"/>
      <c r="S198" s="34"/>
      <c r="T198" s="34">
        <f>SUM(T196:T197)</f>
        <v>12536</v>
      </c>
      <c r="U198" s="34"/>
      <c r="V198" s="53"/>
    </row>
    <row r="199" spans="1:22" ht="8.1" customHeight="1">
      <c r="A199" s="124"/>
      <c r="B199" s="124"/>
      <c r="C199" s="124"/>
      <c r="D199" s="124"/>
      <c r="E199" s="124"/>
      <c r="F199" s="124"/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124"/>
    </row>
    <row r="200" spans="1:22">
      <c r="A200" s="119" t="s">
        <v>188</v>
      </c>
      <c r="B200" s="119"/>
      <c r="C200" s="119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</row>
    <row r="201" spans="1:22" ht="12.9" customHeight="1">
      <c r="A201" s="128" t="s">
        <v>189</v>
      </c>
      <c r="B201" s="128"/>
      <c r="C201" s="128"/>
      <c r="D201" s="128"/>
      <c r="E201" s="128"/>
      <c r="F201" s="128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</row>
    <row r="202" spans="1:22" ht="15" customHeight="1">
      <c r="A202" s="55">
        <v>173</v>
      </c>
      <c r="B202" s="45" t="s">
        <v>190</v>
      </c>
      <c r="C202" s="42" t="s">
        <v>118</v>
      </c>
      <c r="D202" s="56">
        <v>6312057328.2799997</v>
      </c>
      <c r="E202" s="24">
        <v>90139398.569999993</v>
      </c>
      <c r="F202" s="24">
        <v>66524929.939999998</v>
      </c>
      <c r="G202" s="30">
        <v>102358964.69</v>
      </c>
      <c r="H202" s="23">
        <f>(E202+F202)-G202</f>
        <v>54305363.819999993</v>
      </c>
      <c r="I202" s="24">
        <v>6861965335.4499998</v>
      </c>
      <c r="J202" s="25">
        <f>(I202/$I$224)</f>
        <v>0.10661150996133635</v>
      </c>
      <c r="K202" s="24">
        <v>7221464369.8900003</v>
      </c>
      <c r="L202" s="25">
        <f>(K202/$K$224)</f>
        <v>0.10839003152711764</v>
      </c>
      <c r="M202" s="25">
        <f>((K202-I202)/I202)</f>
        <v>5.2390097714829831E-2</v>
      </c>
      <c r="N202" s="26">
        <f>(G202/K202)</f>
        <v>1.4174267080342759E-2</v>
      </c>
      <c r="O202" s="27">
        <f>H202/K202</f>
        <v>7.5199933196966242E-3</v>
      </c>
      <c r="P202" s="28">
        <f>K202/V202</f>
        <v>2.841900474518023</v>
      </c>
      <c r="Q202" s="28">
        <f>H202/V202</f>
        <v>2.13710725836182E-2</v>
      </c>
      <c r="R202" s="24">
        <v>2.81</v>
      </c>
      <c r="S202" s="24">
        <v>2.87</v>
      </c>
      <c r="T202" s="24">
        <v>15116</v>
      </c>
      <c r="U202" s="22">
        <v>2435673414.7199998</v>
      </c>
      <c r="V202" s="22">
        <v>2541068709</v>
      </c>
    </row>
    <row r="203" spans="1:22">
      <c r="A203" s="55">
        <v>174</v>
      </c>
      <c r="B203" s="42" t="s">
        <v>191</v>
      </c>
      <c r="C203" s="42" t="s">
        <v>46</v>
      </c>
      <c r="D203" s="30">
        <v>2719827097.5</v>
      </c>
      <c r="E203" s="30">
        <v>17695352.050000001</v>
      </c>
      <c r="F203" s="30">
        <v>54287261.329999998</v>
      </c>
      <c r="G203" s="30">
        <v>12681974.59</v>
      </c>
      <c r="H203" s="23">
        <f>(E203+F203)-G203</f>
        <v>59300638.789999992</v>
      </c>
      <c r="I203" s="30">
        <v>2866662112.9899998</v>
      </c>
      <c r="J203" s="25">
        <f>(I203/$I$224)</f>
        <v>4.4538140528915499E-2</v>
      </c>
      <c r="K203" s="30">
        <v>2817800396.1700001</v>
      </c>
      <c r="L203" s="25">
        <f>(K203/$K$224)</f>
        <v>4.2293565146073436E-2</v>
      </c>
      <c r="M203" s="25">
        <f>((K203-I203)/I203)</f>
        <v>-1.7044812012754342E-2</v>
      </c>
      <c r="N203" s="26">
        <f>(G203/K203)</f>
        <v>4.500664634456559E-3</v>
      </c>
      <c r="O203" s="27">
        <f>H203/K203</f>
        <v>2.1045010452338066E-2</v>
      </c>
      <c r="P203" s="28">
        <f>K203/V203</f>
        <v>851.45162318496102</v>
      </c>
      <c r="Q203" s="28">
        <f>H203/V203</f>
        <v>17.918808309587718</v>
      </c>
      <c r="R203" s="30">
        <v>845.44</v>
      </c>
      <c r="S203" s="30">
        <v>855.57</v>
      </c>
      <c r="T203" s="30">
        <v>1762</v>
      </c>
      <c r="U203" s="30">
        <v>3344895.13</v>
      </c>
      <c r="V203" s="30">
        <v>3309407.51</v>
      </c>
    </row>
    <row r="204" spans="1:22" ht="6.9" customHeight="1">
      <c r="A204" s="124"/>
      <c r="B204" s="124"/>
      <c r="C204" s="124"/>
      <c r="D204" s="124"/>
      <c r="E204" s="124"/>
      <c r="F204" s="124"/>
      <c r="G204" s="124"/>
      <c r="H204" s="124"/>
      <c r="I204" s="124"/>
      <c r="J204" s="124"/>
      <c r="K204" s="124"/>
      <c r="L204" s="124"/>
      <c r="M204" s="124"/>
      <c r="N204" s="124"/>
      <c r="O204" s="124"/>
      <c r="P204" s="124"/>
      <c r="Q204" s="124"/>
      <c r="R204" s="124"/>
      <c r="S204" s="124"/>
      <c r="T204" s="124"/>
      <c r="U204" s="124"/>
      <c r="V204" s="124"/>
    </row>
    <row r="205" spans="1:22">
      <c r="A205" s="129" t="s">
        <v>146</v>
      </c>
      <c r="B205" s="129"/>
      <c r="C205" s="129"/>
      <c r="D205" s="129"/>
      <c r="E205" s="129"/>
      <c r="F205" s="129"/>
      <c r="G205" s="129"/>
      <c r="H205" s="129"/>
      <c r="I205" s="129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</row>
    <row r="206" spans="1:22">
      <c r="A206" s="57">
        <v>175</v>
      </c>
      <c r="B206" s="58" t="s">
        <v>272</v>
      </c>
      <c r="C206" s="59" t="s">
        <v>58</v>
      </c>
      <c r="D206" s="60">
        <v>688183384.23000002</v>
      </c>
      <c r="E206" s="60">
        <v>14586780.689999999</v>
      </c>
      <c r="F206" s="22">
        <v>0</v>
      </c>
      <c r="G206" s="60">
        <v>2130928.54</v>
      </c>
      <c r="H206" s="60">
        <f>(E206+F206)-G206</f>
        <v>12455852.149999999</v>
      </c>
      <c r="I206" s="60">
        <v>1238596652</v>
      </c>
      <c r="J206" s="25">
        <f>(I206/$I$224)</f>
        <v>1.9243562572458878E-2</v>
      </c>
      <c r="K206" s="60">
        <v>1182235082</v>
      </c>
      <c r="L206" s="25">
        <f>(K206/$K$224)</f>
        <v>1.7744669397627508E-2</v>
      </c>
      <c r="M206" s="25">
        <f t="shared" ref="M206:M224" si="109">((K206-I206)/I206)</f>
        <v>-4.5504377804502574E-2</v>
      </c>
      <c r="N206" s="26">
        <f>(G206/K206)</f>
        <v>1.8024575420271618E-3</v>
      </c>
      <c r="O206" s="27">
        <f>H206/K206</f>
        <v>1.0535850559372928E-2</v>
      </c>
      <c r="P206" s="28">
        <f>K206/V206</f>
        <v>1.0953028661538322</v>
      </c>
      <c r="Q206" s="28">
        <f>H206/V206</f>
        <v>1.1539947315049624E-2</v>
      </c>
      <c r="R206" s="60">
        <v>1.0952999999999999</v>
      </c>
      <c r="S206" s="60">
        <v>1.0952999999999999</v>
      </c>
      <c r="T206" s="60">
        <v>665</v>
      </c>
      <c r="U206" s="60">
        <v>1142551099</v>
      </c>
      <c r="V206" s="60">
        <v>1079368199</v>
      </c>
    </row>
    <row r="207" spans="1:22">
      <c r="A207" s="57">
        <v>176</v>
      </c>
      <c r="B207" s="58" t="s">
        <v>192</v>
      </c>
      <c r="C207" s="59" t="s">
        <v>193</v>
      </c>
      <c r="D207" s="60">
        <v>262636571</v>
      </c>
      <c r="E207" s="60">
        <v>6034857</v>
      </c>
      <c r="F207" s="22">
        <v>0</v>
      </c>
      <c r="G207" s="60">
        <v>802107</v>
      </c>
      <c r="H207" s="60">
        <f>(E207+F207)-G207</f>
        <v>5232750</v>
      </c>
      <c r="I207" s="60">
        <v>374941553</v>
      </c>
      <c r="J207" s="25">
        <f t="shared" ref="J207:J218" si="110">(I207/$I$224)</f>
        <v>5.8253114317076381E-3</v>
      </c>
      <c r="K207" s="60">
        <v>303914579</v>
      </c>
      <c r="L207" s="25">
        <f t="shared" ref="L207:L218" si="111">(K207/$K$224)</f>
        <v>4.5615832346566649E-3</v>
      </c>
      <c r="M207" s="25">
        <f t="shared" ref="M207:M218" si="112">((K207-I207)/I207)</f>
        <v>-0.18943478905364219</v>
      </c>
      <c r="N207" s="26">
        <f t="shared" ref="N207:N218" si="113">(G207/K207)</f>
        <v>2.6392514720394509E-3</v>
      </c>
      <c r="O207" s="27">
        <f t="shared" ref="O207:O218" si="114">H207/K207</f>
        <v>1.7217831461780582E-2</v>
      </c>
      <c r="P207" s="28">
        <f t="shared" ref="P207:P218" si="115">K207/V207</f>
        <v>924.80100235221084</v>
      </c>
      <c r="Q207" s="28">
        <f t="shared" ref="Q207:Q218" si="116">H207/V207</f>
        <v>15.923067794186114</v>
      </c>
      <c r="R207" s="60">
        <v>924.8</v>
      </c>
      <c r="S207" s="60">
        <v>924.8</v>
      </c>
      <c r="T207" s="60">
        <v>22</v>
      </c>
      <c r="U207" s="60">
        <v>328627</v>
      </c>
      <c r="V207" s="60">
        <v>328627</v>
      </c>
    </row>
    <row r="208" spans="1:22" ht="15" customHeight="1">
      <c r="A208" s="57">
        <v>177</v>
      </c>
      <c r="B208" s="58" t="s">
        <v>194</v>
      </c>
      <c r="C208" s="59" t="s">
        <v>62</v>
      </c>
      <c r="D208" s="60">
        <v>136027131.00999999</v>
      </c>
      <c r="E208" s="60">
        <v>2953082.78</v>
      </c>
      <c r="F208" s="22">
        <v>0</v>
      </c>
      <c r="G208" s="60">
        <v>423788.32</v>
      </c>
      <c r="H208" s="60">
        <f t="shared" ref="H208:H218" si="117">(E208+F208)-G208</f>
        <v>2529294.46</v>
      </c>
      <c r="I208" s="60">
        <v>244575499.28</v>
      </c>
      <c r="J208" s="25">
        <f t="shared" si="110"/>
        <v>3.7998681140347951E-3</v>
      </c>
      <c r="K208" s="60">
        <v>238545231.94999999</v>
      </c>
      <c r="L208" s="25">
        <f t="shared" si="111"/>
        <v>3.5804268895254458E-3</v>
      </c>
      <c r="M208" s="25">
        <f t="shared" si="112"/>
        <v>-2.4656056505056204E-2</v>
      </c>
      <c r="N208" s="26">
        <f t="shared" si="113"/>
        <v>1.7765533041080766E-3</v>
      </c>
      <c r="O208" s="27">
        <f t="shared" si="114"/>
        <v>1.0602997340689459E-2</v>
      </c>
      <c r="P208" s="28">
        <f t="shared" si="115"/>
        <v>118.94943037267743</v>
      </c>
      <c r="Q208" s="28">
        <f t="shared" si="116"/>
        <v>1.2612204939180247</v>
      </c>
      <c r="R208" s="60">
        <v>120.52</v>
      </c>
      <c r="S208" s="60">
        <v>120.52</v>
      </c>
      <c r="T208" s="60">
        <v>73</v>
      </c>
      <c r="U208" s="60">
        <v>2074145</v>
      </c>
      <c r="V208" s="60">
        <v>2005434</v>
      </c>
    </row>
    <row r="209" spans="1:22" ht="15" customHeight="1">
      <c r="A209" s="57">
        <v>178</v>
      </c>
      <c r="B209" s="58" t="s">
        <v>195</v>
      </c>
      <c r="C209" s="59" t="s">
        <v>169</v>
      </c>
      <c r="D209" s="60">
        <v>44814667.049999997</v>
      </c>
      <c r="E209" s="60">
        <v>720324.07</v>
      </c>
      <c r="F209" s="22">
        <v>0</v>
      </c>
      <c r="G209" s="60">
        <v>161384.53</v>
      </c>
      <c r="H209" s="60">
        <f t="shared" si="117"/>
        <v>558939.53999999992</v>
      </c>
      <c r="I209" s="60">
        <v>64326381.310000002</v>
      </c>
      <c r="J209" s="25">
        <f t="shared" si="110"/>
        <v>9.9941231215182899E-4</v>
      </c>
      <c r="K209" s="60">
        <v>65881805.369999997</v>
      </c>
      <c r="L209" s="25">
        <f t="shared" si="111"/>
        <v>9.8884805011182253E-4</v>
      </c>
      <c r="M209" s="25">
        <f t="shared" si="112"/>
        <v>2.4180189034793305E-2</v>
      </c>
      <c r="N209" s="26">
        <f t="shared" si="113"/>
        <v>2.4496069756079911E-3</v>
      </c>
      <c r="O209" s="27">
        <f t="shared" si="114"/>
        <v>8.4839742454070506E-3</v>
      </c>
      <c r="P209" s="28">
        <f t="shared" si="115"/>
        <v>100.16192304710127</v>
      </c>
      <c r="Q209" s="28">
        <f t="shared" si="116"/>
        <v>0.84977117550205006</v>
      </c>
      <c r="R209" s="60">
        <v>101.29</v>
      </c>
      <c r="S209" s="60">
        <v>101.29</v>
      </c>
      <c r="T209" s="60">
        <v>21</v>
      </c>
      <c r="U209" s="60">
        <v>647704</v>
      </c>
      <c r="V209" s="60">
        <v>657753</v>
      </c>
    </row>
    <row r="210" spans="1:22" ht="15" customHeight="1">
      <c r="A210" s="57">
        <v>179</v>
      </c>
      <c r="B210" s="42" t="s">
        <v>260</v>
      </c>
      <c r="C210" s="45" t="s">
        <v>69</v>
      </c>
      <c r="D210" s="40">
        <v>185714982.08000001</v>
      </c>
      <c r="E210" s="24">
        <v>2279037.41</v>
      </c>
      <c r="F210" s="24">
        <v>0</v>
      </c>
      <c r="G210" s="22">
        <v>578888.34</v>
      </c>
      <c r="H210" s="23">
        <f t="shared" si="117"/>
        <v>1700149.0700000003</v>
      </c>
      <c r="I210" s="30">
        <v>166399113.93000001</v>
      </c>
      <c r="J210" s="25">
        <f t="shared" si="110"/>
        <v>2.5852740323035112E-3</v>
      </c>
      <c r="K210" s="30">
        <v>180186751.16</v>
      </c>
      <c r="L210" s="25">
        <f t="shared" si="111"/>
        <v>2.704499619278575E-3</v>
      </c>
      <c r="M210" s="25">
        <f t="shared" si="112"/>
        <v>8.2858838033236806E-2</v>
      </c>
      <c r="N210" s="26">
        <f t="shared" si="113"/>
        <v>3.2127131227643142E-3</v>
      </c>
      <c r="O210" s="27">
        <f t="shared" si="114"/>
        <v>9.4354832364468514E-3</v>
      </c>
      <c r="P210" s="28">
        <f t="shared" si="115"/>
        <v>1.1147209908933857</v>
      </c>
      <c r="Q210" s="28">
        <f t="shared" si="116"/>
        <v>1.0517931222889965E-2</v>
      </c>
      <c r="R210" s="22">
        <v>1.1196999999999999</v>
      </c>
      <c r="S210" s="22">
        <v>1.1196999999999999</v>
      </c>
      <c r="T210" s="22">
        <v>46</v>
      </c>
      <c r="U210" s="22">
        <v>150764510</v>
      </c>
      <c r="V210" s="22">
        <v>161642915.69999999</v>
      </c>
    </row>
    <row r="211" spans="1:22" ht="15" customHeight="1">
      <c r="A211" s="57">
        <v>180</v>
      </c>
      <c r="B211" s="59" t="s">
        <v>196</v>
      </c>
      <c r="C211" s="59" t="s">
        <v>73</v>
      </c>
      <c r="D211" s="60">
        <v>6000966762.1499996</v>
      </c>
      <c r="E211" s="60">
        <v>73414141.609999999</v>
      </c>
      <c r="F211" s="22">
        <v>0</v>
      </c>
      <c r="G211" s="60">
        <v>9736660.8100000005</v>
      </c>
      <c r="H211" s="60">
        <f t="shared" si="117"/>
        <v>63677480.799999997</v>
      </c>
      <c r="I211" s="60">
        <v>5823710468.4700003</v>
      </c>
      <c r="J211" s="25">
        <f t="shared" si="110"/>
        <v>9.0480574626877211E-2</v>
      </c>
      <c r="K211" s="60">
        <v>5976881076.1099997</v>
      </c>
      <c r="L211" s="25">
        <f t="shared" si="111"/>
        <v>8.9709551289147149E-2</v>
      </c>
      <c r="M211" s="25">
        <f t="shared" si="112"/>
        <v>2.6301205815309054E-2</v>
      </c>
      <c r="N211" s="26">
        <f t="shared" si="113"/>
        <v>1.6290537967901179E-3</v>
      </c>
      <c r="O211" s="27">
        <f t="shared" si="114"/>
        <v>1.065396483368612E-2</v>
      </c>
      <c r="P211" s="28">
        <f t="shared" si="115"/>
        <v>158.50580854620813</v>
      </c>
      <c r="Q211" s="28">
        <f t="shared" si="116"/>
        <v>1.6887153101862866</v>
      </c>
      <c r="R211" s="60">
        <v>158.5</v>
      </c>
      <c r="S211" s="60">
        <v>158.5</v>
      </c>
      <c r="T211" s="60">
        <v>737</v>
      </c>
      <c r="U211" s="60">
        <v>37184832</v>
      </c>
      <c r="V211" s="60">
        <v>37707647</v>
      </c>
    </row>
    <row r="212" spans="1:22" ht="15" customHeight="1">
      <c r="A212" s="57">
        <v>181</v>
      </c>
      <c r="B212" s="59" t="s">
        <v>222</v>
      </c>
      <c r="C212" s="59" t="s">
        <v>60</v>
      </c>
      <c r="D212" s="60">
        <v>688851434.47000003</v>
      </c>
      <c r="E212" s="60">
        <v>8133862.2000000002</v>
      </c>
      <c r="F212" s="22">
        <v>0</v>
      </c>
      <c r="G212" s="60">
        <v>1556384.53</v>
      </c>
      <c r="H212" s="60">
        <f t="shared" si="117"/>
        <v>6577477.6699999999</v>
      </c>
      <c r="I212" s="60">
        <v>675857571.38999999</v>
      </c>
      <c r="J212" s="25">
        <f t="shared" si="110"/>
        <v>1.0500518828395443E-2</v>
      </c>
      <c r="K212" s="60">
        <v>681322397.02999997</v>
      </c>
      <c r="L212" s="25">
        <f t="shared" si="111"/>
        <v>1.0226257765963047E-2</v>
      </c>
      <c r="M212" s="25">
        <f t="shared" si="112"/>
        <v>8.085765213461724E-3</v>
      </c>
      <c r="N212" s="26">
        <f t="shared" si="113"/>
        <v>2.2843583842018763E-3</v>
      </c>
      <c r="O212" s="27">
        <f t="shared" si="114"/>
        <v>9.6539871559666052E-3</v>
      </c>
      <c r="P212" s="28">
        <f t="shared" si="115"/>
        <v>1288.9761953617301</v>
      </c>
      <c r="Q212" s="28">
        <f t="shared" si="116"/>
        <v>12.443759634368844</v>
      </c>
      <c r="R212" s="60">
        <v>1288.98</v>
      </c>
      <c r="S212" s="60">
        <v>1288.28</v>
      </c>
      <c r="T212" s="60">
        <v>248</v>
      </c>
      <c r="U212" s="60">
        <v>529437.61</v>
      </c>
      <c r="V212" s="60">
        <v>528576.4</v>
      </c>
    </row>
    <row r="213" spans="1:22" ht="15" customHeight="1">
      <c r="A213" s="57">
        <v>182</v>
      </c>
      <c r="B213" s="58" t="s">
        <v>117</v>
      </c>
      <c r="C213" s="59" t="s">
        <v>118</v>
      </c>
      <c r="D213" s="60">
        <v>18839301178.169998</v>
      </c>
      <c r="E213" s="60">
        <v>956332630.86000001</v>
      </c>
      <c r="F213" s="22">
        <v>0</v>
      </c>
      <c r="G213" s="60">
        <v>54094315.149999999</v>
      </c>
      <c r="H213" s="60">
        <f t="shared" si="117"/>
        <v>902238315.71000004</v>
      </c>
      <c r="I213" s="60">
        <v>32163077224.040001</v>
      </c>
      <c r="J213" s="25">
        <f t="shared" si="110"/>
        <v>0.49970439374612552</v>
      </c>
      <c r="K213" s="60">
        <v>33496231339.43</v>
      </c>
      <c r="L213" s="25">
        <f t="shared" si="111"/>
        <v>0.50275918912769579</v>
      </c>
      <c r="M213" s="25">
        <f t="shared" si="112"/>
        <v>4.1449831000422606E-2</v>
      </c>
      <c r="N213" s="26">
        <f t="shared" si="113"/>
        <v>1.6149373522603727E-3</v>
      </c>
      <c r="O213" s="27">
        <f t="shared" si="114"/>
        <v>2.6935517209899746E-2</v>
      </c>
      <c r="P213" s="28">
        <f t="shared" si="115"/>
        <v>1280.1155684844007</v>
      </c>
      <c r="Q213" s="28">
        <f t="shared" si="116"/>
        <v>34.480574925572178</v>
      </c>
      <c r="R213" s="60">
        <v>1280.1199999999999</v>
      </c>
      <c r="S213" s="60">
        <v>1280.1199999999999</v>
      </c>
      <c r="T213" s="60">
        <v>10969</v>
      </c>
      <c r="U213" s="60">
        <v>25457454.48</v>
      </c>
      <c r="V213" s="60">
        <v>26166568.210000001</v>
      </c>
    </row>
    <row r="214" spans="1:22" ht="15" customHeight="1">
      <c r="A214" s="57">
        <v>183</v>
      </c>
      <c r="B214" s="61" t="s">
        <v>219</v>
      </c>
      <c r="C214" s="61" t="s">
        <v>220</v>
      </c>
      <c r="D214" s="60">
        <v>354228338.74000001</v>
      </c>
      <c r="E214" s="60">
        <v>0</v>
      </c>
      <c r="F214" s="22">
        <v>5870871.8099999996</v>
      </c>
      <c r="G214" s="60">
        <v>760530.86</v>
      </c>
      <c r="H214" s="60">
        <f t="shared" si="117"/>
        <v>5110340.9499999993</v>
      </c>
      <c r="I214" s="60">
        <v>472173310.94999999</v>
      </c>
      <c r="J214" s="25">
        <f t="shared" si="110"/>
        <v>7.3359609358215902E-3</v>
      </c>
      <c r="K214" s="60">
        <v>422797219.55000001</v>
      </c>
      <c r="L214" s="25">
        <f t="shared" si="111"/>
        <v>6.3459433723274368E-3</v>
      </c>
      <c r="M214" s="25">
        <f t="shared" si="112"/>
        <v>-0.10457196596024584</v>
      </c>
      <c r="N214" s="26">
        <f t="shared" si="113"/>
        <v>1.7988076194291518E-3</v>
      </c>
      <c r="O214" s="27">
        <f t="shared" si="114"/>
        <v>1.2086978612203599E-2</v>
      </c>
      <c r="P214" s="28">
        <f t="shared" si="115"/>
        <v>120.16248073639669</v>
      </c>
      <c r="Q214" s="28">
        <f t="shared" si="116"/>
        <v>1.4524013346501536</v>
      </c>
      <c r="R214" s="60">
        <v>119.6</v>
      </c>
      <c r="S214" s="60">
        <v>120.46</v>
      </c>
      <c r="T214" s="60">
        <v>139</v>
      </c>
      <c r="U214" s="60">
        <v>3708961.02</v>
      </c>
      <c r="V214" s="60">
        <v>3518546.03</v>
      </c>
    </row>
    <row r="215" spans="1:22" ht="15" customHeight="1">
      <c r="A215" s="57">
        <v>184</v>
      </c>
      <c r="B215" s="61" t="s">
        <v>221</v>
      </c>
      <c r="C215" s="61" t="s">
        <v>220</v>
      </c>
      <c r="D215" s="60">
        <v>214326587.59999999</v>
      </c>
      <c r="E215" s="60">
        <v>0</v>
      </c>
      <c r="F215" s="22">
        <v>21327266.890000001</v>
      </c>
      <c r="G215" s="60">
        <v>510829.09</v>
      </c>
      <c r="H215" s="60">
        <f t="shared" si="117"/>
        <v>20816437.800000001</v>
      </c>
      <c r="I215" s="60">
        <v>297822911.76999998</v>
      </c>
      <c r="J215" s="25">
        <f t="shared" si="110"/>
        <v>4.627151081753364E-3</v>
      </c>
      <c r="K215" s="60">
        <v>278012131.35000002</v>
      </c>
      <c r="L215" s="25">
        <f t="shared" si="111"/>
        <v>4.1728023761483544E-3</v>
      </c>
      <c r="M215" s="25">
        <f t="shared" si="112"/>
        <v>-6.6518658024871002E-2</v>
      </c>
      <c r="N215" s="26">
        <f t="shared" si="113"/>
        <v>1.8374345303547128E-3</v>
      </c>
      <c r="O215" s="27">
        <f t="shared" si="114"/>
        <v>7.4876005226525155E-2</v>
      </c>
      <c r="P215" s="28">
        <f t="shared" si="115"/>
        <v>127.999724559375</v>
      </c>
      <c r="Q215" s="28">
        <f t="shared" si="116"/>
        <v>9.5841080451015426</v>
      </c>
      <c r="R215" s="60">
        <v>127.99</v>
      </c>
      <c r="S215" s="60">
        <v>127.99</v>
      </c>
      <c r="T215" s="60">
        <v>92</v>
      </c>
      <c r="U215" s="60">
        <v>2358052.2599999998</v>
      </c>
      <c r="V215" s="60">
        <v>2171974.4500000002</v>
      </c>
    </row>
    <row r="216" spans="1:22" ht="16.2" customHeight="1">
      <c r="A216" s="57">
        <v>185</v>
      </c>
      <c r="B216" s="59" t="s">
        <v>197</v>
      </c>
      <c r="C216" s="59" t="s">
        <v>144</v>
      </c>
      <c r="D216" s="60">
        <v>1313404526.3</v>
      </c>
      <c r="E216" s="60">
        <v>33174046.23</v>
      </c>
      <c r="F216" s="22">
        <v>0</v>
      </c>
      <c r="G216" s="60">
        <v>3834664.13</v>
      </c>
      <c r="H216" s="60">
        <f t="shared" si="117"/>
        <v>29339382.100000001</v>
      </c>
      <c r="I216" s="60">
        <v>1958966155</v>
      </c>
      <c r="J216" s="25">
        <f t="shared" si="110"/>
        <v>3.0435644824487771E-2</v>
      </c>
      <c r="K216" s="60">
        <v>2088063818</v>
      </c>
      <c r="L216" s="25">
        <f t="shared" si="111"/>
        <v>3.1340638334701229E-2</v>
      </c>
      <c r="M216" s="25">
        <f t="shared" si="112"/>
        <v>6.5900915475489666E-2</v>
      </c>
      <c r="N216" s="26">
        <f t="shared" si="113"/>
        <v>1.8364688363179137E-3</v>
      </c>
      <c r="O216" s="27">
        <f t="shared" si="114"/>
        <v>1.4050998751609995E-2</v>
      </c>
      <c r="P216" s="28">
        <f t="shared" si="115"/>
        <v>106.4685476385024</v>
      </c>
      <c r="Q216" s="28">
        <f t="shared" si="116"/>
        <v>1.4959894299543266</v>
      </c>
      <c r="R216" s="60">
        <v>106.47</v>
      </c>
      <c r="S216" s="60">
        <v>106.47</v>
      </c>
      <c r="T216" s="60">
        <f>659+14+1</f>
        <v>674</v>
      </c>
      <c r="U216" s="60">
        <v>18666644</v>
      </c>
      <c r="V216" s="60">
        <v>19612025</v>
      </c>
    </row>
    <row r="217" spans="1:22">
      <c r="A217" s="57">
        <v>186</v>
      </c>
      <c r="B217" s="58" t="s">
        <v>198</v>
      </c>
      <c r="C217" s="58" t="s">
        <v>46</v>
      </c>
      <c r="D217" s="60">
        <v>5119640449.4099998</v>
      </c>
      <c r="E217" s="60">
        <v>47700523.240000002</v>
      </c>
      <c r="F217" s="22">
        <v>0</v>
      </c>
      <c r="G217" s="60">
        <v>8548509.5600000005</v>
      </c>
      <c r="H217" s="60">
        <f t="shared" si="117"/>
        <v>39152013.68</v>
      </c>
      <c r="I217" s="60">
        <v>5077973350.1099997</v>
      </c>
      <c r="J217" s="25">
        <f t="shared" si="110"/>
        <v>7.8894366254205262E-2</v>
      </c>
      <c r="K217" s="60">
        <v>5149221881.79</v>
      </c>
      <c r="L217" s="25">
        <f t="shared" si="111"/>
        <v>7.7286862265006737E-2</v>
      </c>
      <c r="M217" s="25">
        <f t="shared" si="112"/>
        <v>1.4030899094509212E-2</v>
      </c>
      <c r="N217" s="26">
        <f t="shared" si="113"/>
        <v>1.6601556033604677E-3</v>
      </c>
      <c r="O217" s="27">
        <f t="shared" si="114"/>
        <v>7.6034815703823911E-3</v>
      </c>
      <c r="P217" s="28">
        <f t="shared" si="115"/>
        <v>139.63853802489976</v>
      </c>
      <c r="Q217" s="28">
        <f t="shared" si="116"/>
        <v>1.061739050387466</v>
      </c>
      <c r="R217" s="60">
        <v>139.63999999999999</v>
      </c>
      <c r="S217" s="60">
        <v>139.63999999999999</v>
      </c>
      <c r="T217" s="60">
        <v>1471</v>
      </c>
      <c r="U217" s="60">
        <v>36666718</v>
      </c>
      <c r="V217" s="60">
        <v>36875363.740000002</v>
      </c>
    </row>
    <row r="218" spans="1:22" ht="15" customHeight="1">
      <c r="A218" s="57">
        <v>187</v>
      </c>
      <c r="B218" s="59" t="s">
        <v>199</v>
      </c>
      <c r="C218" s="59" t="s">
        <v>50</v>
      </c>
      <c r="D218" s="60">
        <v>2995065657</v>
      </c>
      <c r="E218" s="60">
        <v>90487434</v>
      </c>
      <c r="F218" s="22">
        <v>0</v>
      </c>
      <c r="G218" s="60">
        <v>13375457</v>
      </c>
      <c r="H218" s="60">
        <f t="shared" si="117"/>
        <v>77111977</v>
      </c>
      <c r="I218" s="60">
        <v>4053347129</v>
      </c>
      <c r="J218" s="25">
        <f t="shared" si="110"/>
        <v>6.2975173539229018E-2</v>
      </c>
      <c r="K218" s="60">
        <v>4071472951</v>
      </c>
      <c r="L218" s="25">
        <f t="shared" si="111"/>
        <v>6.1110469970707453E-2</v>
      </c>
      <c r="M218" s="25">
        <f t="shared" si="112"/>
        <v>4.4718158655392085E-3</v>
      </c>
      <c r="N218" s="26">
        <f t="shared" si="113"/>
        <v>3.2851641558160997E-3</v>
      </c>
      <c r="O218" s="27">
        <f t="shared" si="114"/>
        <v>1.8939577378516152E-2</v>
      </c>
      <c r="P218" s="28">
        <f t="shared" si="115"/>
        <v>1.1590785701592845</v>
      </c>
      <c r="Q218" s="28">
        <f t="shared" si="116"/>
        <v>2.1952458267311629E-2</v>
      </c>
      <c r="R218" s="60">
        <v>1.1599999999999999</v>
      </c>
      <c r="S218" s="60">
        <v>1.1599999999999999</v>
      </c>
      <c r="T218" s="60">
        <v>196</v>
      </c>
      <c r="U218" s="60">
        <v>3530799583</v>
      </c>
      <c r="V218" s="60">
        <v>3512680724</v>
      </c>
    </row>
    <row r="219" spans="1:22" ht="4.95" customHeight="1">
      <c r="A219" s="55"/>
      <c r="B219" s="42"/>
      <c r="C219" s="42"/>
      <c r="D219" s="62"/>
      <c r="E219" s="62"/>
      <c r="F219" s="62"/>
      <c r="G219" s="63"/>
      <c r="H219" s="23"/>
      <c r="I219" s="64"/>
      <c r="J219" s="25"/>
      <c r="K219" s="65"/>
      <c r="L219" s="25"/>
      <c r="M219" s="25"/>
      <c r="N219" s="26"/>
      <c r="O219" s="27"/>
      <c r="P219" s="28"/>
      <c r="Q219" s="28"/>
      <c r="R219" s="23"/>
      <c r="S219" s="23"/>
      <c r="T219" s="66"/>
      <c r="U219" s="63"/>
      <c r="V219" s="66"/>
    </row>
    <row r="220" spans="1:22" ht="15" customHeight="1">
      <c r="A220" s="128" t="s">
        <v>217</v>
      </c>
      <c r="B220" s="128"/>
      <c r="C220" s="128"/>
      <c r="D220" s="128"/>
      <c r="E220" s="128"/>
      <c r="F220" s="128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</row>
    <row r="221" spans="1:22" ht="15" customHeight="1">
      <c r="A221" s="57">
        <v>188</v>
      </c>
      <c r="B221" s="22" t="s">
        <v>185</v>
      </c>
      <c r="C221" s="22" t="s">
        <v>26</v>
      </c>
      <c r="D221" s="22">
        <v>1311945932.73</v>
      </c>
      <c r="E221" s="22">
        <v>17498194.5</v>
      </c>
      <c r="F221" s="22">
        <v>5032629.2300000004</v>
      </c>
      <c r="G221" s="22">
        <v>6812315.6600000001</v>
      </c>
      <c r="H221" s="23">
        <f>(E221+F221)-G221</f>
        <v>15718508.07</v>
      </c>
      <c r="I221" s="22">
        <v>1705345903</v>
      </c>
      <c r="J221" s="25">
        <f>(I221/$I$224)</f>
        <v>2.6495252138035726E-2</v>
      </c>
      <c r="K221" s="22">
        <v>2105323624</v>
      </c>
      <c r="L221" s="25">
        <f>(K221/$K$224)</f>
        <v>3.1599698107161261E-2</v>
      </c>
      <c r="M221" s="25">
        <f>((K221-I221)/I221)</f>
        <v>0.23454345555137501</v>
      </c>
      <c r="N221" s="26">
        <f>(G221/K221)</f>
        <v>3.2357570030288134E-3</v>
      </c>
      <c r="O221" s="27">
        <f>H221/K221</f>
        <v>7.4660768970690088E-3</v>
      </c>
      <c r="P221" s="28">
        <f>K221/V221</f>
        <v>93.791215247955876</v>
      </c>
      <c r="Q221" s="28">
        <f>H221/V221</f>
        <v>0.70025242531078991</v>
      </c>
      <c r="R221" s="22">
        <v>93.322199999999995</v>
      </c>
      <c r="S221" s="22">
        <v>96.135999999999996</v>
      </c>
      <c r="T221" s="22">
        <v>2350</v>
      </c>
      <c r="U221" s="22">
        <v>18436495</v>
      </c>
      <c r="V221" s="22">
        <v>22446917</v>
      </c>
    </row>
    <row r="222" spans="1:22" ht="15" customHeight="1">
      <c r="A222" s="57">
        <v>189</v>
      </c>
      <c r="B222" s="22" t="s">
        <v>218</v>
      </c>
      <c r="C222" s="21" t="s">
        <v>118</v>
      </c>
      <c r="D222" s="40">
        <v>199850614.16</v>
      </c>
      <c r="E222" s="40">
        <v>14681732.27</v>
      </c>
      <c r="F222" s="40">
        <v>1600000</v>
      </c>
      <c r="G222" s="22">
        <v>648199.07999999996</v>
      </c>
      <c r="H222" s="23">
        <f>(E222+F222)-G222</f>
        <v>15633533.189999999</v>
      </c>
      <c r="I222" s="30">
        <v>231892374.78</v>
      </c>
      <c r="J222" s="25">
        <f t="shared" ref="J222:J223" si="118">(I222/$I$224)</f>
        <v>3.602815667997636E-3</v>
      </c>
      <c r="K222" s="30">
        <v>245550907.97</v>
      </c>
      <c r="L222" s="25">
        <f t="shared" ref="L222:L223" si="119">(K222/$K$224)</f>
        <v>3.6855780618891393E-3</v>
      </c>
      <c r="M222" s="25">
        <f t="shared" ref="M222:M223" si="120">((K222-I222)/I222)</f>
        <v>5.8900311849227754E-2</v>
      </c>
      <c r="N222" s="26">
        <f t="shared" ref="N222:N223" si="121">(G222/K222)</f>
        <v>2.6397747227193849E-3</v>
      </c>
      <c r="O222" s="27">
        <f t="shared" ref="O222:O223" si="122">H222/K222</f>
        <v>6.3667177284109311E-2</v>
      </c>
      <c r="P222" s="28">
        <f t="shared" ref="P222:P223" si="123">K222/V222</f>
        <v>1184.6211224666968</v>
      </c>
      <c r="Q222" s="28">
        <f t="shared" ref="Q222:Q223" si="124">H222/V222</f>
        <v>75.421483018587736</v>
      </c>
      <c r="R222" s="23">
        <v>1184.6199999999999</v>
      </c>
      <c r="S222" s="23">
        <v>1184.6199999999999</v>
      </c>
      <c r="T222" s="22">
        <v>147</v>
      </c>
      <c r="U222" s="22">
        <v>206110.71</v>
      </c>
      <c r="V222" s="22">
        <v>207282.23</v>
      </c>
    </row>
    <row r="223" spans="1:22" ht="15" customHeight="1">
      <c r="A223" s="57">
        <v>190</v>
      </c>
      <c r="B223" s="22" t="s">
        <v>310</v>
      </c>
      <c r="C223" s="22" t="s">
        <v>311</v>
      </c>
      <c r="D223" s="30">
        <f>45000000+51500000</f>
        <v>96500000</v>
      </c>
      <c r="E223" s="30">
        <v>1199821.94</v>
      </c>
      <c r="F223" s="30">
        <v>0</v>
      </c>
      <c r="G223" s="30">
        <v>22497.67</v>
      </c>
      <c r="H223" s="23">
        <f>(E223+F223)-G223</f>
        <v>1177324.27</v>
      </c>
      <c r="I223" s="30">
        <v>86574326.060000002</v>
      </c>
      <c r="J223" s="25">
        <f t="shared" si="118"/>
        <v>1.3450694041631137E-3</v>
      </c>
      <c r="K223" s="30">
        <v>99896259.450000003</v>
      </c>
      <c r="L223" s="25">
        <f t="shared" si="119"/>
        <v>1.499385464861271E-3</v>
      </c>
      <c r="M223" s="25">
        <f t="shared" si="120"/>
        <v>0.15387856881227452</v>
      </c>
      <c r="N223" s="26">
        <f t="shared" si="121"/>
        <v>2.2521033443960445E-4</v>
      </c>
      <c r="O223" s="27">
        <f t="shared" si="122"/>
        <v>1.1785469010371438E-2</v>
      </c>
      <c r="P223" s="28">
        <f t="shared" si="123"/>
        <v>108.90356435416896</v>
      </c>
      <c r="Q223" s="28">
        <f t="shared" si="124"/>
        <v>1.28347958281505</v>
      </c>
      <c r="R223" s="30">
        <v>107.79</v>
      </c>
      <c r="S223" s="30">
        <v>110.01</v>
      </c>
      <c r="T223" s="30">
        <v>222</v>
      </c>
      <c r="U223" s="30">
        <v>806238</v>
      </c>
      <c r="V223" s="30">
        <v>917291</v>
      </c>
    </row>
    <row r="224" spans="1:22" ht="15" customHeight="1">
      <c r="A224" s="120" t="s">
        <v>51</v>
      </c>
      <c r="B224" s="120"/>
      <c r="C224" s="120"/>
      <c r="D224" s="120"/>
      <c r="E224" s="120"/>
      <c r="F224" s="120"/>
      <c r="G224" s="120"/>
      <c r="H224" s="120"/>
      <c r="I224" s="34">
        <f>SUM(I202:I223)</f>
        <v>64364207372.529991</v>
      </c>
      <c r="J224" s="32">
        <f>(I224/$I$234)</f>
        <v>1.0182753609942865E-2</v>
      </c>
      <c r="K224" s="34">
        <f>SUM(K202:K223)</f>
        <v>66624801821.220001</v>
      </c>
      <c r="L224" s="32">
        <f>(K224/$K$234)</f>
        <v>1.0033211108539646E-2</v>
      </c>
      <c r="M224" s="32">
        <f t="shared" si="109"/>
        <v>3.512191854715218E-2</v>
      </c>
      <c r="N224" s="26"/>
      <c r="O224" s="26"/>
      <c r="P224" s="33"/>
      <c r="Q224" s="33"/>
      <c r="R224" s="34"/>
      <c r="S224" s="34"/>
      <c r="T224" s="34">
        <f>SUM(T202:T218)</f>
        <v>32231</v>
      </c>
      <c r="U224" s="34"/>
      <c r="V224" s="34"/>
    </row>
    <row r="225" spans="1:22" ht="15" customHeight="1">
      <c r="A225" s="127" t="s">
        <v>313</v>
      </c>
      <c r="B225" s="127"/>
      <c r="C225" s="127"/>
      <c r="D225" s="127"/>
      <c r="E225" s="127"/>
      <c r="F225" s="127"/>
      <c r="G225" s="127"/>
      <c r="H225" s="127"/>
      <c r="I225" s="67">
        <f>SUM(I24,I69,I111,I153,I162,I193,I198,I224)</f>
        <v>6302971395520.6709</v>
      </c>
      <c r="J225" s="68"/>
      <c r="K225" s="67">
        <f>SUM(K24,K69,K111,K153,K162,K193,K198,K224)</f>
        <v>6622063291121.1602</v>
      </c>
      <c r="L225" s="68"/>
      <c r="M225" s="68"/>
      <c r="N225" s="69"/>
      <c r="O225" s="69"/>
      <c r="P225" s="70"/>
      <c r="Q225" s="70"/>
      <c r="R225" s="67"/>
      <c r="S225" s="67"/>
      <c r="T225" s="67">
        <f>SUM(T24,T69,T111,T153,T162,T193,T198,T224)</f>
        <v>927336</v>
      </c>
      <c r="U225" s="67"/>
      <c r="V225" s="67"/>
    </row>
    <row r="226" spans="1:22" ht="6" customHeight="1">
      <c r="A226" s="76"/>
      <c r="B226" s="76"/>
      <c r="C226" s="76"/>
      <c r="D226" s="76"/>
      <c r="E226" s="76"/>
      <c r="F226" s="76"/>
      <c r="G226" s="76"/>
      <c r="H226" s="76"/>
      <c r="I226" s="34"/>
      <c r="J226" s="77"/>
      <c r="K226" s="34"/>
      <c r="L226" s="77"/>
      <c r="M226" s="77"/>
      <c r="N226" s="78"/>
      <c r="O226" s="78"/>
      <c r="P226" s="79"/>
      <c r="Q226" s="79"/>
      <c r="R226" s="34"/>
      <c r="S226" s="34"/>
      <c r="T226" s="34"/>
      <c r="U226" s="34"/>
      <c r="V226" s="34"/>
    </row>
    <row r="227" spans="1:22" ht="15" customHeight="1">
      <c r="A227" s="130" t="s">
        <v>316</v>
      </c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</row>
    <row r="228" spans="1:22" ht="15" customHeight="1">
      <c r="A228" s="88">
        <v>1</v>
      </c>
      <c r="B228" s="43" t="s">
        <v>294</v>
      </c>
      <c r="C228" s="44" t="s">
        <v>58</v>
      </c>
      <c r="D228" s="30">
        <f>736826.35*1586.1524</f>
        <v>1168718883.43574</v>
      </c>
      <c r="E228" s="40">
        <f>8288.75*FX_RATE</f>
        <v>12694803.324125001</v>
      </c>
      <c r="F228" s="40">
        <v>0</v>
      </c>
      <c r="G228" s="40">
        <f>1982.07*FX_RATE</f>
        <v>3035679.5445210002</v>
      </c>
      <c r="H228" s="30">
        <f>(E228+F228)-G228</f>
        <v>9659123.779604001</v>
      </c>
      <c r="I228" s="22">
        <f>1179790*1533.554</f>
        <v>1809271673.6600001</v>
      </c>
      <c r="J228" s="25">
        <f>(I228/$I$233)</f>
        <v>0.10089321557743393</v>
      </c>
      <c r="K228" s="22">
        <f>1217486*FX_RATE</f>
        <v>1864665398.2658</v>
      </c>
      <c r="L228" s="25">
        <f>(K228/$K$233)</f>
        <v>0.10154305506408651</v>
      </c>
      <c r="M228" s="25">
        <f>((K228-I228)/I228)</f>
        <v>3.0616587554119608E-2</v>
      </c>
      <c r="N228" s="26">
        <f t="shared" ref="N228" si="125">(G228/K228)</f>
        <v>1.6280022932501895E-3</v>
      </c>
      <c r="O228" s="27">
        <f t="shared" ref="O228" si="126">H228/K228</f>
        <v>5.1800842063070953E-3</v>
      </c>
      <c r="P228" s="28">
        <f t="shared" ref="P228" si="127">K228/V228</f>
        <v>1556.249440413995</v>
      </c>
      <c r="Q228" s="28">
        <f>H228/V228</f>
        <v>8.0615031473627905</v>
      </c>
      <c r="R228" s="22">
        <f>1.0161*FX_RATE</f>
        <v>1556.2285818300002</v>
      </c>
      <c r="S228" s="22">
        <f>1.0161*FX_RATE</f>
        <v>1556.2285818300002</v>
      </c>
      <c r="T228" s="22">
        <v>48</v>
      </c>
      <c r="U228" s="22">
        <v>1167184</v>
      </c>
      <c r="V228" s="22">
        <v>1198179</v>
      </c>
    </row>
    <row r="229" spans="1:22" ht="15" customHeight="1">
      <c r="A229" s="88">
        <v>2</v>
      </c>
      <c r="B229" s="43" t="s">
        <v>295</v>
      </c>
      <c r="C229" s="44" t="s">
        <v>296</v>
      </c>
      <c r="D229" s="40">
        <v>3496277956.3499999</v>
      </c>
      <c r="E229" s="40">
        <v>105906415.63</v>
      </c>
      <c r="F229" s="71"/>
      <c r="G229" s="40">
        <v>7164091.0499999998</v>
      </c>
      <c r="H229" s="30">
        <f>(E229+F229)-G229</f>
        <v>98742324.579999998</v>
      </c>
      <c r="I229" s="22">
        <v>4120262835.5799999</v>
      </c>
      <c r="J229" s="25">
        <f t="shared" ref="J229:J232" si="128">(I229/$I$233)</f>
        <v>0.22976459122079973</v>
      </c>
      <c r="K229" s="22">
        <v>4253258297.8699999</v>
      </c>
      <c r="L229" s="25">
        <f t="shared" ref="L229:L232" si="129">(K229/$K$233)</f>
        <v>0.23161734107581289</v>
      </c>
      <c r="M229" s="25">
        <f t="shared" ref="M229:M232" si="130">((K229-I229)/I229)</f>
        <v>3.2278392810656337E-2</v>
      </c>
      <c r="N229" s="26">
        <f t="shared" ref="N229:N232" si="131">(G229/K229)</f>
        <v>1.6843771406001191E-3</v>
      </c>
      <c r="O229" s="27">
        <f t="shared" ref="O229:O232" si="132">H229/K229</f>
        <v>2.3215689634802902E-2</v>
      </c>
      <c r="P229" s="28">
        <f t="shared" ref="P229:P232" si="133">K229/V229</f>
        <v>128.16732452629486</v>
      </c>
      <c r="Q229" s="28">
        <f t="shared" ref="Q229:Q232" si="134">H229/V229</f>
        <v>2.9754928275255232</v>
      </c>
      <c r="R229" s="22">
        <v>123.3</v>
      </c>
      <c r="S229" s="22">
        <v>123.3</v>
      </c>
      <c r="T229" s="22">
        <v>9</v>
      </c>
      <c r="U229" s="22">
        <v>33185200</v>
      </c>
      <c r="V229" s="22">
        <v>33185200</v>
      </c>
    </row>
    <row r="230" spans="1:22" ht="15" customHeight="1">
      <c r="A230" s="88">
        <v>3</v>
      </c>
      <c r="B230" s="43" t="s">
        <v>297</v>
      </c>
      <c r="C230" s="44" t="s">
        <v>136</v>
      </c>
      <c r="D230" s="40">
        <v>603163162.27999997</v>
      </c>
      <c r="E230" s="40">
        <v>9793210.3800000008</v>
      </c>
      <c r="F230" s="40">
        <v>6850517.6299999999</v>
      </c>
      <c r="G230" s="40">
        <v>644415.92000000004</v>
      </c>
      <c r="H230" s="30">
        <f>(E230+F230)-G230</f>
        <v>15999312.090000002</v>
      </c>
      <c r="I230" s="22">
        <v>576700056.88</v>
      </c>
      <c r="J230" s="25">
        <f t="shared" si="128"/>
        <v>3.2159417521089452E-2</v>
      </c>
      <c r="K230" s="22">
        <v>602076106.34000003</v>
      </c>
      <c r="L230" s="25">
        <f t="shared" si="129"/>
        <v>3.2786926424286371E-2</v>
      </c>
      <c r="M230" s="25">
        <f t="shared" si="130"/>
        <v>4.4002162228467229E-2</v>
      </c>
      <c r="N230" s="26">
        <f t="shared" si="131"/>
        <v>1.0703230259665713E-3</v>
      </c>
      <c r="O230" s="27">
        <f t="shared" si="132"/>
        <v>2.6573570885015302E-2</v>
      </c>
      <c r="P230" s="28">
        <f t="shared" si="133"/>
        <v>162285.97706720003</v>
      </c>
      <c r="Q230" s="28">
        <f t="shared" si="134"/>
        <v>4312.5179152392075</v>
      </c>
      <c r="R230" s="22">
        <f>105.71*FX_RATE</f>
        <v>161902.296413</v>
      </c>
      <c r="S230" s="22">
        <f>105.71*FX_RATE</f>
        <v>161902.296413</v>
      </c>
      <c r="T230" s="22">
        <v>5</v>
      </c>
      <c r="U230" s="22">
        <v>3614.97</v>
      </c>
      <c r="V230" s="22">
        <v>3709.97</v>
      </c>
    </row>
    <row r="231" spans="1:22" ht="15" customHeight="1">
      <c r="A231" s="88">
        <v>4</v>
      </c>
      <c r="B231" s="43" t="s">
        <v>298</v>
      </c>
      <c r="C231" s="44" t="s">
        <v>299</v>
      </c>
      <c r="D231" s="40">
        <v>11641905600.42</v>
      </c>
      <c r="E231" s="40">
        <v>245388680.78999999</v>
      </c>
      <c r="F231" s="71"/>
      <c r="G231" s="40">
        <v>22905438.370000001</v>
      </c>
      <c r="H231" s="30">
        <f>(E231+F231)-G231</f>
        <v>222483242.41999999</v>
      </c>
      <c r="I231" s="22">
        <v>11294700035.67</v>
      </c>
      <c r="J231" s="25">
        <f t="shared" si="128"/>
        <v>0.62984383283693124</v>
      </c>
      <c r="K231" s="22">
        <v>11514823783.68</v>
      </c>
      <c r="L231" s="25">
        <f t="shared" si="129"/>
        <v>0.62705640733555335</v>
      </c>
      <c r="M231" s="25">
        <f t="shared" si="130"/>
        <v>1.9489118552491289E-2</v>
      </c>
      <c r="N231" s="26">
        <f t="shared" si="131"/>
        <v>1.9892131048035626E-3</v>
      </c>
      <c r="O231" s="27">
        <f t="shared" si="132"/>
        <v>1.932146306357951E-2</v>
      </c>
      <c r="P231" s="28">
        <f t="shared" si="133"/>
        <v>1.1040099504966443</v>
      </c>
      <c r="Q231" s="28">
        <f t="shared" si="134"/>
        <v>2.1331087480345158E-2</v>
      </c>
      <c r="R231" s="22">
        <v>1.1000000000000001</v>
      </c>
      <c r="S231" s="22">
        <v>1.1000000000000001</v>
      </c>
      <c r="T231" s="22">
        <v>16</v>
      </c>
      <c r="U231" s="22">
        <v>10430000000</v>
      </c>
      <c r="V231" s="22">
        <v>10430000000</v>
      </c>
    </row>
    <row r="232" spans="1:22" ht="15" customHeight="1">
      <c r="A232" s="88">
        <v>5</v>
      </c>
      <c r="B232" s="43" t="s">
        <v>300</v>
      </c>
      <c r="C232" s="44" t="s">
        <v>50</v>
      </c>
      <c r="D232" s="40">
        <v>129416630</v>
      </c>
      <c r="E232" s="40">
        <v>1624315</v>
      </c>
      <c r="F232" s="40">
        <v>5769443</v>
      </c>
      <c r="G232" s="40">
        <v>519389</v>
      </c>
      <c r="H232" s="30">
        <f>(E232+F232)-G232</f>
        <v>6874369</v>
      </c>
      <c r="I232" s="22">
        <v>131605889.71027397</v>
      </c>
      <c r="J232" s="25">
        <f t="shared" si="128"/>
        <v>7.3389428437455901E-3</v>
      </c>
      <c r="K232" s="22">
        <v>128474594</v>
      </c>
      <c r="L232" s="25">
        <f t="shared" si="129"/>
        <v>6.9962701002609312E-3</v>
      </c>
      <c r="M232" s="25">
        <f t="shared" si="130"/>
        <v>-2.3792975505635885E-2</v>
      </c>
      <c r="N232" s="26">
        <f t="shared" si="131"/>
        <v>4.0427370410682133E-3</v>
      </c>
      <c r="O232" s="27">
        <f t="shared" si="132"/>
        <v>5.3507614120189395E-2</v>
      </c>
      <c r="P232" s="28">
        <f t="shared" si="133"/>
        <v>1.0666786390773173</v>
      </c>
      <c r="Q232" s="28">
        <f t="shared" si="134"/>
        <v>5.7075429009997874E-2</v>
      </c>
      <c r="R232" s="22">
        <v>1.07</v>
      </c>
      <c r="S232" s="22">
        <v>1.07</v>
      </c>
      <c r="T232" s="22">
        <v>12</v>
      </c>
      <c r="U232" s="22">
        <v>119502935</v>
      </c>
      <c r="V232" s="22">
        <v>120443580</v>
      </c>
    </row>
    <row r="233" spans="1:22" ht="15" customHeight="1">
      <c r="A233" s="120" t="s">
        <v>51</v>
      </c>
      <c r="B233" s="120"/>
      <c r="C233" s="120"/>
      <c r="D233" s="120"/>
      <c r="E233" s="120"/>
      <c r="F233" s="120"/>
      <c r="G233" s="120"/>
      <c r="H233" s="120"/>
      <c r="I233" s="34">
        <f>SUM(I228:I232)</f>
        <v>17932540491.500275</v>
      </c>
      <c r="J233" s="32">
        <f>(I233/$I$234)</f>
        <v>2.8370215198704365E-3</v>
      </c>
      <c r="K233" s="34">
        <f>SUM(K228:K232)</f>
        <v>18363298180.1558</v>
      </c>
      <c r="L233" s="32">
        <f>(K233/$I$234)</f>
        <v>2.9051696349210966E-3</v>
      </c>
      <c r="M233" s="77"/>
      <c r="N233" s="78"/>
      <c r="O233" s="78"/>
      <c r="P233" s="79"/>
      <c r="Q233" s="79"/>
      <c r="R233" s="34"/>
      <c r="S233" s="34"/>
      <c r="T233" s="34">
        <f>SUM(T228:T232)</f>
        <v>90</v>
      </c>
      <c r="U233" s="34"/>
      <c r="V233" s="34"/>
    </row>
    <row r="234" spans="1:22" ht="16.2" customHeight="1">
      <c r="A234" s="126" t="s">
        <v>200</v>
      </c>
      <c r="B234" s="126"/>
      <c r="C234" s="126"/>
      <c r="D234" s="126"/>
      <c r="E234" s="126"/>
      <c r="F234" s="126"/>
      <c r="G234" s="126"/>
      <c r="H234" s="126"/>
      <c r="I234" s="80">
        <f>I225+I233</f>
        <v>6320903936012.1709</v>
      </c>
      <c r="J234" s="81"/>
      <c r="K234" s="80">
        <f>K225+K233</f>
        <v>6640426589301.3164</v>
      </c>
      <c r="L234" s="81"/>
      <c r="M234" s="81"/>
      <c r="N234" s="81"/>
      <c r="O234" s="81"/>
      <c r="P234" s="81"/>
      <c r="Q234" s="81"/>
      <c r="R234" s="82"/>
      <c r="S234" s="82"/>
      <c r="T234" s="80">
        <f>T225+T233</f>
        <v>927426</v>
      </c>
      <c r="U234" s="82"/>
      <c r="V234" s="82"/>
    </row>
    <row r="235" spans="1:22">
      <c r="A235" s="87" t="s">
        <v>201</v>
      </c>
      <c r="B235" s="74" t="s">
        <v>312</v>
      </c>
      <c r="C235" s="75">
        <v>1531.5703000000001</v>
      </c>
      <c r="D235" s="72"/>
      <c r="E235" s="72"/>
      <c r="F235" s="72"/>
      <c r="G235" s="72"/>
      <c r="H235" s="73"/>
    </row>
  </sheetData>
  <sheetProtection algorithmName="SHA-512" hashValue="jEURPdj48BY4YgZXdLgogjxuPYLtJcKrXbvZLgcoDB88mx7oGgxu4dWc2p9+XZAF5AhtwNYhCeMx6VD6rCPTgQ==" saltValue="uI2FMDqgE3jeR0rzDLxy3w==" spinCount="100000" sheet="1" objects="1" scenarios="1"/>
  <mergeCells count="36">
    <mergeCell ref="A234:H234"/>
    <mergeCell ref="A233:H233"/>
    <mergeCell ref="A224:H224"/>
    <mergeCell ref="A225:H225"/>
    <mergeCell ref="A199:V199"/>
    <mergeCell ref="A200:V200"/>
    <mergeCell ref="A201:V201"/>
    <mergeCell ref="A204:V204"/>
    <mergeCell ref="A205:V205"/>
    <mergeCell ref="A220:V220"/>
    <mergeCell ref="A227:V227"/>
    <mergeCell ref="A164:V164"/>
    <mergeCell ref="A193:H193"/>
    <mergeCell ref="A194:V194"/>
    <mergeCell ref="A195:V195"/>
    <mergeCell ref="A198:H198"/>
    <mergeCell ref="A153:H153"/>
    <mergeCell ref="A154:V154"/>
    <mergeCell ref="A155:V155"/>
    <mergeCell ref="A162:H162"/>
    <mergeCell ref="A163:V163"/>
    <mergeCell ref="A112:V112"/>
    <mergeCell ref="A113:V113"/>
    <mergeCell ref="A114:V114"/>
    <mergeCell ref="A132:V132"/>
    <mergeCell ref="A133:V133"/>
    <mergeCell ref="A26:V26"/>
    <mergeCell ref="A69:H69"/>
    <mergeCell ref="A70:V70"/>
    <mergeCell ref="A71:V71"/>
    <mergeCell ref="A111:H111"/>
    <mergeCell ref="A1:V1"/>
    <mergeCell ref="A3:V3"/>
    <mergeCell ref="A4:V4"/>
    <mergeCell ref="A24:H24"/>
    <mergeCell ref="A25:V25"/>
  </mergeCells>
  <pageMargins left="0.7" right="0.7" top="0.75" bottom="0.75" header="0.3" footer="0.3"/>
  <pageSetup scale="83" orientation="portrait" r:id="rId1"/>
  <colBreaks count="1" manualBreakCount="1">
    <brk id="3" max="1048575" man="1"/>
  </colBreaks>
  <ignoredErrors>
    <ignoredError sqref="J224 J233:K233 J24 J69 J111 J153 J162 J193 J19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S9" sqref="S9"/>
    </sheetView>
  </sheetViews>
  <sheetFormatPr defaultColWidth="9" defaultRowHeight="14.4"/>
  <cols>
    <col min="1" max="1" width="34" customWidth="1"/>
    <col min="2" max="2" width="11.6640625" customWidth="1"/>
    <col min="3" max="3" width="11.5546875" customWidth="1"/>
  </cols>
  <sheetData>
    <row r="1" spans="1:6">
      <c r="A1" s="2"/>
      <c r="B1" s="2"/>
      <c r="C1" s="2"/>
      <c r="D1" s="2"/>
      <c r="E1" s="2"/>
      <c r="F1" s="2"/>
    </row>
    <row r="2" spans="1:6">
      <c r="A2" s="19"/>
      <c r="B2" s="19"/>
      <c r="C2" s="19"/>
      <c r="D2" s="2"/>
      <c r="E2" s="19"/>
      <c r="F2" s="19"/>
    </row>
    <row r="3" spans="1:6">
      <c r="A3" s="89"/>
      <c r="B3" s="89"/>
      <c r="C3" s="89"/>
      <c r="D3" s="83"/>
      <c r="E3" s="19"/>
      <c r="F3" s="19"/>
    </row>
    <row r="4" spans="1:6" ht="33" customHeight="1">
      <c r="A4" s="90" t="s">
        <v>202</v>
      </c>
      <c r="B4" s="91" t="s">
        <v>314</v>
      </c>
      <c r="C4" s="91" t="s">
        <v>315</v>
      </c>
      <c r="D4" s="83"/>
      <c r="E4" s="19"/>
      <c r="F4" s="19"/>
    </row>
    <row r="5" spans="1:6" ht="18.899999999999999" customHeight="1">
      <c r="A5" s="92" t="s">
        <v>20</v>
      </c>
      <c r="B5" s="93">
        <v>66.406113220960009</v>
      </c>
      <c r="C5" s="94">
        <f>August!K24/1000000000</f>
        <v>68.756951083019999</v>
      </c>
      <c r="D5" s="83"/>
      <c r="E5" s="19"/>
      <c r="F5" s="19"/>
    </row>
    <row r="6" spans="1:6">
      <c r="A6" s="90" t="s">
        <v>52</v>
      </c>
      <c r="B6" s="95">
        <v>3486.7623653120704</v>
      </c>
      <c r="C6" s="94">
        <f>August!K69/1000000000</f>
        <v>3758.7482996931194</v>
      </c>
      <c r="D6" s="83"/>
      <c r="E6" s="19"/>
      <c r="F6" s="19"/>
    </row>
    <row r="7" spans="1:6">
      <c r="A7" s="90" t="s">
        <v>203</v>
      </c>
      <c r="B7" s="93">
        <v>219.07189169631997</v>
      </c>
      <c r="C7" s="94">
        <f>August!K111/1000000000</f>
        <v>230.15572161177997</v>
      </c>
      <c r="D7" s="83"/>
      <c r="E7" s="19"/>
      <c r="F7" s="19"/>
    </row>
    <row r="8" spans="1:6">
      <c r="A8" s="90" t="s">
        <v>204</v>
      </c>
      <c r="B8" s="95">
        <v>1964.46643918118</v>
      </c>
      <c r="C8" s="94">
        <f>August!K153/1000000000</f>
        <v>1991.8866115911712</v>
      </c>
      <c r="D8" s="83"/>
      <c r="E8" s="19"/>
      <c r="F8" s="19"/>
    </row>
    <row r="9" spans="1:6">
      <c r="A9" s="90" t="s">
        <v>205</v>
      </c>
      <c r="B9" s="93">
        <v>418.14732028246999</v>
      </c>
      <c r="C9" s="94">
        <f>August!K162/1000000000</f>
        <v>422.11119852865988</v>
      </c>
      <c r="D9" s="83"/>
      <c r="E9" s="19"/>
      <c r="F9" s="19"/>
    </row>
    <row r="10" spans="1:6">
      <c r="A10" s="90" t="s">
        <v>161</v>
      </c>
      <c r="B10" s="93">
        <v>75.255158315529997</v>
      </c>
      <c r="C10" s="94">
        <f>August!K193/1000000000</f>
        <v>75.582820293180006</v>
      </c>
      <c r="D10" s="83"/>
      <c r="E10" s="19"/>
      <c r="F10" s="19"/>
    </row>
    <row r="11" spans="1:6">
      <c r="A11" s="90" t="s">
        <v>184</v>
      </c>
      <c r="B11" s="93">
        <v>8.4979001396100013</v>
      </c>
      <c r="C11" s="94">
        <f>August!K198/1000000000</f>
        <v>8.1968864990100005</v>
      </c>
      <c r="D11" s="83"/>
      <c r="E11" s="19"/>
      <c r="F11" s="19"/>
    </row>
    <row r="12" spans="1:6">
      <c r="A12" s="90" t="s">
        <v>206</v>
      </c>
      <c r="B12" s="93">
        <v>64.364207372529989</v>
      </c>
      <c r="C12" s="94">
        <f>August!K224/1000000000</f>
        <v>66.624801821220004</v>
      </c>
      <c r="D12" s="83"/>
      <c r="E12" s="19"/>
      <c r="F12" s="19"/>
    </row>
    <row r="13" spans="1:6">
      <c r="A13" s="90" t="s">
        <v>316</v>
      </c>
      <c r="B13" s="93">
        <f>August!I233/1000000000</f>
        <v>17.932540491500276</v>
      </c>
      <c r="C13" s="93">
        <f>August!K233/1000000000</f>
        <v>18.363298180155798</v>
      </c>
      <c r="D13" s="83"/>
      <c r="E13" s="19"/>
      <c r="F13" s="19"/>
    </row>
    <row r="14" spans="1:6">
      <c r="A14" s="89"/>
      <c r="B14" s="89"/>
      <c r="C14" s="89"/>
      <c r="D14" s="83"/>
      <c r="E14" s="19"/>
      <c r="F14" s="19"/>
    </row>
    <row r="15" spans="1:6">
      <c r="A15" s="89"/>
      <c r="B15" s="89"/>
      <c r="C15" s="89"/>
      <c r="D15" s="83"/>
      <c r="E15" s="19"/>
      <c r="F15" s="19"/>
    </row>
    <row r="16" spans="1:6">
      <c r="A16" s="89"/>
      <c r="B16" s="96"/>
      <c r="C16" s="89"/>
      <c r="D16" s="83"/>
      <c r="E16" s="19"/>
      <c r="F16" s="19"/>
    </row>
    <row r="17" spans="1:6">
      <c r="A17" s="84"/>
      <c r="B17" s="85"/>
      <c r="C17" s="86"/>
      <c r="D17" s="83"/>
      <c r="E17" s="19"/>
      <c r="F17" s="19"/>
    </row>
    <row r="18" spans="1:6" ht="15.6">
      <c r="A18" s="10"/>
      <c r="B18" s="13"/>
      <c r="C18" s="14"/>
      <c r="D18" s="2"/>
      <c r="E18" s="2"/>
      <c r="F18" s="2"/>
    </row>
    <row r="19" spans="1:6">
      <c r="A19" s="15"/>
      <c r="B19" s="12"/>
      <c r="C19" s="16"/>
      <c r="D19" s="2"/>
      <c r="E19" s="2"/>
      <c r="F19" s="2"/>
    </row>
    <row r="20" spans="1:6">
      <c r="A20" s="15"/>
      <c r="B20" s="13"/>
      <c r="C20" s="14"/>
      <c r="D20" s="2"/>
      <c r="E20" s="2"/>
      <c r="F20" s="2"/>
    </row>
    <row r="21" spans="1:6">
      <c r="A21" s="15"/>
      <c r="B21" s="12"/>
      <c r="C21" s="16"/>
      <c r="D21" s="2"/>
      <c r="E21" s="2"/>
      <c r="F21" s="2"/>
    </row>
    <row r="22" spans="1:6">
      <c r="A22" s="15"/>
      <c r="B22" s="17"/>
      <c r="C22" s="18"/>
      <c r="D22" s="2"/>
      <c r="E22" s="2"/>
      <c r="F22" s="2"/>
    </row>
    <row r="23" spans="1:6">
      <c r="A23" s="15"/>
      <c r="B23" s="12"/>
      <c r="C23" s="16"/>
      <c r="D23" s="2"/>
      <c r="E23" s="2"/>
      <c r="F23" s="2"/>
    </row>
    <row r="24" spans="1:6">
      <c r="A24" s="15"/>
      <c r="B24" s="12"/>
      <c r="C24" s="11"/>
      <c r="D24" s="2"/>
      <c r="E24" s="2"/>
      <c r="F24" s="2"/>
    </row>
    <row r="25" spans="1:6">
      <c r="A25" s="15"/>
      <c r="B25" s="12"/>
      <c r="C25" s="12"/>
      <c r="D25" s="2"/>
      <c r="E25" s="2"/>
      <c r="F25" s="2"/>
    </row>
    <row r="26" spans="1:6">
      <c r="A26" s="15"/>
      <c r="B26" s="12"/>
      <c r="C26" s="12"/>
      <c r="D26" s="2"/>
      <c r="E26" s="2"/>
      <c r="F26" s="2"/>
    </row>
    <row r="27" spans="1:6">
      <c r="A27" s="2"/>
      <c r="B27" s="2"/>
      <c r="C27" s="2"/>
      <c r="D27" s="2"/>
      <c r="E27" s="2"/>
    </row>
    <row r="28" spans="1:6">
      <c r="A28" s="2"/>
      <c r="B28" s="2"/>
      <c r="C28" s="2"/>
      <c r="D28" s="2"/>
      <c r="E28" s="2"/>
    </row>
  </sheetData>
  <sheetProtection algorithmName="SHA-512" hashValue="FmxRORgEdNTKw7gzXKa7D5PRsJd6iL2F9LfXiaU08/aj68QLLamaNX1F1HhFxMxmfIH0JMJNuGzs2M7wTT87uQ==" saltValue="pgvN3gUY9mCHcOd4AcCfP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85" zoomScaleNormal="85" workbookViewId="0">
      <selection activeCell="S9" sqref="S9"/>
    </sheetView>
  </sheetViews>
  <sheetFormatPr defaultColWidth="9" defaultRowHeight="14.4"/>
  <cols>
    <col min="1" max="1" width="26.6640625" customWidth="1"/>
    <col min="2" max="2" width="21.33203125" customWidth="1"/>
  </cols>
  <sheetData>
    <row r="1" spans="1:6">
      <c r="A1" s="97" t="s">
        <v>202</v>
      </c>
      <c r="B1" s="98" t="s">
        <v>315</v>
      </c>
      <c r="C1" s="19"/>
      <c r="D1" s="19"/>
      <c r="E1" s="2"/>
      <c r="F1" s="2"/>
    </row>
    <row r="2" spans="1:6">
      <c r="A2" s="97" t="s">
        <v>184</v>
      </c>
      <c r="B2" s="99">
        <f>August!K198</f>
        <v>8196886499.0100002</v>
      </c>
      <c r="C2" s="19"/>
      <c r="D2" s="19"/>
      <c r="E2" s="2"/>
      <c r="F2" s="2"/>
    </row>
    <row r="3" spans="1:6">
      <c r="A3" s="97" t="s">
        <v>316</v>
      </c>
      <c r="B3" s="99">
        <f>August!K233</f>
        <v>18363298180.1558</v>
      </c>
      <c r="C3" s="19"/>
      <c r="D3" s="19"/>
      <c r="E3" s="2"/>
      <c r="F3" s="2"/>
    </row>
    <row r="4" spans="1:6">
      <c r="A4" s="97" t="s">
        <v>206</v>
      </c>
      <c r="B4" s="100">
        <f>August!K224</f>
        <v>66624801821.220001</v>
      </c>
      <c r="C4" s="19"/>
      <c r="D4" s="19"/>
      <c r="E4" s="2"/>
      <c r="F4" s="2"/>
    </row>
    <row r="5" spans="1:6">
      <c r="A5" s="97" t="s">
        <v>20</v>
      </c>
      <c r="B5" s="101">
        <f>August!K24</f>
        <v>68756951083.020004</v>
      </c>
      <c r="C5" s="19"/>
      <c r="D5" s="19"/>
      <c r="E5" s="2"/>
      <c r="F5" s="2"/>
    </row>
    <row r="6" spans="1:6">
      <c r="A6" s="97" t="s">
        <v>161</v>
      </c>
      <c r="B6" s="101">
        <f>August!K193</f>
        <v>75582820293.180008</v>
      </c>
      <c r="C6" s="19"/>
      <c r="D6" s="19"/>
      <c r="E6" s="2"/>
      <c r="F6" s="2"/>
    </row>
    <row r="7" spans="1:6">
      <c r="A7" s="97" t="s">
        <v>203</v>
      </c>
      <c r="B7" s="102">
        <f>August!K111</f>
        <v>230155721611.77997</v>
      </c>
      <c r="C7" s="19"/>
      <c r="D7" s="19"/>
      <c r="E7" s="2"/>
      <c r="F7" s="2"/>
    </row>
    <row r="8" spans="1:6">
      <c r="A8" s="97" t="s">
        <v>205</v>
      </c>
      <c r="B8" s="102">
        <f>August!K162</f>
        <v>422111198528.65991</v>
      </c>
      <c r="C8" s="19"/>
      <c r="D8" s="19"/>
      <c r="E8" s="2"/>
      <c r="F8" s="2"/>
    </row>
    <row r="9" spans="1:6">
      <c r="A9" s="97" t="s">
        <v>204</v>
      </c>
      <c r="B9" s="101">
        <f>August!K153</f>
        <v>1991886611591.1711</v>
      </c>
      <c r="C9" s="19"/>
      <c r="D9" s="19"/>
      <c r="E9" s="2"/>
      <c r="F9" s="2"/>
    </row>
    <row r="10" spans="1:6">
      <c r="A10" s="97" t="s">
        <v>52</v>
      </c>
      <c r="B10" s="101">
        <f>August!K69</f>
        <v>3758748299693.1196</v>
      </c>
      <c r="C10" s="19"/>
      <c r="D10" s="19"/>
      <c r="E10" s="2"/>
      <c r="F10" s="2"/>
    </row>
    <row r="11" spans="1:6">
      <c r="A11" s="19"/>
      <c r="B11" s="19"/>
      <c r="C11" s="19"/>
      <c r="D11" s="19"/>
      <c r="E11" s="2"/>
      <c r="F11" s="2"/>
    </row>
    <row r="12" spans="1:6">
      <c r="A12" s="103"/>
      <c r="B12" s="19"/>
      <c r="C12" s="19"/>
      <c r="D12" s="19"/>
      <c r="E12" s="2"/>
      <c r="F12" s="2"/>
    </row>
    <row r="13" spans="1:6">
      <c r="A13" s="104"/>
      <c r="B13" s="19"/>
      <c r="C13" s="19"/>
      <c r="D13" s="19"/>
      <c r="E13" s="2"/>
      <c r="F13" s="2"/>
    </row>
    <row r="14" spans="1:6" ht="15" customHeight="1">
      <c r="A14" s="19"/>
      <c r="B14" s="105"/>
      <c r="C14" s="19"/>
      <c r="D14" s="19"/>
      <c r="E14" s="2"/>
      <c r="F14" s="2"/>
    </row>
    <row r="15" spans="1:6">
      <c r="A15" s="106"/>
      <c r="B15" s="105"/>
      <c r="C15" s="19"/>
      <c r="D15" s="19"/>
      <c r="E15" s="2"/>
      <c r="F15" s="2"/>
    </row>
    <row r="16" spans="1:6">
      <c r="A16" s="19"/>
      <c r="B16" s="105"/>
      <c r="C16" s="19"/>
      <c r="D16" s="19"/>
      <c r="E16" s="2"/>
      <c r="F16" s="2"/>
    </row>
    <row r="17" spans="1:6">
      <c r="A17" s="97"/>
      <c r="B17" s="105"/>
      <c r="C17" s="19"/>
      <c r="D17" s="19"/>
      <c r="E17" s="2"/>
      <c r="F17" s="2"/>
    </row>
    <row r="18" spans="1:6">
      <c r="A18" s="107"/>
      <c r="B18" s="105"/>
      <c r="C18" s="19"/>
      <c r="D18" s="19"/>
      <c r="E18" s="2"/>
      <c r="F18" s="2"/>
    </row>
    <row r="19" spans="1:6">
      <c r="A19" s="106"/>
      <c r="B19" s="105"/>
      <c r="C19" s="19"/>
      <c r="D19" s="19"/>
      <c r="E19" s="2"/>
      <c r="F19" s="2"/>
    </row>
    <row r="20" spans="1:6">
      <c r="A20" s="108"/>
      <c r="B20" s="105"/>
      <c r="C20" s="19"/>
      <c r="D20" s="19"/>
      <c r="E20" s="2"/>
      <c r="F20" s="2"/>
    </row>
    <row r="21" spans="1:6">
      <c r="A21" s="109"/>
      <c r="B21" s="105"/>
      <c r="C21" s="19"/>
      <c r="D21" s="19"/>
      <c r="E21" s="2"/>
      <c r="F21" s="2"/>
    </row>
    <row r="22" spans="1:6">
      <c r="A22" s="110"/>
      <c r="B22" s="111"/>
      <c r="C22" s="19"/>
      <c r="D22" s="19"/>
      <c r="E22" s="2"/>
      <c r="F22" s="2"/>
    </row>
    <row r="23" spans="1:6">
      <c r="A23" s="19"/>
      <c r="B23" s="112"/>
      <c r="C23" s="19"/>
      <c r="D23" s="19"/>
      <c r="E23" s="2"/>
      <c r="F23" s="2"/>
    </row>
    <row r="24" spans="1:6">
      <c r="A24" s="19"/>
      <c r="B24" s="19"/>
      <c r="C24" s="19"/>
      <c r="D24" s="19"/>
      <c r="E24" s="2"/>
      <c r="F24" s="2"/>
    </row>
    <row r="25" spans="1:6">
      <c r="A25" s="19"/>
      <c r="B25" s="19"/>
      <c r="C25" s="19"/>
      <c r="D25" s="19"/>
      <c r="E25" s="2"/>
      <c r="F25" s="2"/>
    </row>
    <row r="26" spans="1:6">
      <c r="A26" s="19"/>
      <c r="B26" s="19"/>
      <c r="C26" s="19"/>
      <c r="D26" s="19"/>
      <c r="E26" s="2"/>
      <c r="F26" s="2"/>
    </row>
    <row r="27" spans="1:6">
      <c r="A27" s="2"/>
      <c r="B27" s="2"/>
      <c r="C27" s="2"/>
      <c r="D27" s="2"/>
      <c r="E27" s="2"/>
      <c r="F27" s="2"/>
    </row>
    <row r="28" spans="1:6">
      <c r="A28" s="2"/>
      <c r="B28" s="2"/>
      <c r="C28" s="2"/>
      <c r="D28" s="2"/>
      <c r="E28" s="2"/>
      <c r="F28" s="2"/>
    </row>
    <row r="29" spans="1:6">
      <c r="A29" s="2"/>
      <c r="B29" s="2"/>
      <c r="C29" s="2"/>
      <c r="D29" s="2"/>
      <c r="E29" s="2"/>
      <c r="F29" s="2"/>
    </row>
    <row r="30" spans="1:6">
      <c r="A30" s="2"/>
      <c r="B30" s="2"/>
      <c r="C30" s="2"/>
      <c r="D30" s="2"/>
      <c r="E30" s="2"/>
    </row>
    <row r="33" spans="1:17" ht="15.9" customHeight="1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"/>
    </row>
    <row r="34" spans="1:17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"/>
    </row>
  </sheetData>
  <sheetProtection algorithmName="SHA-512" hashValue="tguvF8lj8bBorF1FyRIiHyvhkdzhTziad9cci2bBCgsdq2w0uPB3lNUgy+0z/j9bfAyza1WWTXR4y4B8rNW4ig==" saltValue="D0Tq2F7hnEFuqfldq3x3cw==" spinCount="100000" sheet="1" objects="1" scenarios="1"/>
  <sortState ref="A13:A19">
    <sortCondition ref="A12:A19"/>
  </sortState>
  <mergeCells count="1">
    <mergeCell ref="A33:P3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B9" sqref="B9"/>
    </sheetView>
  </sheetViews>
  <sheetFormatPr defaultColWidth="9" defaultRowHeight="14.4"/>
  <cols>
    <col min="1" max="1" width="34.6640625" customWidth="1"/>
    <col min="2" max="2" width="15" customWidth="1"/>
  </cols>
  <sheetData>
    <row r="1" spans="1:5">
      <c r="A1" s="2"/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spans="1:5">
      <c r="A3" s="19"/>
      <c r="B3" s="19"/>
      <c r="C3" s="19"/>
      <c r="D3" s="19"/>
      <c r="E3" s="2"/>
    </row>
    <row r="4" spans="1:5">
      <c r="A4" s="19"/>
      <c r="B4" s="19"/>
      <c r="C4" s="19"/>
      <c r="D4" s="19"/>
      <c r="E4" s="2"/>
    </row>
    <row r="5" spans="1:5" ht="15.6">
      <c r="A5" s="113" t="s">
        <v>202</v>
      </c>
      <c r="B5" s="114" t="s">
        <v>207</v>
      </c>
      <c r="C5" s="19"/>
      <c r="D5" s="19"/>
      <c r="E5" s="2"/>
    </row>
    <row r="6" spans="1:5" ht="15.6">
      <c r="A6" s="113" t="s">
        <v>20</v>
      </c>
      <c r="B6" s="115">
        <f>August!T24</f>
        <v>56391</v>
      </c>
      <c r="C6" s="19"/>
      <c r="D6" s="19"/>
      <c r="E6" s="2"/>
    </row>
    <row r="7" spans="1:5" ht="15.6">
      <c r="A7" s="113" t="s">
        <v>52</v>
      </c>
      <c r="B7" s="115">
        <f>August!T69</f>
        <v>465039</v>
      </c>
      <c r="C7" s="19"/>
      <c r="D7" s="19"/>
      <c r="E7" s="2"/>
    </row>
    <row r="8" spans="1:5" ht="15.6">
      <c r="A8" s="113" t="s">
        <v>203</v>
      </c>
      <c r="B8" s="115">
        <f>August!T111</f>
        <v>47654</v>
      </c>
      <c r="C8" s="19"/>
      <c r="D8" s="19"/>
      <c r="E8" s="2"/>
    </row>
    <row r="9" spans="1:5" ht="15.6">
      <c r="A9" s="113" t="s">
        <v>204</v>
      </c>
      <c r="B9" s="115">
        <f>August!T153</f>
        <v>23248</v>
      </c>
      <c r="C9" s="19"/>
      <c r="D9" s="19"/>
      <c r="E9" s="2"/>
    </row>
    <row r="10" spans="1:5" ht="15.6">
      <c r="A10" s="113" t="s">
        <v>205</v>
      </c>
      <c r="B10" s="115">
        <f>August!T162</f>
        <v>219551</v>
      </c>
      <c r="C10" s="19"/>
      <c r="D10" s="19"/>
      <c r="E10" s="2"/>
    </row>
    <row r="11" spans="1:5" ht="15.6">
      <c r="A11" s="113" t="s">
        <v>161</v>
      </c>
      <c r="B11" s="115">
        <f>August!T193</f>
        <v>70686</v>
      </c>
      <c r="C11" s="19"/>
      <c r="D11" s="19"/>
      <c r="E11" s="2"/>
    </row>
    <row r="12" spans="1:5" ht="15.6">
      <c r="A12" s="113" t="s">
        <v>184</v>
      </c>
      <c r="B12" s="115">
        <f>August!T198</f>
        <v>12536</v>
      </c>
      <c r="C12" s="19"/>
      <c r="D12" s="19"/>
      <c r="E12" s="2"/>
    </row>
    <row r="13" spans="1:5" ht="15.6">
      <c r="A13" s="113" t="s">
        <v>206</v>
      </c>
      <c r="B13" s="115">
        <f>August!T224</f>
        <v>32231</v>
      </c>
      <c r="C13" s="19"/>
      <c r="D13" s="19"/>
      <c r="E13" s="2"/>
    </row>
    <row r="14" spans="1:5" ht="15.6">
      <c r="A14" s="113" t="s">
        <v>316</v>
      </c>
      <c r="B14" s="116">
        <f>August!T233</f>
        <v>90</v>
      </c>
      <c r="C14" s="19"/>
      <c r="D14" s="19"/>
      <c r="E14" s="2"/>
    </row>
    <row r="15" spans="1:5">
      <c r="A15" s="19"/>
      <c r="B15" s="19"/>
      <c r="C15" s="19"/>
      <c r="D15" s="19"/>
      <c r="E15" s="2"/>
    </row>
    <row r="16" spans="1:5">
      <c r="A16" s="19"/>
      <c r="B16" s="19"/>
      <c r="C16" s="19"/>
      <c r="D16" s="19"/>
      <c r="E16" s="2"/>
    </row>
    <row r="17" spans="1:5">
      <c r="A17" s="19"/>
      <c r="B17" s="19"/>
      <c r="C17" s="19"/>
      <c r="D17" s="19"/>
      <c r="E17" s="2"/>
    </row>
    <row r="18" spans="1:5">
      <c r="A18" s="19"/>
      <c r="B18" s="19"/>
      <c r="C18" s="19"/>
      <c r="D18" s="19"/>
      <c r="E18" s="2"/>
    </row>
    <row r="19" spans="1:5">
      <c r="A19" s="2"/>
      <c r="B19" s="2"/>
      <c r="C19" s="2"/>
      <c r="D19" s="2"/>
      <c r="E19" s="2"/>
    </row>
    <row r="20" spans="1:5">
      <c r="A20" s="2"/>
      <c r="B20" s="2"/>
      <c r="C20" s="2"/>
      <c r="D20" s="2"/>
      <c r="E20" s="2"/>
    </row>
    <row r="21" spans="1:5">
      <c r="A21" s="2"/>
      <c r="B21" s="2"/>
      <c r="C21" s="2"/>
      <c r="D21" s="2"/>
      <c r="E21" s="2"/>
    </row>
    <row r="22" spans="1:5">
      <c r="A22" s="2"/>
      <c r="B22" s="2"/>
      <c r="C22" s="2"/>
      <c r="D22" s="2"/>
      <c r="E22" s="2"/>
    </row>
    <row r="23" spans="1:5">
      <c r="A23" s="2"/>
      <c r="B23" s="2"/>
      <c r="C23" s="2"/>
      <c r="D23" s="2"/>
      <c r="E23" s="2"/>
    </row>
    <row r="24" spans="1:5">
      <c r="A24" s="2"/>
      <c r="B24" s="2"/>
      <c r="C24" s="2"/>
      <c r="D24" s="2"/>
      <c r="E24" s="2"/>
    </row>
    <row r="25" spans="1:5">
      <c r="A25" s="2"/>
      <c r="B25" s="2"/>
      <c r="C25" s="2"/>
      <c r="D25" s="2"/>
      <c r="E25" s="2"/>
    </row>
    <row r="26" spans="1:5">
      <c r="A26" s="2"/>
      <c r="B26" s="2"/>
      <c r="C26" s="2"/>
      <c r="D26" s="2"/>
      <c r="E26" s="2"/>
    </row>
    <row r="27" spans="1:5">
      <c r="A27" s="2"/>
      <c r="B27" s="2"/>
      <c r="C27" s="2"/>
      <c r="D27" s="2"/>
      <c r="E27" s="2"/>
    </row>
    <row r="28" spans="1:5">
      <c r="A28" s="2"/>
      <c r="B28" s="2"/>
      <c r="C28" s="2"/>
      <c r="D28" s="2"/>
      <c r="E28" s="2"/>
    </row>
    <row r="29" spans="1:5">
      <c r="A29" s="2"/>
      <c r="B29" s="2"/>
      <c r="C29" s="2"/>
      <c r="D29" s="2"/>
      <c r="E29" s="2"/>
    </row>
    <row r="30" spans="1:5">
      <c r="A30" s="2"/>
      <c r="B30" s="2"/>
      <c r="C30" s="2"/>
      <c r="D30" s="2"/>
      <c r="E30" s="2"/>
    </row>
    <row r="31" spans="1:5">
      <c r="A31" s="2"/>
      <c r="B31" s="2"/>
      <c r="C31" s="2"/>
      <c r="D31" s="2"/>
      <c r="E31" s="2"/>
    </row>
    <row r="32" spans="1:5">
      <c r="A32" s="2"/>
      <c r="B32" s="2"/>
      <c r="C32" s="2"/>
      <c r="D32" s="2"/>
      <c r="E32" s="2"/>
    </row>
    <row r="33" spans="1:5">
      <c r="A33" s="2"/>
      <c r="B33" s="2"/>
      <c r="C33" s="2"/>
      <c r="D33" s="2"/>
      <c r="E33" s="2"/>
    </row>
    <row r="34" spans="1:5">
      <c r="A34" s="2"/>
      <c r="B34" s="2"/>
      <c r="C34" s="2"/>
      <c r="D34" s="2"/>
      <c r="E34" s="2"/>
    </row>
    <row r="35" spans="1:5">
      <c r="A35" s="2"/>
      <c r="B35" s="2"/>
      <c r="C35" s="2"/>
      <c r="D35" s="2"/>
      <c r="E35" s="2"/>
    </row>
    <row r="36" spans="1:5">
      <c r="A36" s="2"/>
      <c r="B36" s="2"/>
      <c r="C36" s="2"/>
      <c r="D36" s="2"/>
      <c r="E36" s="2"/>
    </row>
    <row r="37" spans="1:5">
      <c r="A37" s="2"/>
      <c r="B37" s="2"/>
      <c r="C37" s="2"/>
      <c r="D37" s="2"/>
      <c r="E37" s="2"/>
    </row>
    <row r="38" spans="1:5">
      <c r="A38" s="2"/>
      <c r="B38" s="2"/>
      <c r="C38" s="2"/>
      <c r="D38" s="2"/>
      <c r="E38" s="2"/>
    </row>
    <row r="39" spans="1:5">
      <c r="A39" s="2"/>
      <c r="B39" s="2"/>
      <c r="C39" s="2"/>
      <c r="D39" s="2"/>
      <c r="E39" s="2"/>
    </row>
  </sheetData>
  <sheetProtection algorithmName="SHA-512" hashValue="s6CkJqiMB+q3UCtgrmoyUT9fyIpms5kV+m9yZ0TojqK693ModtsIUZgKLtZh3XFiBAbpVxZvJ3iW6J+k4gOjsQ==" saltValue="uI7lMB2ve+i73zL66OEgHA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August</vt:lpstr>
      <vt:lpstr>NAV Comparison</vt:lpstr>
      <vt:lpstr>Market Share</vt:lpstr>
      <vt:lpstr>Unitholders</vt:lpstr>
      <vt:lpstr>August!_Hlk34300669</vt:lpstr>
      <vt:lpstr>FX_RATE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RV;Mohammed N. Abdulaziz</dc:creator>
  <cp:lastModifiedBy>Isaac, Tunde</cp:lastModifiedBy>
  <cp:lastPrinted>2024-12-20T14:59:31Z</cp:lastPrinted>
  <dcterms:created xsi:type="dcterms:W3CDTF">2023-10-09T09:40:00Z</dcterms:created>
  <dcterms:modified xsi:type="dcterms:W3CDTF">2025-11-27T09:49:29Z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