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20496" windowHeight="715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Valuation'!$W$136</definedName>
    <definedName name="NFEM_RATE" localSheetId="0">'Weekly Valuation'!$W$136</definedName>
  </definedNames>
  <calcPr calcId="162913"/>
</workbook>
</file>

<file path=xl/calcChain.xml><?xml version="1.0" encoding="utf-8"?>
<calcChain xmlns="http://schemas.openxmlformats.org/spreadsheetml/2006/main">
  <c r="N151" i="1" l="1"/>
  <c r="M151" i="1"/>
  <c r="K151" i="1"/>
  <c r="N133" i="1"/>
  <c r="M133" i="1"/>
  <c r="K133" i="1"/>
  <c r="N150" i="1" l="1"/>
  <c r="M150" i="1"/>
  <c r="K150" i="1"/>
  <c r="N137" i="1"/>
  <c r="M137" i="1"/>
  <c r="K137" i="1"/>
  <c r="N147" i="1" l="1"/>
  <c r="M147" i="1"/>
  <c r="K147" i="1"/>
  <c r="N130" i="1"/>
  <c r="M130" i="1"/>
  <c r="K130" i="1"/>
  <c r="N146" i="1"/>
  <c r="N154" i="1" l="1"/>
  <c r="M154" i="1"/>
  <c r="K154" i="1"/>
  <c r="N148" i="1"/>
  <c r="M148" i="1"/>
  <c r="K148" i="1"/>
  <c r="N122" i="1" l="1"/>
  <c r="M122" i="1"/>
  <c r="K122" i="1"/>
  <c r="N121" i="1" l="1"/>
  <c r="M121" i="1"/>
  <c r="K121" i="1"/>
  <c r="N124" i="1"/>
  <c r="M124" i="1"/>
  <c r="K124" i="1"/>
  <c r="N123" i="1" l="1"/>
  <c r="M123" i="1"/>
  <c r="K123" i="1"/>
  <c r="K138" i="1" l="1"/>
  <c r="N136" i="1" l="1"/>
  <c r="M136" i="1"/>
  <c r="K136" i="1"/>
  <c r="K142" i="1" l="1"/>
  <c r="K118" i="1"/>
  <c r="N131" i="1"/>
  <c r="M131" i="1"/>
  <c r="K131" i="1"/>
  <c r="N117" i="1"/>
  <c r="M117" i="1"/>
  <c r="K117" i="1"/>
  <c r="N153" i="1"/>
  <c r="M153" i="1"/>
  <c r="K153" i="1"/>
  <c r="N140" i="1"/>
  <c r="M140" i="1"/>
  <c r="K140" i="1"/>
  <c r="N233" i="1" l="1"/>
  <c r="M233" i="1"/>
  <c r="K233" i="1"/>
  <c r="N120" i="1"/>
  <c r="M120" i="1"/>
  <c r="K120" i="1"/>
  <c r="N119" i="1"/>
  <c r="M119" i="1"/>
  <c r="K119" i="1"/>
  <c r="N129" i="1"/>
  <c r="M129" i="1"/>
  <c r="K129" i="1"/>
  <c r="N145" i="1" l="1"/>
  <c r="M145" i="1"/>
  <c r="K145" i="1"/>
  <c r="N132" i="1" l="1"/>
  <c r="M132" i="1"/>
  <c r="K132" i="1"/>
  <c r="K201" i="1" l="1"/>
  <c r="N235" i="1" l="1"/>
  <c r="M235" i="1"/>
  <c r="K235" i="1"/>
  <c r="N127" i="1"/>
  <c r="M127" i="1"/>
  <c r="K127" i="1"/>
  <c r="N126" i="1"/>
  <c r="M126" i="1"/>
  <c r="K126" i="1"/>
  <c r="N152" i="1"/>
  <c r="M152" i="1"/>
  <c r="K152" i="1"/>
  <c r="N128" i="1"/>
  <c r="K128" i="1"/>
  <c r="V189" i="1" l="1"/>
  <c r="U189" i="1"/>
  <c r="T189" i="1"/>
  <c r="S189" i="1"/>
  <c r="R189" i="1"/>
  <c r="M146" i="1" l="1"/>
  <c r="N144" i="1" l="1"/>
  <c r="M144" i="1"/>
  <c r="K144" i="1"/>
  <c r="R142" i="1" l="1"/>
  <c r="S131" i="1"/>
  <c r="S127" i="1"/>
  <c r="S126" i="1"/>
  <c r="S235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4" i="5" s="1"/>
  <c r="E3" i="5" s="1"/>
  <c r="E10" i="4"/>
  <c r="F12" i="4" s="1"/>
  <c r="D10" i="4"/>
  <c r="C4" i="5" s="1"/>
  <c r="C3" i="5" s="1"/>
  <c r="C10" i="4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8" i="1"/>
  <c r="U258" i="1"/>
  <c r="S258" i="1"/>
  <c r="O258" i="1"/>
  <c r="K258" i="1"/>
  <c r="L257" i="1" s="1"/>
  <c r="H258" i="1"/>
  <c r="D258" i="1"/>
  <c r="E256" i="1" s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O243" i="1"/>
  <c r="K243" i="1"/>
  <c r="L242" i="1" s="1"/>
  <c r="H243" i="1"/>
  <c r="D243" i="1"/>
  <c r="E242" i="1" s="1"/>
  <c r="V242" i="1"/>
  <c r="U242" i="1"/>
  <c r="T242" i="1"/>
  <c r="S242" i="1"/>
  <c r="R242" i="1"/>
  <c r="V241" i="1"/>
  <c r="U241" i="1"/>
  <c r="T241" i="1"/>
  <c r="S241" i="1"/>
  <c r="R241" i="1"/>
  <c r="O238" i="1"/>
  <c r="H238" i="1"/>
  <c r="D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R235" i="1"/>
  <c r="V234" i="1"/>
  <c r="U234" i="1"/>
  <c r="T234" i="1"/>
  <c r="S234" i="1"/>
  <c r="R234" i="1"/>
  <c r="V233" i="1"/>
  <c r="U233" i="1"/>
  <c r="T233" i="1"/>
  <c r="S233" i="1"/>
  <c r="K238" i="1"/>
  <c r="V229" i="1"/>
  <c r="U229" i="1"/>
  <c r="S229" i="1"/>
  <c r="O229" i="1"/>
  <c r="K229" i="1"/>
  <c r="L212" i="1" s="1"/>
  <c r="H229" i="1"/>
  <c r="D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6" i="1"/>
  <c r="U206" i="1"/>
  <c r="T206" i="1"/>
  <c r="S206" i="1"/>
  <c r="R206" i="1"/>
  <c r="V205" i="1"/>
  <c r="U205" i="1"/>
  <c r="T205" i="1"/>
  <c r="S205" i="1"/>
  <c r="R205" i="1"/>
  <c r="V201" i="1"/>
  <c r="U201" i="1"/>
  <c r="S201" i="1"/>
  <c r="O201" i="1"/>
  <c r="B2" i="3"/>
  <c r="H201" i="1"/>
  <c r="D201" i="1"/>
  <c r="B19" i="2" s="1"/>
  <c r="B9" i="2" s="1"/>
  <c r="V200" i="1"/>
  <c r="U200" i="1"/>
  <c r="T200" i="1"/>
  <c r="S200" i="1"/>
  <c r="R200" i="1"/>
  <c r="V199" i="1"/>
  <c r="U199" i="1"/>
  <c r="T199" i="1"/>
  <c r="S199" i="1"/>
  <c r="R199" i="1"/>
  <c r="L199" i="1"/>
  <c r="V196" i="1"/>
  <c r="U196" i="1"/>
  <c r="S196" i="1"/>
  <c r="O196" i="1"/>
  <c r="K196" i="1"/>
  <c r="H196" i="1"/>
  <c r="D196" i="1"/>
  <c r="E167" i="1" s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4" i="1"/>
  <c r="U164" i="1"/>
  <c r="S164" i="1"/>
  <c r="O164" i="1"/>
  <c r="K164" i="1"/>
  <c r="L160" i="1" s="1"/>
  <c r="H164" i="1"/>
  <c r="D164" i="1"/>
  <c r="B17" i="2" s="1"/>
  <c r="B7" i="2" s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5" i="1"/>
  <c r="U155" i="1"/>
  <c r="S155" i="1"/>
  <c r="O155" i="1"/>
  <c r="H155" i="1"/>
  <c r="D155" i="1"/>
  <c r="B16" i="2" s="1"/>
  <c r="B6" i="2" s="1"/>
  <c r="V154" i="1"/>
  <c r="U154" i="1"/>
  <c r="T154" i="1"/>
  <c r="R154" i="1"/>
  <c r="S154" i="1"/>
  <c r="V153" i="1"/>
  <c r="U153" i="1"/>
  <c r="T153" i="1"/>
  <c r="R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R146" i="1"/>
  <c r="S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R143" i="1"/>
  <c r="N143" i="1"/>
  <c r="S143" i="1" s="1"/>
  <c r="M143" i="1"/>
  <c r="V142" i="1"/>
  <c r="U142" i="1"/>
  <c r="T142" i="1"/>
  <c r="N142" i="1"/>
  <c r="S142" i="1" s="1"/>
  <c r="M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S139" i="1"/>
  <c r="R139" i="1"/>
  <c r="V138" i="1"/>
  <c r="U138" i="1"/>
  <c r="T138" i="1"/>
  <c r="N138" i="1"/>
  <c r="S138" i="1" s="1"/>
  <c r="M138" i="1"/>
  <c r="V137" i="1"/>
  <c r="U137" i="1"/>
  <c r="T137" i="1"/>
  <c r="S137" i="1"/>
  <c r="R137" i="1"/>
  <c r="V136" i="1"/>
  <c r="U136" i="1"/>
  <c r="T136" i="1"/>
  <c r="S136" i="1"/>
  <c r="R136" i="1"/>
  <c r="V133" i="1"/>
  <c r="U133" i="1"/>
  <c r="T133" i="1"/>
  <c r="S133" i="1"/>
  <c r="R133" i="1"/>
  <c r="V132" i="1"/>
  <c r="U132" i="1"/>
  <c r="T132" i="1"/>
  <c r="S132" i="1"/>
  <c r="R132" i="1"/>
  <c r="V131" i="1"/>
  <c r="U131" i="1"/>
  <c r="T131" i="1"/>
  <c r="R131" i="1"/>
  <c r="V130" i="1"/>
  <c r="U130" i="1"/>
  <c r="T130" i="1"/>
  <c r="S130" i="1"/>
  <c r="R130" i="1"/>
  <c r="V129" i="1"/>
  <c r="U129" i="1"/>
  <c r="T129" i="1"/>
  <c r="S129" i="1"/>
  <c r="R129" i="1"/>
  <c r="V128" i="1"/>
  <c r="U128" i="1"/>
  <c r="T128" i="1"/>
  <c r="S128" i="1"/>
  <c r="M128" i="1"/>
  <c r="V127" i="1"/>
  <c r="U127" i="1"/>
  <c r="T127" i="1"/>
  <c r="V126" i="1"/>
  <c r="U126" i="1"/>
  <c r="T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V118" i="1"/>
  <c r="U118" i="1"/>
  <c r="T118" i="1"/>
  <c r="N118" i="1"/>
  <c r="S118" i="1" s="1"/>
  <c r="M118" i="1"/>
  <c r="V117" i="1"/>
  <c r="U117" i="1"/>
  <c r="T117" i="1"/>
  <c r="S117" i="1"/>
  <c r="V113" i="1"/>
  <c r="U113" i="1"/>
  <c r="S113" i="1"/>
  <c r="O113" i="1"/>
  <c r="K113" i="1"/>
  <c r="L112" i="1" s="1"/>
  <c r="H113" i="1"/>
  <c r="D113" i="1"/>
  <c r="B15" i="2" s="1"/>
  <c r="B5" i="2" s="1"/>
  <c r="V112" i="1"/>
  <c r="U112" i="1"/>
  <c r="T112" i="1"/>
  <c r="S112" i="1"/>
  <c r="R112" i="1"/>
  <c r="V111" i="1"/>
  <c r="U111" i="1"/>
  <c r="T111" i="1"/>
  <c r="S111" i="1"/>
  <c r="R111" i="1"/>
  <c r="E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1" i="1"/>
  <c r="U71" i="1"/>
  <c r="S71" i="1"/>
  <c r="O71" i="1"/>
  <c r="K71" i="1"/>
  <c r="L29" i="1" s="1"/>
  <c r="H71" i="1"/>
  <c r="D71" i="1"/>
  <c r="B14" i="2" s="1"/>
  <c r="B4" i="2" s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2" i="1" s="1"/>
  <c r="H25" i="1"/>
  <c r="D25" i="1"/>
  <c r="E34" i="1" s="1"/>
  <c r="V24" i="1"/>
  <c r="U24" i="1"/>
  <c r="T24" i="1"/>
  <c r="S24" i="1"/>
  <c r="R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E21" i="1"/>
  <c r="V20" i="1"/>
  <c r="U20" i="1"/>
  <c r="T20" i="1"/>
  <c r="S20" i="1"/>
  <c r="R20" i="1"/>
  <c r="V19" i="1"/>
  <c r="U19" i="1"/>
  <c r="T19" i="1"/>
  <c r="S19" i="1"/>
  <c r="R19" i="1"/>
  <c r="E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E15" i="1"/>
  <c r="V14" i="1"/>
  <c r="U14" i="1"/>
  <c r="T14" i="1"/>
  <c r="S14" i="1"/>
  <c r="R14" i="1"/>
  <c r="V13" i="1"/>
  <c r="U13" i="1"/>
  <c r="T13" i="1"/>
  <c r="S13" i="1"/>
  <c r="R13" i="1"/>
  <c r="E13" i="1"/>
  <c r="V12" i="1"/>
  <c r="U12" i="1"/>
  <c r="T12" i="1"/>
  <c r="S12" i="1"/>
  <c r="R12" i="1"/>
  <c r="V11" i="1"/>
  <c r="U11" i="1"/>
  <c r="T11" i="1"/>
  <c r="S11" i="1"/>
  <c r="R11" i="1"/>
  <c r="E11" i="1"/>
  <c r="V10" i="1"/>
  <c r="U10" i="1"/>
  <c r="T10" i="1"/>
  <c r="S10" i="1"/>
  <c r="R10" i="1"/>
  <c r="V9" i="1"/>
  <c r="U9" i="1"/>
  <c r="T9" i="1"/>
  <c r="S9" i="1"/>
  <c r="R9" i="1"/>
  <c r="E9" i="1"/>
  <c r="V8" i="1"/>
  <c r="U8" i="1"/>
  <c r="T8" i="1"/>
  <c r="S8" i="1"/>
  <c r="R8" i="1"/>
  <c r="V7" i="1"/>
  <c r="U7" i="1"/>
  <c r="T7" i="1"/>
  <c r="S7" i="1"/>
  <c r="R7" i="1"/>
  <c r="E7" i="1"/>
  <c r="V6" i="1"/>
  <c r="U6" i="1"/>
  <c r="T6" i="1"/>
  <c r="S6" i="1"/>
  <c r="R6" i="1"/>
  <c r="T196" i="1" l="1"/>
  <c r="E17" i="1"/>
  <c r="E97" i="1"/>
  <c r="E175" i="1"/>
  <c r="E173" i="1"/>
  <c r="E171" i="1"/>
  <c r="E169" i="1"/>
  <c r="L93" i="1"/>
  <c r="L98" i="1"/>
  <c r="L162" i="1"/>
  <c r="L189" i="1"/>
  <c r="L179" i="1"/>
  <c r="L70" i="1"/>
  <c r="L44" i="1"/>
  <c r="E241" i="1"/>
  <c r="E93" i="1"/>
  <c r="E95" i="1"/>
  <c r="E91" i="1"/>
  <c r="E75" i="1"/>
  <c r="E89" i="1"/>
  <c r="E87" i="1"/>
  <c r="E99" i="1"/>
  <c r="B18" i="2"/>
  <c r="B8" i="2" s="1"/>
  <c r="E189" i="1"/>
  <c r="E160" i="1"/>
  <c r="E158" i="1"/>
  <c r="E57" i="1"/>
  <c r="E59" i="1"/>
  <c r="E65" i="1"/>
  <c r="E161" i="1"/>
  <c r="E163" i="1"/>
  <c r="E85" i="1"/>
  <c r="E109" i="1"/>
  <c r="E83" i="1"/>
  <c r="E107" i="1"/>
  <c r="E63" i="1"/>
  <c r="E81" i="1"/>
  <c r="E105" i="1"/>
  <c r="L58" i="1"/>
  <c r="L60" i="1"/>
  <c r="L62" i="1"/>
  <c r="L64" i="1"/>
  <c r="L66" i="1"/>
  <c r="E79" i="1"/>
  <c r="E103" i="1"/>
  <c r="E61" i="1"/>
  <c r="E77" i="1"/>
  <c r="E101" i="1"/>
  <c r="E67" i="1"/>
  <c r="L68" i="1"/>
  <c r="E69" i="1"/>
  <c r="B4" i="3"/>
  <c r="L220" i="1"/>
  <c r="L76" i="1"/>
  <c r="L56" i="1"/>
  <c r="L67" i="1"/>
  <c r="L31" i="1"/>
  <c r="B20" i="2"/>
  <c r="B10" i="2" s="1"/>
  <c r="E235" i="1"/>
  <c r="T201" i="1"/>
  <c r="E225" i="1"/>
  <c r="E200" i="1"/>
  <c r="E50" i="1"/>
  <c r="E177" i="1"/>
  <c r="E162" i="1"/>
  <c r="E23" i="1"/>
  <c r="D12" i="4"/>
  <c r="T229" i="1"/>
  <c r="L84" i="1"/>
  <c r="E51" i="1"/>
  <c r="L52" i="1"/>
  <c r="E53" i="1"/>
  <c r="L54" i="1"/>
  <c r="E55" i="1"/>
  <c r="L22" i="1"/>
  <c r="L34" i="1"/>
  <c r="B5" i="3"/>
  <c r="L177" i="1"/>
  <c r="E153" i="1"/>
  <c r="K155" i="1"/>
  <c r="B8" i="3" s="1"/>
  <c r="T258" i="1"/>
  <c r="R258" i="1"/>
  <c r="E247" i="1"/>
  <c r="E249" i="1"/>
  <c r="E251" i="1"/>
  <c r="E253" i="1"/>
  <c r="E257" i="1"/>
  <c r="E255" i="1"/>
  <c r="E246" i="1"/>
  <c r="E248" i="1"/>
  <c r="E250" i="1"/>
  <c r="E252" i="1"/>
  <c r="E254" i="1"/>
  <c r="R243" i="1"/>
  <c r="E211" i="1"/>
  <c r="E209" i="1"/>
  <c r="E205" i="1"/>
  <c r="E227" i="1"/>
  <c r="E221" i="1"/>
  <c r="E219" i="1"/>
  <c r="E217" i="1"/>
  <c r="E215" i="1"/>
  <c r="E199" i="1"/>
  <c r="E194" i="1"/>
  <c r="E192" i="1"/>
  <c r="E190" i="1"/>
  <c r="E187" i="1"/>
  <c r="E185" i="1"/>
  <c r="E168" i="1"/>
  <c r="E170" i="1"/>
  <c r="E183" i="1"/>
  <c r="E181" i="1"/>
  <c r="E179" i="1"/>
  <c r="T164" i="1"/>
  <c r="T155" i="1"/>
  <c r="E129" i="1"/>
  <c r="E144" i="1"/>
  <c r="E146" i="1"/>
  <c r="E117" i="1"/>
  <c r="E119" i="1"/>
  <c r="E127" i="1"/>
  <c r="E125" i="1"/>
  <c r="E133" i="1"/>
  <c r="E150" i="1"/>
  <c r="E121" i="1"/>
  <c r="E137" i="1"/>
  <c r="E139" i="1"/>
  <c r="E141" i="1"/>
  <c r="E152" i="1"/>
  <c r="E143" i="1"/>
  <c r="E128" i="1"/>
  <c r="E145" i="1"/>
  <c r="E154" i="1"/>
  <c r="E118" i="1"/>
  <c r="E130" i="1"/>
  <c r="E147" i="1"/>
  <c r="E120" i="1"/>
  <c r="E124" i="1"/>
  <c r="E126" i="1"/>
  <c r="E132" i="1"/>
  <c r="E149" i="1"/>
  <c r="E151" i="1"/>
  <c r="E131" i="1"/>
  <c r="E148" i="1"/>
  <c r="E122" i="1"/>
  <c r="E136" i="1"/>
  <c r="E138" i="1"/>
  <c r="E142" i="1"/>
  <c r="H230" i="1"/>
  <c r="H259" i="1" s="1"/>
  <c r="T113" i="1"/>
  <c r="R113" i="1"/>
  <c r="E80" i="1"/>
  <c r="E82" i="1"/>
  <c r="E84" i="1"/>
  <c r="E100" i="1"/>
  <c r="E102" i="1"/>
  <c r="E104" i="1"/>
  <c r="E106" i="1"/>
  <c r="E108" i="1"/>
  <c r="E110" i="1"/>
  <c r="E112" i="1"/>
  <c r="E74" i="1"/>
  <c r="E76" i="1"/>
  <c r="E86" i="1"/>
  <c r="E88" i="1"/>
  <c r="E90" i="1"/>
  <c r="E92" i="1"/>
  <c r="E94" i="1"/>
  <c r="E96" i="1"/>
  <c r="T71" i="1"/>
  <c r="E6" i="1"/>
  <c r="E8" i="1"/>
  <c r="E10" i="1"/>
  <c r="E12" i="1"/>
  <c r="E14" i="1"/>
  <c r="E16" i="1"/>
  <c r="E18" i="1"/>
  <c r="E22" i="1"/>
  <c r="E24" i="1"/>
  <c r="E20" i="1"/>
  <c r="J12" i="4"/>
  <c r="D4" i="5"/>
  <c r="D3" i="5" s="1"/>
  <c r="H12" i="4"/>
  <c r="L36" i="1"/>
  <c r="L205" i="1"/>
  <c r="L206" i="1"/>
  <c r="L211" i="1"/>
  <c r="L213" i="1"/>
  <c r="L214" i="1"/>
  <c r="L217" i="1"/>
  <c r="L218" i="1"/>
  <c r="L221" i="1"/>
  <c r="L222" i="1"/>
  <c r="L227" i="1"/>
  <c r="L228" i="1"/>
  <c r="L92" i="1"/>
  <c r="L104" i="1"/>
  <c r="L74" i="1"/>
  <c r="L80" i="1"/>
  <c r="L88" i="1"/>
  <c r="L96" i="1"/>
  <c r="L100" i="1"/>
  <c r="L108" i="1"/>
  <c r="L78" i="1"/>
  <c r="L82" i="1"/>
  <c r="L86" i="1"/>
  <c r="L90" i="1"/>
  <c r="L94" i="1"/>
  <c r="L102" i="1"/>
  <c r="L106" i="1"/>
  <c r="L110" i="1"/>
  <c r="L170" i="1"/>
  <c r="L173" i="1"/>
  <c r="L174" i="1"/>
  <c r="L178" i="1"/>
  <c r="L181" i="1"/>
  <c r="L182" i="1"/>
  <c r="L185" i="1"/>
  <c r="L186" i="1"/>
  <c r="L190" i="1"/>
  <c r="L191" i="1"/>
  <c r="L194" i="1"/>
  <c r="L195" i="1"/>
  <c r="L168" i="1"/>
  <c r="L249" i="1"/>
  <c r="L253" i="1"/>
  <c r="L247" i="1"/>
  <c r="L251" i="1"/>
  <c r="L255" i="1"/>
  <c r="L246" i="1"/>
  <c r="L248" i="1"/>
  <c r="L250" i="1"/>
  <c r="L252" i="1"/>
  <c r="L254" i="1"/>
  <c r="L256" i="1"/>
  <c r="L50" i="1"/>
  <c r="L167" i="1"/>
  <c r="L169" i="1"/>
  <c r="L171" i="1"/>
  <c r="L172" i="1"/>
  <c r="L175" i="1"/>
  <c r="L176" i="1"/>
  <c r="L180" i="1"/>
  <c r="L183" i="1"/>
  <c r="L184" i="1"/>
  <c r="L187" i="1"/>
  <c r="L188" i="1"/>
  <c r="L192" i="1"/>
  <c r="L193" i="1"/>
  <c r="E28" i="1"/>
  <c r="E30" i="1"/>
  <c r="E32" i="1"/>
  <c r="L33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5" i="1"/>
  <c r="L77" i="1"/>
  <c r="E78" i="1"/>
  <c r="L79" i="1"/>
  <c r="L81" i="1"/>
  <c r="L83" i="1"/>
  <c r="L85" i="1"/>
  <c r="L87" i="1"/>
  <c r="L89" i="1"/>
  <c r="L91" i="1"/>
  <c r="L95" i="1"/>
  <c r="L97" i="1"/>
  <c r="L99" i="1"/>
  <c r="L101" i="1"/>
  <c r="L103" i="1"/>
  <c r="L105" i="1"/>
  <c r="L107" i="1"/>
  <c r="L109" i="1"/>
  <c r="L111" i="1"/>
  <c r="L35" i="1"/>
  <c r="E36" i="1"/>
  <c r="L37" i="1"/>
  <c r="E38" i="1"/>
  <c r="L39" i="1"/>
  <c r="L40" i="1"/>
  <c r="E41" i="1"/>
  <c r="L42" i="1"/>
  <c r="E43" i="1"/>
  <c r="E45" i="1"/>
  <c r="L46" i="1"/>
  <c r="E47" i="1"/>
  <c r="L48" i="1"/>
  <c r="E49" i="1"/>
  <c r="O230" i="1"/>
  <c r="O259" i="1" s="1"/>
  <c r="L209" i="1"/>
  <c r="L210" i="1"/>
  <c r="L215" i="1"/>
  <c r="L216" i="1"/>
  <c r="L219" i="1"/>
  <c r="L18" i="1"/>
  <c r="L20" i="1"/>
  <c r="L28" i="1"/>
  <c r="E29" i="1"/>
  <c r="L30" i="1"/>
  <c r="E31" i="1"/>
  <c r="L32" i="1"/>
  <c r="E33" i="1"/>
  <c r="E35" i="1"/>
  <c r="E37" i="1"/>
  <c r="L38" i="1"/>
  <c r="E39" i="1"/>
  <c r="L41" i="1"/>
  <c r="E42" i="1"/>
  <c r="L43" i="1"/>
  <c r="E44" i="1"/>
  <c r="L45" i="1"/>
  <c r="E46" i="1"/>
  <c r="L47" i="1"/>
  <c r="E48" i="1"/>
  <c r="L49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E68" i="1"/>
  <c r="L69" i="1"/>
  <c r="E70" i="1"/>
  <c r="B3" i="3"/>
  <c r="C13" i="2"/>
  <c r="C3" i="2" s="1"/>
  <c r="R71" i="1"/>
  <c r="R117" i="1"/>
  <c r="R118" i="1"/>
  <c r="R119" i="1"/>
  <c r="R126" i="1"/>
  <c r="R127" i="1"/>
  <c r="R128" i="1"/>
  <c r="R152" i="1"/>
  <c r="B6" i="3"/>
  <c r="C17" i="2"/>
  <c r="C7" i="2" s="1"/>
  <c r="R164" i="1"/>
  <c r="L163" i="1"/>
  <c r="L161" i="1"/>
  <c r="L159" i="1"/>
  <c r="L158" i="1"/>
  <c r="L236" i="1"/>
  <c r="L233" i="1"/>
  <c r="R238" i="1"/>
  <c r="L237" i="1"/>
  <c r="L234" i="1"/>
  <c r="L24" i="1"/>
  <c r="B13" i="2"/>
  <c r="B3" i="2" s="1"/>
  <c r="D230" i="1"/>
  <c r="E229" i="1" s="1"/>
  <c r="R25" i="1"/>
  <c r="T25" i="1"/>
  <c r="B9" i="3"/>
  <c r="C14" i="2"/>
  <c r="C4" i="2" s="1"/>
  <c r="E98" i="1"/>
  <c r="B7" i="3"/>
  <c r="C15" i="2"/>
  <c r="C5" i="2" s="1"/>
  <c r="L139" i="1"/>
  <c r="E140" i="1"/>
  <c r="L140" i="1"/>
  <c r="E172" i="1"/>
  <c r="E174" i="1"/>
  <c r="E176" i="1"/>
  <c r="E178" i="1"/>
  <c r="E180" i="1"/>
  <c r="E182" i="1"/>
  <c r="E184" i="1"/>
  <c r="E186" i="1"/>
  <c r="E188" i="1"/>
  <c r="E191" i="1"/>
  <c r="E193" i="1"/>
  <c r="E195" i="1"/>
  <c r="L200" i="1"/>
  <c r="R201" i="1"/>
  <c r="E206" i="1"/>
  <c r="E210" i="1"/>
  <c r="E213" i="1"/>
  <c r="E216" i="1"/>
  <c r="E218" i="1"/>
  <c r="E220" i="1"/>
  <c r="E222" i="1"/>
  <c r="L225" i="1"/>
  <c r="E226" i="1"/>
  <c r="E228" i="1"/>
  <c r="R233" i="1"/>
  <c r="L235" i="1"/>
  <c r="E236" i="1"/>
  <c r="L241" i="1"/>
  <c r="C18" i="2"/>
  <c r="C8" i="2" s="1"/>
  <c r="C19" i="2"/>
  <c r="C9" i="2" s="1"/>
  <c r="C20" i="2"/>
  <c r="C10" i="2" s="1"/>
  <c r="C12" i="4"/>
  <c r="E12" i="4"/>
  <c r="G12" i="4"/>
  <c r="I12" i="4"/>
  <c r="R196" i="1"/>
  <c r="L226" i="1"/>
  <c r="R229" i="1"/>
  <c r="E233" i="1"/>
  <c r="E234" i="1"/>
  <c r="E237" i="1"/>
  <c r="L142" i="1" l="1"/>
  <c r="L124" i="1"/>
  <c r="L130" i="1"/>
  <c r="L119" i="1"/>
  <c r="L144" i="1"/>
  <c r="L128" i="1"/>
  <c r="L121" i="1"/>
  <c r="L136" i="1"/>
  <c r="L151" i="1"/>
  <c r="L154" i="1"/>
  <c r="L148" i="1"/>
  <c r="K230" i="1"/>
  <c r="L155" i="1" s="1"/>
  <c r="L118" i="1"/>
  <c r="L146" i="1"/>
  <c r="L125" i="1"/>
  <c r="L132" i="1"/>
  <c r="L138" i="1"/>
  <c r="L149" i="1"/>
  <c r="C16" i="2"/>
  <c r="C6" i="2" s="1"/>
  <c r="L153" i="1"/>
  <c r="L117" i="1"/>
  <c r="L147" i="1"/>
  <c r="L123" i="1"/>
  <c r="L152" i="1"/>
  <c r="L126" i="1"/>
  <c r="L127" i="1"/>
  <c r="L141" i="1"/>
  <c r="L120" i="1"/>
  <c r="L122" i="1"/>
  <c r="L129" i="1"/>
  <c r="L131" i="1"/>
  <c r="L133" i="1"/>
  <c r="L137" i="1"/>
  <c r="L143" i="1"/>
  <c r="L145" i="1"/>
  <c r="L150" i="1"/>
  <c r="R155" i="1"/>
  <c r="E196" i="1"/>
  <c r="E113" i="1"/>
  <c r="D259" i="1"/>
  <c r="E201" i="1"/>
  <c r="E155" i="1"/>
  <c r="E164" i="1"/>
  <c r="E25" i="1"/>
  <c r="E71" i="1"/>
  <c r="L201" i="1" l="1"/>
  <c r="R230" i="1"/>
  <c r="L71" i="1"/>
  <c r="L229" i="1"/>
  <c r="L164" i="1"/>
  <c r="L196" i="1"/>
  <c r="K259" i="1"/>
  <c r="L113" i="1"/>
  <c r="L25" i="1"/>
</calcChain>
</file>

<file path=xl/sharedStrings.xml><?xml version="1.0" encoding="utf-8"?>
<sst xmlns="http://schemas.openxmlformats.org/spreadsheetml/2006/main" count="529" uniqueCount="336">
  <si>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</si>
  <si>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</si>
  <si>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</si>
  <si>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</si>
  <si>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</si>
  <si>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</si>
  <si>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</si>
  <si>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</si>
  <si>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</si>
  <si>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</si>
  <si>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</si>
  <si>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</si>
  <si>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</si>
  <si>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</si>
  <si>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</si>
  <si>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</si>
  <si>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</si>
  <si>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</si>
  <si>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</si>
  <si>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</si>
  <si>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</si>
  <si>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</si>
  <si>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</si>
  <si>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</si>
  <si>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</si>
  <si>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</si>
  <si>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</si>
  <si>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</si>
  <si>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</si>
  <si>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</si>
  <si>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</si>
  <si>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</si>
  <si>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</si>
  <si>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</si>
  <si>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</si>
  <si>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</si>
  <si>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</si>
  <si>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</si>
  <si>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</si>
  <si>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</si>
  <si>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</si>
  <si>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</si>
  <si>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</si>
  <si>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</si>
  <si>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</si>
  <si>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</si>
  <si>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</si>
  <si>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</si>
  <si>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</si>
  <si>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</si>
  <si>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</si>
  <si>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</si>
  <si>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</si>
  <si>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</si>
  <si>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</si>
  <si>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</si>
  <si>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</si>
  <si>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</si>
  <si>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</si>
  <si>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</si>
  <si>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</si>
  <si>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</si>
  <si>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</si>
  <si>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</si>
  <si>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</si>
  <si>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</si>
  <si>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</si>
  <si>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</si>
  <si>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</si>
  <si>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</si>
  <si>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</si>
  <si>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</si>
  <si>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</si>
  <si>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</si>
  <si>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</si>
  <si>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</si>
  <si>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</si>
  <si>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</si>
  <si>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</si>
  <si>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</si>
  <si>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</si>
  <si>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</si>
  <si>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</si>
  <si>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</si>
  <si>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</si>
  <si>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</si>
  <si>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</si>
  <si>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</si>
  <si>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</si>
  <si>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</si>
  <si>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</si>
  <si>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</si>
  <si>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</si>
  <si>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</si>
  <si>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</si>
  <si>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</si>
  <si>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</si>
  <si>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</si>
  <si>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</si>
  <si>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</si>
  <si>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</si>
  <si>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</si>
  <si>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</si>
  <si>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</si>
  <si>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</si>
  <si>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</si>
  <si>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</si>
  <si>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</si>
  <si>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</si>
  <si>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</si>
  <si>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</si>
  <si>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</si>
  <si>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</si>
  <si>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</si>
  <si>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</si>
  <si>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</si>
  <si>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</si>
  <si>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</si>
  <si>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</si>
  <si>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</si>
  <si>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</si>
  <si>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</si>
  <si>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</si>
  <si>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</si>
  <si>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</si>
  <si>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</si>
  <si>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</si>
  <si>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</si>
  <si>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</si>
  <si>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</si>
  <si>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</si>
  <si>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</si>
  <si>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</si>
  <si>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</si>
  <si>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</si>
  <si>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</si>
  <si>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</si>
  <si>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</si>
  <si>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</si>
  <si>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</si>
  <si>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</si>
  <si>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</si>
  <si>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</si>
  <si>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</si>
  <si>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</si>
  <si>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</si>
  <si>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</si>
  <si>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</si>
  <si>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</si>
  <si>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</si>
  <si>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</si>
  <si>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</si>
  <si>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</si>
  <si>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</si>
  <si>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</si>
  <si>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</si>
  <si>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</si>
  <si>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</si>
  <si>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</si>
  <si>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</si>
  <si>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</si>
  <si>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</si>
  <si>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</si>
  <si>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</si>
  <si>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</si>
  <si>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</si>
  <si>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</si>
  <si>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</si>
  <si>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</si>
  <si>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</si>
  <si>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</si>
  <si>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</si>
  <si>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</si>
  <si>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</si>
  <si>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</si>
  <si>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</si>
  <si>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</si>
  <si>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</si>
  <si>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</si>
  <si>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</si>
  <si>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</si>
  <si>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</si>
  <si>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</si>
  <si>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</si>
  <si>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</si>
  <si>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</si>
  <si>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</si>
  <si>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</si>
  <si>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</si>
  <si>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</si>
  <si>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</si>
  <si>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</si>
  <si>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</si>
  <si>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</si>
  <si>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</si>
  <si>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</si>
  <si>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</si>
  <si>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</si>
  <si>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</si>
  <si>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</si>
  <si>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</si>
  <si>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</si>
  <si>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</si>
  <si>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</si>
  <si>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</si>
  <si>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</si>
  <si>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</si>
  <si>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</si>
  <si>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</si>
  <si>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</si>
  <si>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</si>
  <si>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</si>
  <si>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</si>
  <si>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</si>
  <si>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</si>
  <si>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</si>
  <si>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</si>
  <si>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</si>
  <si>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</si>
  <si>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</si>
  <si>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</si>
  <si>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</si>
  <si>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</si>
  <si>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</si>
  <si>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</si>
  <si>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</si>
  <si>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</si>
  <si>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</si>
  <si>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</si>
  <si>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</si>
  <si>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</si>
  <si>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</si>
  <si>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</si>
  <si>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</si>
  <si>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</si>
  <si>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</si>
  <si>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</si>
  <si>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</si>
  <si>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</si>
  <si>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</si>
  <si>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</si>
  <si>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</si>
  <si>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</si>
  <si>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</si>
  <si>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</si>
  <si>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</si>
  <si>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</si>
  <si>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</si>
  <si>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</si>
  <si>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</si>
  <si>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</si>
  <si>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</si>
  <si>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</si>
  <si>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</si>
  <si>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</si>
  <si>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</si>
  <si>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</si>
  <si>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</si>
  <si>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</si>
  <si>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</si>
  <si>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</si>
  <si>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</si>
  <si>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</si>
  <si>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</si>
  <si>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</si>
  <si>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</si>
  <si>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</si>
  <si>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</si>
  <si>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</si>
  <si>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</si>
  <si>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</si>
  <si>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</si>
  <si>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</si>
  <si>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</si>
  <si>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</si>
  <si>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</si>
  <si>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</si>
  <si>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</si>
  <si>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</si>
  <si>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</si>
  <si>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</si>
  <si>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</si>
  <si>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</si>
  <si>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</si>
  <si>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</si>
  <si>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</si>
  <si>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</si>
  <si>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</si>
  <si>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</si>
  <si>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</si>
  <si>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</si>
  <si>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</si>
  <si>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</si>
  <si>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</si>
  <si>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</si>
  <si>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</si>
  <si>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</si>
  <si>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</si>
  <si>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</si>
  <si>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</si>
  <si>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</si>
  <si>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</si>
  <si>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</si>
  <si>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</si>
  <si>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</si>
  <si>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</si>
  <si>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</si>
  <si>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</si>
  <si>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</si>
  <si>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</si>
  <si>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</si>
  <si>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</si>
  <si>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</si>
  <si>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</si>
  <si>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</si>
  <si>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</si>
  <si>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</si>
  <si>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</si>
  <si>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</si>
  <si>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</si>
  <si>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</si>
  <si>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</si>
  <si>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</si>
  <si>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</si>
  <si>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</si>
  <si>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</si>
  <si>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</si>
  <si>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</si>
  <si>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NAV, Unit Price and Yield as at Week Ended November 21, 2025</t>
  </si>
  <si>
    <t>Samtl Mixed Income Fund</t>
  </si>
  <si>
    <t>Samtl Fund Managers Limited</t>
  </si>
  <si>
    <t>Week Ended November 21, 2025</t>
  </si>
  <si>
    <t>WEEKLY VALUATION REPORT OF COLLECTIVE INVESTMENT SCHEMES AS AT WEEK ENDED FRIDAY, NOVEMBER 28, 2025</t>
  </si>
  <si>
    <t>NAV, Unit Price and Yield as at Week Ended November 28, 2025</t>
  </si>
  <si>
    <t>NFEM RATE NG₦/US$ as at 28th November, 2025 = N1446.7421</t>
  </si>
  <si>
    <t>Week Ended 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</si>
</sst>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1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5" fillId="21" borderId="0" applyNumberFormat="0" applyBorder="0" applyAlignment="0" applyProtection="0"/>
    <xf numFmtId="0" fontId="46" fillId="0" borderId="0"/>
    <xf numFmtId="0" fontId="43" fillId="0" borderId="0"/>
    <xf numFmtId="0" fontId="43" fillId="0" borderId="0"/>
    <xf numFmtId="0" fontId="4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194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43" fontId="6" fillId="0" borderId="0" xfId="0" applyNumberFormat="1" applyFont="1"/>
    <xf numFmtId="0" fontId="8" fillId="0" borderId="0" xfId="0" applyFont="1"/>
    <xf numFmtId="0" fontId="9" fillId="0" borderId="0" xfId="0" applyFont="1"/>
    <xf numFmtId="16" fontId="10" fillId="2" borderId="0" xfId="0" applyNumberFormat="1" applyFont="1" applyFill="1"/>
    <xf numFmtId="164" fontId="11" fillId="0" borderId="0" xfId="1" applyFont="1"/>
    <xf numFmtId="43" fontId="11" fillId="0" borderId="0" xfId="0" applyNumberFormat="1" applyFont="1"/>
    <xf numFmtId="4" fontId="11" fillId="0" borderId="0" xfId="0" applyNumberFormat="1" applyFont="1"/>
    <xf numFmtId="0" fontId="12" fillId="2" borderId="0" xfId="0" applyFont="1" applyFill="1" applyAlignment="1">
      <alignment horizontal="right"/>
    </xf>
    <xf numFmtId="16" fontId="13" fillId="2" borderId="0" xfId="0" applyNumberFormat="1" applyFont="1" applyFill="1"/>
    <xf numFmtId="0" fontId="8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4" fontId="14" fillId="2" borderId="0" xfId="0" applyNumberFormat="1" applyFont="1" applyFill="1" applyAlignment="1">
      <alignment horizontal="right"/>
    </xf>
    <xf numFmtId="164" fontId="8" fillId="2" borderId="0" xfId="1" applyFont="1" applyFill="1" applyBorder="1"/>
    <xf numFmtId="0" fontId="13" fillId="0" borderId="0" xfId="0" applyFont="1" applyAlignment="1">
      <alignment horizontal="right"/>
    </xf>
    <xf numFmtId="0" fontId="4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7" fillId="0" borderId="0" xfId="0" applyFont="1"/>
    <xf numFmtId="0" fontId="16" fillId="0" borderId="0" xfId="0" applyFont="1" applyAlignment="1">
      <alignment horizontal="right" wrapText="1"/>
    </xf>
    <xf numFmtId="4" fontId="18" fillId="2" borderId="0" xfId="0" applyNumberFormat="1" applyFont="1" applyFill="1"/>
    <xf numFmtId="4" fontId="18" fillId="2" borderId="0" xfId="0" applyNumberFormat="1" applyFont="1" applyFill="1" applyAlignment="1">
      <alignment horizontal="right"/>
    </xf>
    <xf numFmtId="164" fontId="18" fillId="2" borderId="0" xfId="1" applyFont="1" applyFill="1" applyBorder="1" applyAlignment="1">
      <alignment horizontal="right" vertical="top" wrapText="1"/>
    </xf>
    <xf numFmtId="0" fontId="19" fillId="0" borderId="0" xfId="0" applyFont="1" applyAlignment="1">
      <alignment horizontal="right" wrapText="1"/>
    </xf>
    <xf numFmtId="164" fontId="20" fillId="0" borderId="0" xfId="1" applyFont="1" applyBorder="1"/>
    <xf numFmtId="4" fontId="20" fillId="2" borderId="0" xfId="0" applyNumberFormat="1" applyFont="1" applyFill="1"/>
    <xf numFmtId="0" fontId="19" fillId="0" borderId="0" xfId="0" applyFont="1" applyAlignment="1">
      <alignment horizontal="right"/>
    </xf>
    <xf numFmtId="4" fontId="20" fillId="2" borderId="0" xfId="0" applyNumberFormat="1" applyFont="1" applyFill="1" applyAlignment="1">
      <alignment horizontal="right"/>
    </xf>
    <xf numFmtId="164" fontId="20" fillId="2" borderId="0" xfId="1" applyFont="1" applyFill="1" applyBorder="1" applyAlignment="1">
      <alignment horizontal="right" vertical="top" wrapText="1"/>
    </xf>
    <xf numFmtId="0" fontId="4" fillId="6" borderId="1" xfId="0" applyFont="1" applyFill="1" applyBorder="1"/>
    <xf numFmtId="0" fontId="22" fillId="7" borderId="1" xfId="0" applyFont="1" applyFill="1" applyBorder="1"/>
    <xf numFmtId="0" fontId="23" fillId="7" borderId="1" xfId="0" applyFont="1" applyFill="1" applyBorder="1"/>
    <xf numFmtId="0" fontId="24" fillId="3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4" fontId="27" fillId="2" borderId="1" xfId="0" applyNumberFormat="1" applyFont="1" applyFill="1" applyBorder="1"/>
    <xf numFmtId="10" fontId="27" fillId="7" borderId="1" xfId="2" applyNumberFormat="1" applyFont="1" applyFill="1" applyBorder="1" applyAlignment="1">
      <alignment horizontal="center"/>
    </xf>
    <xf numFmtId="164" fontId="27" fillId="9" borderId="1" xfId="1" applyFont="1" applyFill="1" applyBorder="1" applyAlignment="1">
      <alignment horizontal="center"/>
    </xf>
    <xf numFmtId="0" fontId="28" fillId="0" borderId="0" xfId="0" applyFont="1"/>
    <xf numFmtId="164" fontId="25" fillId="9" borderId="1" xfId="1" applyFont="1" applyFill="1" applyBorder="1" applyAlignment="1">
      <alignment horizontal="center"/>
    </xf>
    <xf numFmtId="164" fontId="27" fillId="2" borderId="1" xfId="1" applyFont="1" applyFill="1" applyBorder="1"/>
    <xf numFmtId="164" fontId="27" fillId="2" borderId="1" xfId="10" applyFont="1" applyFill="1" applyBorder="1"/>
    <xf numFmtId="4" fontId="28" fillId="0" borderId="0" xfId="0" applyNumberFormat="1" applyFont="1"/>
    <xf numFmtId="4" fontId="27" fillId="2" borderId="1" xfId="0" applyNumberFormat="1" applyFont="1" applyFill="1" applyBorder="1" applyAlignment="1">
      <alignment horizontal="right"/>
    </xf>
    <xf numFmtId="0" fontId="25" fillId="0" borderId="1" xfId="0" applyFont="1" applyBorder="1"/>
    <xf numFmtId="0" fontId="25" fillId="2" borderId="1" xfId="0" applyFont="1" applyFill="1" applyBorder="1"/>
    <xf numFmtId="0" fontId="24" fillId="2" borderId="1" xfId="0" applyFont="1" applyFill="1" applyBorder="1" applyAlignment="1">
      <alignment horizontal="right"/>
    </xf>
    <xf numFmtId="164" fontId="24" fillId="2" borderId="1" xfId="1" applyFont="1" applyFill="1" applyBorder="1" applyAlignment="1">
      <alignment horizontal="right" vertical="top" wrapText="1"/>
    </xf>
    <xf numFmtId="10" fontId="30" fillId="7" borderId="1" xfId="2" applyNumberFormat="1" applyFont="1" applyFill="1" applyBorder="1" applyAlignment="1">
      <alignment horizontal="center" vertical="top" wrapText="1"/>
    </xf>
    <xf numFmtId="10" fontId="27" fillId="2" borderId="1" xfId="2" applyNumberFormat="1" applyFont="1" applyFill="1" applyBorder="1" applyAlignment="1">
      <alignment horizontal="center" vertical="top" wrapText="1"/>
    </xf>
    <xf numFmtId="4" fontId="27" fillId="2" borderId="1" xfId="1" applyNumberFormat="1" applyFont="1" applyFill="1" applyBorder="1" applyAlignment="1">
      <alignment vertical="top" wrapText="1"/>
    </xf>
    <xf numFmtId="164" fontId="24" fillId="9" borderId="1" xfId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164" fontId="27" fillId="2" borderId="1" xfId="10" applyFont="1" applyFill="1" applyBorder="1" applyAlignment="1">
      <alignment horizontal="right"/>
    </xf>
    <xf numFmtId="4" fontId="27" fillId="2" borderId="1" xfId="1" applyNumberFormat="1" applyFont="1" applyFill="1" applyBorder="1" applyAlignment="1">
      <alignment horizontal="right"/>
    </xf>
    <xf numFmtId="164" fontId="27" fillId="9" borderId="1" xfId="1" applyFont="1" applyFill="1" applyBorder="1" applyAlignment="1">
      <alignment horizontal="center" wrapText="1"/>
    </xf>
    <xf numFmtId="164" fontId="27" fillId="2" borderId="1" xfId="1" applyFont="1" applyFill="1" applyBorder="1" applyAlignment="1">
      <alignment horizontal="right"/>
    </xf>
    <xf numFmtId="164" fontId="27" fillId="2" borderId="1" xfId="10" applyFont="1" applyFill="1" applyBorder="1" applyAlignment="1">
      <alignment horizontal="right" wrapText="1"/>
    </xf>
    <xf numFmtId="164" fontId="22" fillId="3" borderId="1" xfId="1" applyFont="1" applyFill="1" applyBorder="1" applyAlignment="1">
      <alignment horizontal="center" vertical="top"/>
    </xf>
    <xf numFmtId="10" fontId="27" fillId="9" borderId="1" xfId="2" applyNumberFormat="1" applyFont="1" applyFill="1" applyBorder="1" applyAlignment="1">
      <alignment horizontal="center"/>
    </xf>
    <xf numFmtId="10" fontId="25" fillId="9" borderId="1" xfId="2" applyNumberFormat="1" applyFont="1" applyFill="1" applyBorder="1" applyAlignment="1">
      <alignment horizontal="center"/>
    </xf>
    <xf numFmtId="10" fontId="27" fillId="9" borderId="1" xfId="2" applyNumberFormat="1" applyFont="1" applyFill="1" applyBorder="1" applyAlignment="1">
      <alignment horizontal="center" vertical="top" wrapText="1"/>
    </xf>
    <xf numFmtId="10" fontId="27" fillId="9" borderId="1" xfId="2" applyNumberFormat="1" applyFont="1" applyFill="1" applyBorder="1" applyAlignment="1">
      <alignment horizontal="center" wrapText="1"/>
    </xf>
    <xf numFmtId="10" fontId="27" fillId="7" borderId="1" xfId="2" applyNumberFormat="1" applyFont="1" applyFill="1" applyBorder="1" applyAlignment="1">
      <alignment horizontal="center" wrapText="1"/>
    </xf>
    <xf numFmtId="10" fontId="27" fillId="3" borderId="1" xfId="2" applyNumberFormat="1" applyFont="1" applyFill="1" applyBorder="1" applyAlignment="1">
      <alignment horizontal="center" vertical="top" wrapText="1"/>
    </xf>
    <xf numFmtId="10" fontId="25" fillId="3" borderId="1" xfId="2" applyNumberFormat="1" applyFont="1" applyFill="1" applyBorder="1" applyAlignment="1">
      <alignment horizontal="center" vertical="top" wrapText="1"/>
    </xf>
    <xf numFmtId="10" fontId="25" fillId="3" borderId="1" xfId="1" applyNumberFormat="1" applyFont="1" applyFill="1" applyBorder="1" applyAlignment="1">
      <alignment horizontal="center" vertical="top" wrapText="1"/>
    </xf>
    <xf numFmtId="10" fontId="31" fillId="10" borderId="0" xfId="0" applyNumberFormat="1" applyFont="1" applyFill="1" applyAlignment="1">
      <alignment horizontal="right" vertical="center" wrapText="1"/>
    </xf>
    <xf numFmtId="164" fontId="24" fillId="2" borderId="1" xfId="1" applyFont="1" applyFill="1" applyBorder="1" applyAlignment="1">
      <alignment horizontal="right"/>
    </xf>
    <xf numFmtId="2" fontId="27" fillId="2" borderId="1" xfId="0" applyNumberFormat="1" applyFont="1" applyFill="1" applyBorder="1"/>
    <xf numFmtId="164" fontId="27" fillId="2" borderId="1" xfId="10" applyFont="1" applyFill="1" applyBorder="1" applyAlignment="1">
      <alignment wrapText="1"/>
    </xf>
    <xf numFmtId="164" fontId="27" fillId="11" borderId="1" xfId="1" applyFont="1" applyFill="1" applyBorder="1" applyAlignment="1">
      <alignment horizontal="center"/>
    </xf>
    <xf numFmtId="10" fontId="27" fillId="9" borderId="1" xfId="1" applyNumberFormat="1" applyFont="1" applyFill="1" applyBorder="1" applyAlignment="1">
      <alignment horizontal="center"/>
    </xf>
    <xf numFmtId="10" fontId="27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8" fillId="0" borderId="0" xfId="1" applyFont="1"/>
    <xf numFmtId="2" fontId="0" fillId="0" borderId="0" xfId="0" applyNumberFormat="1"/>
    <xf numFmtId="165" fontId="0" fillId="0" borderId="0" xfId="0" applyNumberFormat="1"/>
    <xf numFmtId="4" fontId="33" fillId="10" borderId="0" xfId="0" applyNumberFormat="1" applyFont="1" applyFill="1" applyAlignment="1">
      <alignment horizontal="right" vertical="center" wrapText="1"/>
    </xf>
    <xf numFmtId="0" fontId="27" fillId="0" borderId="1" xfId="0" applyFont="1" applyBorder="1"/>
    <xf numFmtId="0" fontId="24" fillId="0" borderId="1" xfId="0" applyFont="1" applyBorder="1" applyAlignment="1">
      <alignment horizontal="right"/>
    </xf>
    <xf numFmtId="4" fontId="35" fillId="0" borderId="1" xfId="0" applyNumberFormat="1" applyFont="1" applyBorder="1"/>
    <xf numFmtId="0" fontId="29" fillId="2" borderId="1" xfId="0" applyFont="1" applyFill="1" applyBorder="1"/>
    <xf numFmtId="4" fontId="27" fillId="2" borderId="1" xfId="1" applyNumberFormat="1" applyFont="1" applyFill="1" applyBorder="1" applyAlignment="1">
      <alignment horizontal="right" vertical="top" wrapText="1"/>
    </xf>
    <xf numFmtId="4" fontId="27" fillId="9" borderId="1" xfId="1" applyNumberFormat="1" applyFont="1" applyFill="1" applyBorder="1" applyAlignment="1">
      <alignment horizontal="center"/>
    </xf>
    <xf numFmtId="4" fontId="27" fillId="9" borderId="1" xfId="1" applyNumberFormat="1" applyFont="1" applyFill="1" applyBorder="1" applyAlignment="1">
      <alignment horizontal="center" vertical="top" wrapText="1"/>
    </xf>
    <xf numFmtId="166" fontId="20" fillId="0" borderId="0" xfId="1" applyNumberFormat="1" applyFont="1"/>
    <xf numFmtId="4" fontId="36" fillId="0" borderId="0" xfId="0" applyNumberFormat="1" applyFont="1"/>
    <xf numFmtId="164" fontId="24" fillId="2" borderId="1" xfId="1" applyFont="1" applyFill="1" applyBorder="1"/>
    <xf numFmtId="43" fontId="27" fillId="2" borderId="1" xfId="0" applyNumberFormat="1" applyFont="1" applyFill="1" applyBorder="1"/>
    <xf numFmtId="4" fontId="27" fillId="2" borderId="1" xfId="0" applyNumberFormat="1" applyFont="1" applyFill="1" applyBorder="1" applyAlignment="1">
      <alignment horizontal="right" wrapText="1"/>
    </xf>
    <xf numFmtId="4" fontId="27" fillId="2" borderId="1" xfId="10" applyNumberFormat="1" applyFont="1" applyFill="1" applyBorder="1" applyAlignment="1">
      <alignment horizontal="right"/>
    </xf>
    <xf numFmtId="4" fontId="27" fillId="2" borderId="1" xfId="10" applyNumberFormat="1" applyFont="1" applyFill="1" applyBorder="1" applyAlignment="1">
      <alignment horizontal="right" wrapText="1"/>
    </xf>
    <xf numFmtId="4" fontId="24" fillId="9" borderId="1" xfId="1" applyNumberFormat="1" applyFont="1" applyFill="1" applyBorder="1" applyAlignment="1">
      <alignment horizontal="right" vertical="top" wrapText="1"/>
    </xf>
    <xf numFmtId="0" fontId="27" fillId="14" borderId="1" xfId="0" applyFont="1" applyFill="1" applyBorder="1" applyAlignment="1">
      <alignment horizontal="right" vertical="center"/>
    </xf>
    <xf numFmtId="0" fontId="24" fillId="14" borderId="1" xfId="0" applyFont="1" applyFill="1" applyBorder="1" applyAlignment="1">
      <alignment horizontal="right" vertical="center"/>
    </xf>
    <xf numFmtId="164" fontId="24" fillId="14" borderId="1" xfId="1" applyFont="1" applyFill="1" applyBorder="1" applyAlignment="1">
      <alignment horizontal="right" vertical="center" wrapText="1"/>
    </xf>
    <xf numFmtId="10" fontId="27" fillId="14" borderId="1" xfId="1" applyNumberFormat="1" applyFont="1" applyFill="1" applyBorder="1" applyAlignment="1">
      <alignment horizontal="right" vertical="center" wrapText="1"/>
    </xf>
    <xf numFmtId="4" fontId="27" fillId="14" borderId="1" xfId="1" applyNumberFormat="1" applyFont="1" applyFill="1" applyBorder="1" applyAlignment="1">
      <alignment horizontal="right" vertical="center" wrapText="1"/>
    </xf>
    <xf numFmtId="164" fontId="24" fillId="14" borderId="1" xfId="1" applyFont="1" applyFill="1" applyBorder="1" applyAlignment="1">
      <alignment horizontal="right" vertical="top" wrapText="1"/>
    </xf>
    <xf numFmtId="4" fontId="27" fillId="2" borderId="1" xfId="10" applyNumberFormat="1" applyFont="1" applyFill="1" applyBorder="1" applyAlignment="1">
      <alignment horizontal="right" vertical="top" wrapText="1"/>
    </xf>
    <xf numFmtId="164" fontId="37" fillId="14" borderId="1" xfId="1" applyFont="1" applyFill="1" applyBorder="1" applyAlignment="1">
      <alignment horizontal="right" vertical="top" wrapText="1"/>
    </xf>
    <xf numFmtId="4" fontId="27" fillId="14" borderId="1" xfId="1" applyNumberFormat="1" applyFont="1" applyFill="1" applyBorder="1" applyAlignment="1">
      <alignment horizontal="right" vertical="top" wrapText="1"/>
    </xf>
    <xf numFmtId="164" fontId="27" fillId="2" borderId="1" xfId="10" applyFont="1" applyFill="1" applyBorder="1" applyAlignment="1">
      <alignment horizontal="right" vertical="top" wrapText="1"/>
    </xf>
    <xf numFmtId="10" fontId="27" fillId="7" borderId="1" xfId="2" applyNumberFormat="1" applyFont="1" applyFill="1" applyBorder="1" applyAlignment="1">
      <alignment horizontal="center" vertical="top" wrapText="1"/>
    </xf>
    <xf numFmtId="164" fontId="27" fillId="9" borderId="1" xfId="1" applyFont="1" applyFill="1" applyBorder="1" applyAlignment="1">
      <alignment horizontal="center" vertical="top" wrapText="1"/>
    </xf>
    <xf numFmtId="164" fontId="27" fillId="2" borderId="1" xfId="1" applyFont="1" applyFill="1" applyBorder="1" applyAlignment="1">
      <alignment horizontal="right" vertical="top" wrapText="1"/>
    </xf>
    <xf numFmtId="43" fontId="27" fillId="9" borderId="1" xfId="0" applyNumberFormat="1" applyFont="1" applyFill="1" applyBorder="1" applyAlignment="1">
      <alignment horizontal="center"/>
    </xf>
    <xf numFmtId="9" fontId="27" fillId="14" borderId="1" xfId="2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top" wrapText="1"/>
    </xf>
    <xf numFmtId="10" fontId="27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5" fillId="14" borderId="1" xfId="2" applyNumberFormat="1" applyFont="1" applyFill="1" applyBorder="1" applyAlignment="1">
      <alignment horizontal="center" vertical="top" wrapText="1"/>
    </xf>
    <xf numFmtId="167" fontId="25" fillId="14" borderId="1" xfId="2" applyNumberFormat="1" applyFont="1" applyFill="1" applyBorder="1" applyAlignment="1">
      <alignment horizontal="center" vertical="top" wrapText="1"/>
    </xf>
    <xf numFmtId="10" fontId="25" fillId="14" borderId="1" xfId="1" applyNumberFormat="1" applyFont="1" applyFill="1" applyBorder="1" applyAlignment="1">
      <alignment horizontal="center" vertical="top" wrapText="1"/>
    </xf>
    <xf numFmtId="0" fontId="27" fillId="14" borderId="1" xfId="0" applyFont="1" applyFill="1" applyBorder="1" applyAlignment="1">
      <alignment horizontal="right"/>
    </xf>
    <xf numFmtId="0" fontId="24" fillId="14" borderId="1" xfId="0" applyFont="1" applyFill="1" applyBorder="1" applyAlignment="1">
      <alignment horizontal="right"/>
    </xf>
    <xf numFmtId="0" fontId="27" fillId="15" borderId="1" xfId="0" applyFont="1" applyFill="1" applyBorder="1" applyAlignment="1">
      <alignment horizontal="right" vertical="top" wrapText="1"/>
    </xf>
    <xf numFmtId="0" fontId="34" fillId="15" borderId="1" xfId="0" applyFont="1" applyFill="1" applyBorder="1" applyAlignment="1">
      <alignment horizontal="right" vertical="top" wrapText="1"/>
    </xf>
    <xf numFmtId="164" fontId="34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8" fillId="5" borderId="1" xfId="0" applyFont="1" applyFill="1" applyBorder="1" applyAlignment="1">
      <alignment horizontal="right" vertical="center"/>
    </xf>
    <xf numFmtId="0" fontId="38" fillId="5" borderId="1" xfId="0" applyFont="1" applyFill="1" applyBorder="1" applyAlignment="1">
      <alignment horizontal="left" vertical="center"/>
    </xf>
    <xf numFmtId="0" fontId="8" fillId="5" borderId="1" xfId="0" applyFont="1" applyFill="1" applyBorder="1"/>
    <xf numFmtId="0" fontId="39" fillId="0" borderId="0" xfId="0" applyFont="1"/>
    <xf numFmtId="0" fontId="40" fillId="0" borderId="0" xfId="0" applyFont="1"/>
    <xf numFmtId="43" fontId="0" fillId="0" borderId="0" xfId="0" applyNumberFormat="1"/>
    <xf numFmtId="0" fontId="41" fillId="0" borderId="0" xfId="0" applyFont="1"/>
    <xf numFmtId="0" fontId="29" fillId="2" borderId="0" xfId="0" applyFont="1" applyFill="1" applyAlignment="1">
      <alignment wrapText="1"/>
    </xf>
    <xf numFmtId="43" fontId="41" fillId="0" borderId="0" xfId="16" applyFont="1" applyBorder="1"/>
    <xf numFmtId="2" fontId="41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1" fillId="0" borderId="0" xfId="2" applyNumberFormat="1" applyFont="1" applyBorder="1"/>
    <xf numFmtId="10" fontId="42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7" fillId="15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49" fillId="0" borderId="0" xfId="0" applyFont="1"/>
    <xf numFmtId="0" fontId="27" fillId="0" borderId="1" xfId="0" applyFont="1" applyBorder="1" applyAlignment="1">
      <alignment horizontal="center" vertical="center"/>
    </xf>
    <xf numFmtId="4" fontId="27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wrapText="1"/>
    </xf>
    <xf numFmtId="0" fontId="27" fillId="0" borderId="1" xfId="0" applyFont="1" applyBorder="1" applyAlignment="1">
      <alignment horizontal="center"/>
    </xf>
    <xf numFmtId="4" fontId="27" fillId="2" borderId="1" xfId="44" applyNumberFormat="1" applyFont="1" applyFill="1" applyBorder="1" applyAlignment="1">
      <alignment wrapText="1"/>
    </xf>
    <xf numFmtId="0" fontId="27" fillId="2" borderId="1" xfId="0" applyFont="1" applyFill="1" applyBorder="1" applyAlignment="1">
      <alignment horizontal="center"/>
    </xf>
    <xf numFmtId="49" fontId="27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wrapText="1"/>
    </xf>
    <xf numFmtId="4" fontId="25" fillId="0" borderId="0" xfId="0" applyNumberFormat="1" applyFont="1"/>
    <xf numFmtId="0" fontId="27" fillId="2" borderId="1" xfId="0" applyFont="1" applyFill="1" applyBorder="1" applyAlignment="1">
      <alignment horizontal="left" wrapText="1"/>
    </xf>
    <xf numFmtId="0" fontId="6" fillId="2" borderId="0" xfId="0" applyFont="1" applyFill="1"/>
    <xf numFmtId="4" fontId="3" fillId="2" borderId="0" xfId="0" applyNumberFormat="1" applyFont="1" applyFill="1"/>
    <xf numFmtId="164" fontId="3" fillId="2" borderId="0" xfId="1" applyFont="1" applyFill="1" applyBorder="1" applyAlignment="1">
      <alignment horizontal="right" vertical="top" wrapText="1"/>
    </xf>
    <xf numFmtId="4" fontId="3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50" fillId="0" borderId="0" xfId="0" applyFont="1"/>
    <xf numFmtId="0" fontId="21" fillId="5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top" wrapText="1"/>
    </xf>
    <xf numFmtId="0" fontId="26" fillId="8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32" fillId="12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34" fillId="13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November 21,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76.470658139095391</c:v>
                </c:pt>
                <c:pt idx="1">
                  <c:v>4500.5629984870648</c:v>
                </c:pt>
                <c:pt idx="2">
                  <c:v>242.65278046949624</c:v>
                </c:pt>
                <c:pt idx="3">
                  <c:v>1905.4777039342475</c:v>
                </c:pt>
                <c:pt idx="4">
                  <c:v>372.91442152118776</c:v>
                </c:pt>
                <c:pt idx="5" formatCode="_-* #,##0.00_-;\-* #,##0.00_-;_-* &quot;-&quot;??_-;_-@_-">
                  <c:v>80.018041766047276</c:v>
                </c:pt>
                <c:pt idx="6">
                  <c:v>8.1222507164</c:v>
                </c:pt>
                <c:pt idx="7">
                  <c:v>73.712156820881788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November 28,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76.454466515944091</c:v>
                </c:pt>
                <c:pt idx="1">
                  <c:v>4552.3300924383484</c:v>
                </c:pt>
                <c:pt idx="2">
                  <c:v>243.66597265449658</c:v>
                </c:pt>
                <c:pt idx="3">
                  <c:v>1901.0283025932881</c:v>
                </c:pt>
                <c:pt idx="4">
                  <c:v>480.11818681235258</c:v>
                </c:pt>
                <c:pt idx="5" formatCode="_-* #,##0.00_-;\-* #,##0.00_-;_-* &quot;-&quot;??_-;_-@_-">
                  <c:v>80.347740959834056</c:v>
                </c:pt>
                <c:pt idx="6">
                  <c:v>8.1374101051800007</c:v>
                </c:pt>
                <c:pt idx="7">
                  <c:v>74.458988396700391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28342400"/>
        <c:axId val="128337696"/>
      </c:barChart>
      <c:catAx>
        <c:axId val="12834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28337696"/>
        <c:crosses val="autoZero"/>
        <c:auto val="1"/>
        <c:lblAlgn val="ctr"/>
        <c:lblOffset val="100"/>
        <c:noMultiLvlLbl val="0"/>
      </c:catAx>
      <c:valAx>
        <c:axId val="12833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2834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28TH NOVEMBER,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1629045880711"/>
          <c:y val="1.43638007281235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28-Nov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044016500962"/>
                  <c:y val="9.2134339331788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8137410105.1800003</c:v>
                </c:pt>
                <c:pt idx="1">
                  <c:v>76454466515.944092</c:v>
                </c:pt>
                <c:pt idx="2" formatCode="_-* #,##0.00_-;\-* #,##0.00_-;_-* &quot;-&quot;??_-;_-@_-">
                  <c:v>74458988396.700394</c:v>
                </c:pt>
                <c:pt idx="3">
                  <c:v>80347740959.834061</c:v>
                </c:pt>
                <c:pt idx="4">
                  <c:v>480118186812.3526</c:v>
                </c:pt>
                <c:pt idx="5">
                  <c:v>243665972654.49658</c:v>
                </c:pt>
                <c:pt idx="6">
                  <c:v>1901028302593.2881</c:v>
                </c:pt>
                <c:pt idx="7">
                  <c:v>4552330092438.3486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45940</c:v>
                </c:pt>
                <c:pt idx="1">
                  <c:v>45947</c:v>
                </c:pt>
                <c:pt idx="2">
                  <c:v>45954</c:v>
                </c:pt>
                <c:pt idx="3">
                  <c:v>45961</c:v>
                </c:pt>
                <c:pt idx="4">
                  <c:v>45968</c:v>
                </c:pt>
                <c:pt idx="5">
                  <c:v>45975</c:v>
                </c:pt>
                <c:pt idx="6">
                  <c:v>45982</c:v>
                </c:pt>
                <c:pt idx="7">
                  <c:v>45989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6925.6615260417648</c:v>
                </c:pt>
                <c:pt idx="1">
                  <c:v>7020.2119881351573</c:v>
                </c:pt>
                <c:pt idx="2">
                  <c:v>7084.74766079442</c:v>
                </c:pt>
                <c:pt idx="3">
                  <c:v>7104.7215850315024</c:v>
                </c:pt>
                <c:pt idx="4">
                  <c:v>7157.322477516268</c:v>
                </c:pt>
                <c:pt idx="5">
                  <c:v>7224.9660672128502</c:v>
                </c:pt>
                <c:pt idx="6">
                  <c:v>7259.9310118544208</c:v>
                </c:pt>
                <c:pt idx="7">
                  <c:v>7416.5411604761439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8338088"/>
        <c:axId val="128340440"/>
      </c:lineChart>
      <c:dateAx>
        <c:axId val="1283380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40440"/>
        <c:crosses val="autoZero"/>
        <c:auto val="1"/>
        <c:lblOffset val="100"/>
        <c:baseTimeUnit val="days"/>
      </c:dateAx>
      <c:valAx>
        <c:axId val="12834044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3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45940</c:v>
                </c:pt>
                <c:pt idx="1">
                  <c:v>45947</c:v>
                </c:pt>
                <c:pt idx="2">
                  <c:v>45954</c:v>
                </c:pt>
                <c:pt idx="3">
                  <c:v>45961</c:v>
                </c:pt>
                <c:pt idx="4">
                  <c:v>45968</c:v>
                </c:pt>
                <c:pt idx="5">
                  <c:v>45975</c:v>
                </c:pt>
                <c:pt idx="6">
                  <c:v>45982</c:v>
                </c:pt>
                <c:pt idx="7">
                  <c:v>45989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17.54959499956</c:v>
                </c:pt>
                <c:pt idx="1">
                  <c:v>17.680301749159998</c:v>
                </c:pt>
                <c:pt idx="2">
                  <c:v>18.29339423531</c:v>
                </c:pt>
                <c:pt idx="3">
                  <c:v>17.97007204989</c:v>
                </c:pt>
                <c:pt idx="4">
                  <c:v>17.390304867240001</c:v>
                </c:pt>
                <c:pt idx="5">
                  <c:v>17.29912062779</c:v>
                </c:pt>
                <c:pt idx="6">
                  <c:v>16.915814556049998</c:v>
                </c:pt>
                <c:pt idx="7">
                  <c:v>16.97292700869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8343576"/>
        <c:axId val="128342008"/>
      </c:lineChart>
      <c:dateAx>
        <c:axId val="12834357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42008"/>
        <c:crosses val="autoZero"/>
        <c:auto val="1"/>
        <c:lblOffset val="100"/>
        <c:baseTimeUnit val="days"/>
      </c:dateAx>
      <c:valAx>
        <c:axId val="12834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43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7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3" t="s">
        <v>332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spans="1:25" ht="14.4" customHeight="1">
      <c r="A2" s="49"/>
      <c r="B2" s="50"/>
      <c r="C2" s="51"/>
      <c r="D2" s="184" t="s">
        <v>328</v>
      </c>
      <c r="E2" s="184"/>
      <c r="F2" s="184"/>
      <c r="G2" s="184"/>
      <c r="H2" s="184"/>
      <c r="I2" s="184"/>
      <c r="J2" s="184"/>
      <c r="K2" s="184" t="s">
        <v>333</v>
      </c>
      <c r="L2" s="184"/>
      <c r="M2" s="184"/>
      <c r="N2" s="184"/>
      <c r="O2" s="184"/>
      <c r="P2" s="184"/>
      <c r="Q2" s="184"/>
      <c r="R2" s="184" t="s">
        <v>0</v>
      </c>
      <c r="S2" s="184"/>
      <c r="T2" s="184"/>
      <c r="U2" s="184" t="s">
        <v>1</v>
      </c>
      <c r="V2" s="184"/>
    </row>
    <row r="3" spans="1:25" ht="20.399999999999999">
      <c r="A3" s="52" t="s">
        <v>2</v>
      </c>
      <c r="B3" s="53" t="s">
        <v>3</v>
      </c>
      <c r="C3" s="54" t="s">
        <v>4</v>
      </c>
      <c r="D3" s="55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81" t="s">
        <v>5</v>
      </c>
      <c r="L3" s="56" t="s">
        <v>6</v>
      </c>
      <c r="M3" s="56" t="s">
        <v>12</v>
      </c>
      <c r="N3" s="56" t="s">
        <v>8</v>
      </c>
      <c r="O3" s="56" t="s">
        <v>9</v>
      </c>
      <c r="P3" s="56" t="s">
        <v>10</v>
      </c>
      <c r="Q3" s="56" t="s">
        <v>11</v>
      </c>
      <c r="R3" s="55" t="s">
        <v>13</v>
      </c>
      <c r="S3" s="56" t="s">
        <v>14</v>
      </c>
      <c r="T3" s="56" t="s">
        <v>15</v>
      </c>
      <c r="U3" s="56" t="s">
        <v>16</v>
      </c>
      <c r="V3" s="56" t="s">
        <v>17</v>
      </c>
    </row>
    <row r="4" spans="1:25" ht="5.25" customHeight="1">
      <c r="A4" s="57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25" ht="15" customHeight="1">
      <c r="A5" s="186" t="s">
        <v>18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5">
      <c r="A6" s="166">
        <v>1</v>
      </c>
      <c r="B6" s="167" t="s">
        <v>19</v>
      </c>
      <c r="C6" s="168" t="s">
        <v>20</v>
      </c>
      <c r="D6" s="58">
        <v>4100622295.48</v>
      </c>
      <c r="E6" s="59">
        <f t="shared" ref="E6:E22" si="0">(D6/$D$25)</f>
        <v>5.3623473306862637E-2</v>
      </c>
      <c r="F6" s="58">
        <v>577.06790000000001</v>
      </c>
      <c r="G6" s="58">
        <v>581.80250000000001</v>
      </c>
      <c r="H6" s="60">
        <v>1695</v>
      </c>
      <c r="I6" s="82">
        <v>-2.2499999999999999E-2</v>
      </c>
      <c r="J6" s="82">
        <v>0.45169999999999999</v>
      </c>
      <c r="K6" s="58">
        <v>4018023544.1399999</v>
      </c>
      <c r="L6" s="59">
        <f t="shared" ref="L6:L21" si="1">(K6/$K$25)</f>
        <v>5.2554464470719535E-2</v>
      </c>
      <c r="M6" s="58">
        <v>580.1721</v>
      </c>
      <c r="N6" s="58">
        <v>585.39779999999996</v>
      </c>
      <c r="O6" s="60">
        <v>1695</v>
      </c>
      <c r="P6" s="82">
        <v>5.4000000000000003E-3</v>
      </c>
      <c r="Q6" s="82">
        <v>0.45950000000000002</v>
      </c>
      <c r="R6" s="87">
        <f>((K6-D6)/D6)</f>
        <v>-2.0142979623128523E-2</v>
      </c>
      <c r="S6" s="87">
        <f>((N6-G6)/G6)</f>
        <v>6.1795884342194336E-3</v>
      </c>
      <c r="T6" s="87">
        <f>((O6-H6)/H6)</f>
        <v>0</v>
      </c>
      <c r="U6" s="88">
        <f>P6-I6</f>
        <v>2.7900000000000001E-2</v>
      </c>
      <c r="V6" s="89">
        <f>Q6-J6</f>
        <v>7.8000000000000291E-3</v>
      </c>
    </row>
    <row r="7" spans="1:25">
      <c r="A7" s="166">
        <v>2</v>
      </c>
      <c r="B7" s="167" t="s">
        <v>21</v>
      </c>
      <c r="C7" s="168" t="s">
        <v>22</v>
      </c>
      <c r="D7" s="58">
        <v>1135945286.03</v>
      </c>
      <c r="E7" s="59">
        <f t="shared" si="0"/>
        <v>1.4854655545971446E-2</v>
      </c>
      <c r="F7" s="58">
        <v>389.77699999999999</v>
      </c>
      <c r="G7" s="58">
        <v>394.29739999999998</v>
      </c>
      <c r="H7" s="60">
        <v>617</v>
      </c>
      <c r="I7" s="82">
        <v>-1.467E-3</v>
      </c>
      <c r="J7" s="82">
        <v>0.51359999999999995</v>
      </c>
      <c r="K7" s="58">
        <v>1122608827.0599999</v>
      </c>
      <c r="L7" s="59">
        <f t="shared" si="1"/>
        <v>1.4683364860388988E-2</v>
      </c>
      <c r="M7" s="58">
        <v>387.18630000000002</v>
      </c>
      <c r="N7" s="58">
        <v>391.16050000000001</v>
      </c>
      <c r="O7" s="60">
        <v>618</v>
      </c>
      <c r="P7" s="82">
        <v>4.3779999999999999E-3</v>
      </c>
      <c r="Q7" s="82">
        <v>0.50360000000000005</v>
      </c>
      <c r="R7" s="87">
        <f t="shared" ref="R7:R25" si="2">((K7-D7)/D7)</f>
        <v>-1.1740406104073411E-2</v>
      </c>
      <c r="S7" s="87">
        <f t="shared" ref="S7:S25" si="3">((N7-G7)/G7)</f>
        <v>-7.9556700094902191E-3</v>
      </c>
      <c r="T7" s="87">
        <f t="shared" ref="T7:T25" si="4">((O7-H7)/H7)</f>
        <v>1.6207455429497568E-3</v>
      </c>
      <c r="U7" s="88">
        <f t="shared" ref="U7:U25" si="5">P7-I7</f>
        <v>5.8449999999999995E-3</v>
      </c>
      <c r="V7" s="89">
        <f t="shared" ref="V7:V25" si="6">Q7-J7</f>
        <v>-9.9999999999998979E-3</v>
      </c>
    </row>
    <row r="8" spans="1:25">
      <c r="A8" s="166">
        <v>3</v>
      </c>
      <c r="B8" s="167" t="s">
        <v>23</v>
      </c>
      <c r="C8" s="168" t="s">
        <v>24</v>
      </c>
      <c r="D8" s="58">
        <v>6713332184.6199999</v>
      </c>
      <c r="E8" s="59">
        <f t="shared" si="0"/>
        <v>8.7789648317252139E-2</v>
      </c>
      <c r="F8" s="58">
        <v>49.565600000000003</v>
      </c>
      <c r="G8" s="61">
        <v>51.060099999999998</v>
      </c>
      <c r="H8" s="62">
        <v>8199</v>
      </c>
      <c r="I8" s="83">
        <v>-0.86150000000000004</v>
      </c>
      <c r="J8" s="83">
        <v>0.44700000000000001</v>
      </c>
      <c r="K8" s="58">
        <v>6775168634.0799999</v>
      </c>
      <c r="L8" s="59">
        <f t="shared" si="1"/>
        <v>8.8617041525848358E-2</v>
      </c>
      <c r="M8" s="58">
        <v>49.7729</v>
      </c>
      <c r="N8" s="61">
        <v>51.273600000000002</v>
      </c>
      <c r="O8" s="62">
        <v>8265</v>
      </c>
      <c r="P8" s="83">
        <v>0.218</v>
      </c>
      <c r="Q8" s="83">
        <v>0.44400000000000001</v>
      </c>
      <c r="R8" s="87">
        <f t="shared" si="2"/>
        <v>9.2109920616866084E-3</v>
      </c>
      <c r="S8" s="87">
        <f t="shared" si="3"/>
        <v>4.1813470792263106E-3</v>
      </c>
      <c r="T8" s="87">
        <f t="shared" si="4"/>
        <v>8.0497621661178194E-3</v>
      </c>
      <c r="U8" s="88">
        <f t="shared" si="5"/>
        <v>1.0795000000000001</v>
      </c>
      <c r="V8" s="89">
        <f t="shared" si="6"/>
        <v>-3.0000000000000027E-3</v>
      </c>
      <c r="X8" s="90"/>
      <c r="Y8" s="90"/>
    </row>
    <row r="9" spans="1:25">
      <c r="A9" s="166">
        <v>4</v>
      </c>
      <c r="B9" s="167" t="s">
        <v>25</v>
      </c>
      <c r="C9" s="168" t="s">
        <v>26</v>
      </c>
      <c r="D9" s="58">
        <v>1119691531.6099999</v>
      </c>
      <c r="E9" s="59">
        <f t="shared" si="0"/>
        <v>1.4642106644006518E-2</v>
      </c>
      <c r="F9" s="58">
        <v>238.4658</v>
      </c>
      <c r="G9" s="58">
        <v>238.4658</v>
      </c>
      <c r="H9" s="60">
        <v>2246</v>
      </c>
      <c r="I9" s="82">
        <v>-2.9499999999999998E-2</v>
      </c>
      <c r="J9" s="82">
        <v>0.24340000000000001</v>
      </c>
      <c r="K9" s="58">
        <v>1105369092.0899999</v>
      </c>
      <c r="L9" s="59">
        <f t="shared" si="1"/>
        <v>1.4457874633910135E-2</v>
      </c>
      <c r="M9" s="58">
        <v>237.97919999999999</v>
      </c>
      <c r="N9" s="58">
        <v>237.97919999999999</v>
      </c>
      <c r="O9" s="60">
        <v>2252</v>
      </c>
      <c r="P9" s="82">
        <v>-2E-3</v>
      </c>
      <c r="Q9" s="82">
        <v>0.2412</v>
      </c>
      <c r="R9" s="87">
        <f t="shared" si="2"/>
        <v>-1.2791415417249609E-2</v>
      </c>
      <c r="S9" s="87">
        <f t="shared" si="3"/>
        <v>-2.0405441786621389E-3</v>
      </c>
      <c r="T9" s="87">
        <f t="shared" si="4"/>
        <v>2.6714158504007124E-3</v>
      </c>
      <c r="U9" s="88">
        <f t="shared" si="5"/>
        <v>2.7499999999999997E-2</v>
      </c>
      <c r="V9" s="89">
        <f t="shared" si="6"/>
        <v>-2.2000000000000075E-3</v>
      </c>
    </row>
    <row r="10" spans="1:25">
      <c r="A10" s="166">
        <v>5</v>
      </c>
      <c r="B10" s="167" t="s">
        <v>27</v>
      </c>
      <c r="C10" s="168" t="s">
        <v>28</v>
      </c>
      <c r="D10" s="58">
        <v>2219273665.6799998</v>
      </c>
      <c r="E10" s="59">
        <f t="shared" si="0"/>
        <v>2.9021244483645979E-2</v>
      </c>
      <c r="F10" s="58">
        <v>1.6411</v>
      </c>
      <c r="G10" s="58">
        <v>1.6614</v>
      </c>
      <c r="H10" s="60">
        <v>945</v>
      </c>
      <c r="I10" s="82">
        <v>1.84E-2</v>
      </c>
      <c r="J10" s="82">
        <v>0.39119999999999999</v>
      </c>
      <c r="K10" s="58">
        <v>2235055865.1399999</v>
      </c>
      <c r="L10" s="59">
        <f t="shared" si="1"/>
        <v>2.9233816766923527E-2</v>
      </c>
      <c r="M10" s="58">
        <v>1.6497999999999999</v>
      </c>
      <c r="N10" s="58">
        <v>1.6694</v>
      </c>
      <c r="O10" s="60">
        <v>945</v>
      </c>
      <c r="P10" s="82">
        <v>5.1000000000000004E-3</v>
      </c>
      <c r="Q10" s="82">
        <v>0.3962</v>
      </c>
      <c r="R10" s="87">
        <f t="shared" si="2"/>
        <v>7.1114255551553481E-3</v>
      </c>
      <c r="S10" s="87">
        <f t="shared" si="3"/>
        <v>4.8152160828217206E-3</v>
      </c>
      <c r="T10" s="87">
        <f t="shared" si="4"/>
        <v>0</v>
      </c>
      <c r="U10" s="88">
        <f t="shared" si="5"/>
        <v>-1.3299999999999999E-2</v>
      </c>
      <c r="V10" s="89">
        <f t="shared" si="6"/>
        <v>5.0000000000000044E-3</v>
      </c>
    </row>
    <row r="11" spans="1:25">
      <c r="A11" s="166">
        <v>6</v>
      </c>
      <c r="B11" s="167" t="s">
        <v>29</v>
      </c>
      <c r="C11" s="168" t="s">
        <v>30</v>
      </c>
      <c r="D11" s="63">
        <v>193788209.21000001</v>
      </c>
      <c r="E11" s="59">
        <f t="shared" si="0"/>
        <v>2.534151188518755E-3</v>
      </c>
      <c r="F11" s="58">
        <v>205.43729999999999</v>
      </c>
      <c r="G11" s="58">
        <v>207.227</v>
      </c>
      <c r="H11" s="62">
        <v>102</v>
      </c>
      <c r="I11" s="83">
        <v>-2.8089999999999999E-3</v>
      </c>
      <c r="J11" s="83">
        <v>0.252</v>
      </c>
      <c r="K11" s="63">
        <v>246076633.80000001</v>
      </c>
      <c r="L11" s="59">
        <f t="shared" si="1"/>
        <v>3.2186037652709577E-3</v>
      </c>
      <c r="M11" s="58">
        <v>206.78440000000001</v>
      </c>
      <c r="N11" s="58">
        <v>208.20920000000001</v>
      </c>
      <c r="O11" s="62">
        <v>104</v>
      </c>
      <c r="P11" s="83">
        <v>1.3489999999999999E-3</v>
      </c>
      <c r="Q11" s="83">
        <v>0.25979999999999998</v>
      </c>
      <c r="R11" s="87">
        <f t="shared" si="2"/>
        <v>0.26982252843534599</v>
      </c>
      <c r="S11" s="87">
        <f t="shared" si="3"/>
        <v>4.7397298614563063E-3</v>
      </c>
      <c r="T11" s="87">
        <f t="shared" si="4"/>
        <v>1.9607843137254902E-2</v>
      </c>
      <c r="U11" s="88">
        <f t="shared" si="5"/>
        <v>4.1580000000000002E-3</v>
      </c>
      <c r="V11" s="89">
        <f t="shared" si="6"/>
        <v>7.7999999999999736E-3</v>
      </c>
    </row>
    <row r="12" spans="1:25">
      <c r="A12" s="166">
        <v>7</v>
      </c>
      <c r="B12" s="167" t="s">
        <v>31</v>
      </c>
      <c r="C12" s="168" t="s">
        <v>32</v>
      </c>
      <c r="D12" s="58">
        <v>2570659829.5700002</v>
      </c>
      <c r="E12" s="59">
        <f t="shared" si="0"/>
        <v>3.3616290118677006E-2</v>
      </c>
      <c r="F12" s="58">
        <v>427.2</v>
      </c>
      <c r="G12" s="58">
        <v>433.47</v>
      </c>
      <c r="H12" s="62">
        <v>1839</v>
      </c>
      <c r="I12" s="83">
        <v>-0.13389999999999999</v>
      </c>
      <c r="J12" s="83">
        <v>0.49009999999999998</v>
      </c>
      <c r="K12" s="58">
        <v>2623047588.21</v>
      </c>
      <c r="L12" s="59">
        <f t="shared" si="1"/>
        <v>3.4308624567578147E-2</v>
      </c>
      <c r="M12" s="58">
        <v>429.67</v>
      </c>
      <c r="N12" s="58">
        <v>435.88</v>
      </c>
      <c r="O12" s="62">
        <v>1850</v>
      </c>
      <c r="P12" s="83">
        <v>5.7000000000000002E-3</v>
      </c>
      <c r="Q12" s="83">
        <v>0.49769999999999998</v>
      </c>
      <c r="R12" s="87">
        <f t="shared" si="2"/>
        <v>2.037910968903376E-2</v>
      </c>
      <c r="S12" s="87">
        <f t="shared" si="3"/>
        <v>5.5597849908874154E-3</v>
      </c>
      <c r="T12" s="87">
        <f t="shared" si="4"/>
        <v>5.9815116911364876E-3</v>
      </c>
      <c r="U12" s="88">
        <f t="shared" si="5"/>
        <v>0.1396</v>
      </c>
      <c r="V12" s="89">
        <f t="shared" si="6"/>
        <v>7.5999999999999956E-3</v>
      </c>
    </row>
    <row r="13" spans="1:25">
      <c r="A13" s="166">
        <v>8</v>
      </c>
      <c r="B13" s="167" t="s">
        <v>33</v>
      </c>
      <c r="C13" s="168" t="s">
        <v>34</v>
      </c>
      <c r="D13" s="64">
        <v>487426088.44999999</v>
      </c>
      <c r="E13" s="59">
        <f t="shared" si="0"/>
        <v>6.3740276376777361E-3</v>
      </c>
      <c r="F13" s="58">
        <v>242.66</v>
      </c>
      <c r="G13" s="58">
        <v>253.15</v>
      </c>
      <c r="H13" s="60">
        <v>2469</v>
      </c>
      <c r="I13" s="82">
        <v>-2.9700000000000001E-2</v>
      </c>
      <c r="J13" s="82">
        <v>0.14580000000000001</v>
      </c>
      <c r="K13" s="64">
        <v>487223356.20999998</v>
      </c>
      <c r="L13" s="59">
        <f t="shared" si="1"/>
        <v>6.3727258643338077E-3</v>
      </c>
      <c r="M13" s="58">
        <v>242.46</v>
      </c>
      <c r="N13" s="58">
        <v>253.04</v>
      </c>
      <c r="O13" s="60">
        <v>2469</v>
      </c>
      <c r="P13" s="82">
        <v>-8.0000000000000004E-4</v>
      </c>
      <c r="Q13" s="82">
        <v>0.14480000000000001</v>
      </c>
      <c r="R13" s="87">
        <f t="shared" si="2"/>
        <v>-4.1592406480476217E-4</v>
      </c>
      <c r="S13" s="87">
        <f t="shared" si="3"/>
        <v>-4.3452498518670212E-4</v>
      </c>
      <c r="T13" s="87">
        <f t="shared" si="4"/>
        <v>0</v>
      </c>
      <c r="U13" s="88">
        <f t="shared" si="5"/>
        <v>2.8900000000000002E-2</v>
      </c>
      <c r="V13" s="89">
        <f t="shared" si="6"/>
        <v>-1.0000000000000009E-3</v>
      </c>
    </row>
    <row r="14" spans="1:25">
      <c r="A14" s="166">
        <v>9</v>
      </c>
      <c r="B14" s="167" t="s">
        <v>35</v>
      </c>
      <c r="C14" s="168" t="s">
        <v>36</v>
      </c>
      <c r="D14" s="63">
        <v>86334377.6954</v>
      </c>
      <c r="E14" s="59">
        <f t="shared" si="0"/>
        <v>1.1289869839796998E-3</v>
      </c>
      <c r="F14" s="58">
        <v>307.87479999999999</v>
      </c>
      <c r="G14" s="58">
        <v>315.81819999999999</v>
      </c>
      <c r="H14" s="60">
        <v>23</v>
      </c>
      <c r="I14" s="82">
        <v>-2.7400000000000001E-2</v>
      </c>
      <c r="J14" s="82">
        <v>0.38919999999999999</v>
      </c>
      <c r="K14" s="63">
        <v>86949080.614099994</v>
      </c>
      <c r="L14" s="59">
        <f t="shared" si="1"/>
        <v>1.137266200084822E-3</v>
      </c>
      <c r="M14" s="58">
        <v>309.3972</v>
      </c>
      <c r="N14" s="58">
        <v>317.37959999999998</v>
      </c>
      <c r="O14" s="60">
        <v>29</v>
      </c>
      <c r="P14" s="82">
        <v>4.8999999999999998E-3</v>
      </c>
      <c r="Q14" s="82">
        <v>0.39600000000000002</v>
      </c>
      <c r="R14" s="87">
        <f t="shared" si="2"/>
        <v>7.1200248974835293E-3</v>
      </c>
      <c r="S14" s="87">
        <f t="shared" si="3"/>
        <v>4.9439835956255592E-3</v>
      </c>
      <c r="T14" s="87">
        <f t="shared" si="4"/>
        <v>0.2608695652173913</v>
      </c>
      <c r="U14" s="88">
        <f t="shared" si="5"/>
        <v>3.2300000000000002E-2</v>
      </c>
      <c r="V14" s="89">
        <f t="shared" si="6"/>
        <v>6.8000000000000282E-3</v>
      </c>
    </row>
    <row r="15" spans="1:25" ht="14.25" customHeight="1">
      <c r="A15" s="166">
        <v>10</v>
      </c>
      <c r="B15" s="167" t="s">
        <v>37</v>
      </c>
      <c r="C15" s="168" t="s">
        <v>38</v>
      </c>
      <c r="D15" s="64">
        <v>2671453416.6900001</v>
      </c>
      <c r="E15" s="59">
        <f t="shared" si="0"/>
        <v>3.4934358899210614E-2</v>
      </c>
      <c r="F15" s="58">
        <v>3.778565</v>
      </c>
      <c r="G15" s="58">
        <v>3.8093840000000001</v>
      </c>
      <c r="H15" s="60">
        <v>2589</v>
      </c>
      <c r="I15" s="82">
        <v>-1.41E-2</v>
      </c>
      <c r="J15" s="82">
        <v>0.80389999999999995</v>
      </c>
      <c r="K15" s="64">
        <v>2651029792.9400001</v>
      </c>
      <c r="L15" s="59">
        <f t="shared" si="1"/>
        <v>3.4674622867025627E-2</v>
      </c>
      <c r="M15" s="58">
        <v>3.779153</v>
      </c>
      <c r="N15" s="58">
        <v>3.8118829999999999</v>
      </c>
      <c r="O15" s="60">
        <v>2619</v>
      </c>
      <c r="P15" s="82">
        <v>2.0000000000000001E-4</v>
      </c>
      <c r="Q15" s="82">
        <v>0.80420000000000003</v>
      </c>
      <c r="R15" s="87">
        <f t="shared" si="2"/>
        <v>-7.6451356487830507E-3</v>
      </c>
      <c r="S15" s="87">
        <f t="shared" si="3"/>
        <v>6.560115756247747E-4</v>
      </c>
      <c r="T15" s="87">
        <f t="shared" si="4"/>
        <v>1.1587485515643106E-2</v>
      </c>
      <c r="U15" s="88">
        <f t="shared" si="5"/>
        <v>1.43E-2</v>
      </c>
      <c r="V15" s="89">
        <f t="shared" si="6"/>
        <v>3.0000000000007798E-4</v>
      </c>
    </row>
    <row r="16" spans="1:25" ht="14.25" customHeight="1">
      <c r="A16" s="173">
        <v>11</v>
      </c>
      <c r="B16" s="167" t="s">
        <v>39</v>
      </c>
      <c r="C16" s="168" t="s">
        <v>40</v>
      </c>
      <c r="D16" s="64">
        <v>118209929.76000001</v>
      </c>
      <c r="E16" s="59">
        <f t="shared" si="0"/>
        <v>1.5458207453240883E-3</v>
      </c>
      <c r="F16" s="58">
        <v>25.7</v>
      </c>
      <c r="G16" s="58">
        <v>26.11</v>
      </c>
      <c r="H16" s="60">
        <v>72</v>
      </c>
      <c r="I16" s="82">
        <v>1.38E-2</v>
      </c>
      <c r="J16" s="82">
        <v>1.57</v>
      </c>
      <c r="K16" s="64">
        <v>118209929.76000001</v>
      </c>
      <c r="L16" s="59">
        <f t="shared" si="1"/>
        <v>1.5461481211872438E-3</v>
      </c>
      <c r="M16" s="58">
        <v>25.75</v>
      </c>
      <c r="N16" s="58">
        <v>26.18</v>
      </c>
      <c r="O16" s="60">
        <v>72</v>
      </c>
      <c r="P16" s="82">
        <v>1.38E-2</v>
      </c>
      <c r="Q16" s="82">
        <v>1.57</v>
      </c>
      <c r="R16" s="87">
        <f t="shared" ref="R16" si="7">((K16-D16)/D16)</f>
        <v>0</v>
      </c>
      <c r="S16" s="87">
        <f t="shared" ref="S16" si="8">((N16-G16)/G16)</f>
        <v>2.680965147453094E-3</v>
      </c>
      <c r="T16" s="87">
        <f t="shared" ref="T16" si="9">((O16-H16)/H16)</f>
        <v>0</v>
      </c>
      <c r="U16" s="88">
        <f t="shared" ref="U16" si="10">P16-I16</f>
        <v>0</v>
      </c>
      <c r="V16" s="89">
        <f t="shared" ref="V16" si="11">Q16-J16</f>
        <v>0</v>
      </c>
    </row>
    <row r="17" spans="1:22">
      <c r="A17" s="166">
        <v>12</v>
      </c>
      <c r="B17" s="167" t="s">
        <v>41</v>
      </c>
      <c r="C17" s="168" t="s">
        <v>42</v>
      </c>
      <c r="D17" s="65">
        <v>2497585481.0500002</v>
      </c>
      <c r="E17" s="59">
        <f t="shared" si="0"/>
        <v>3.2660703357712005E-2</v>
      </c>
      <c r="F17" s="58">
        <v>5.12</v>
      </c>
      <c r="G17" s="58">
        <v>5.22</v>
      </c>
      <c r="H17" s="60">
        <v>3699</v>
      </c>
      <c r="I17" s="82">
        <v>-2.23E-2</v>
      </c>
      <c r="J17" s="82">
        <v>0.40529999999999999</v>
      </c>
      <c r="K17" s="65">
        <v>2499825071.8499999</v>
      </c>
      <c r="L17" s="59">
        <f t="shared" si="1"/>
        <v>3.2696913414845125E-2</v>
      </c>
      <c r="M17" s="58">
        <v>5.19</v>
      </c>
      <c r="N17" s="58">
        <v>5.3</v>
      </c>
      <c r="O17" s="60">
        <v>37.01</v>
      </c>
      <c r="P17" s="82">
        <v>-7.4999999999999997E-3</v>
      </c>
      <c r="Q17" s="82">
        <v>0.42649999999999999</v>
      </c>
      <c r="R17" s="87">
        <f t="shared" si="2"/>
        <v>8.9670236193804917E-4</v>
      </c>
      <c r="S17" s="87">
        <f t="shared" si="3"/>
        <v>1.5325670498084306E-2</v>
      </c>
      <c r="T17" s="87">
        <f t="shared" si="4"/>
        <v>-0.9899945931332792</v>
      </c>
      <c r="U17" s="88">
        <f t="shared" si="5"/>
        <v>1.4800000000000001E-2</v>
      </c>
      <c r="V17" s="89">
        <f t="shared" si="6"/>
        <v>2.1199999999999997E-2</v>
      </c>
    </row>
    <row r="18" spans="1:22">
      <c r="A18" s="166">
        <v>13</v>
      </c>
      <c r="B18" s="167" t="s">
        <v>43</v>
      </c>
      <c r="C18" s="168" t="s">
        <v>44</v>
      </c>
      <c r="D18" s="58">
        <v>3840442653.02</v>
      </c>
      <c r="E18" s="59">
        <f t="shared" si="0"/>
        <v>5.022112724640701E-2</v>
      </c>
      <c r="F18" s="58">
        <v>31.547293</v>
      </c>
      <c r="G18" s="58">
        <v>31.622119000000001</v>
      </c>
      <c r="H18" s="60">
        <v>1025</v>
      </c>
      <c r="I18" s="82">
        <v>-0.02</v>
      </c>
      <c r="J18" s="82">
        <v>0.34389999999999998</v>
      </c>
      <c r="K18" s="58">
        <v>3862828128.4699998</v>
      </c>
      <c r="L18" s="59">
        <f t="shared" si="1"/>
        <v>5.0524558008189509E-2</v>
      </c>
      <c r="M18" s="58">
        <v>31.746590000000001</v>
      </c>
      <c r="N18" s="58">
        <v>31.833182999999998</v>
      </c>
      <c r="O18" s="60">
        <v>1026</v>
      </c>
      <c r="P18" s="82">
        <v>6.3E-3</v>
      </c>
      <c r="Q18" s="82">
        <v>0.35010000000000002</v>
      </c>
      <c r="R18" s="87">
        <f t="shared" si="2"/>
        <v>5.8288789789366063E-3</v>
      </c>
      <c r="S18" s="87">
        <f t="shared" si="3"/>
        <v>6.6745685195858254E-3</v>
      </c>
      <c r="T18" s="87">
        <f t="shared" si="4"/>
        <v>9.7560975609756097E-4</v>
      </c>
      <c r="U18" s="88">
        <f t="shared" si="5"/>
        <v>2.63E-2</v>
      </c>
      <c r="V18" s="89">
        <f t="shared" si="6"/>
        <v>6.2000000000000388E-3</v>
      </c>
    </row>
    <row r="19" spans="1:22">
      <c r="A19" s="166">
        <v>14</v>
      </c>
      <c r="B19" s="167" t="s">
        <v>45</v>
      </c>
      <c r="C19" s="168" t="s">
        <v>46</v>
      </c>
      <c r="D19" s="58">
        <v>169825682.88</v>
      </c>
      <c r="E19" s="59">
        <f t="shared" si="0"/>
        <v>2.2207953614195078E-3</v>
      </c>
      <c r="F19" s="58">
        <v>1.8248770000000001</v>
      </c>
      <c r="G19" s="58">
        <v>1.9</v>
      </c>
      <c r="H19" s="60">
        <v>26</v>
      </c>
      <c r="I19" s="82">
        <v>-0.161</v>
      </c>
      <c r="J19" s="82">
        <v>0.31</v>
      </c>
      <c r="K19" s="58">
        <v>170520139.00999999</v>
      </c>
      <c r="L19" s="59">
        <f t="shared" si="1"/>
        <v>2.2303489486051034E-3</v>
      </c>
      <c r="M19" s="58">
        <v>1.83</v>
      </c>
      <c r="N19" s="58">
        <v>1.91</v>
      </c>
      <c r="O19" s="60">
        <v>26</v>
      </c>
      <c r="P19" s="82">
        <v>5.4999999999999997E-3</v>
      </c>
      <c r="Q19" s="82">
        <v>0.3155</v>
      </c>
      <c r="R19" s="87">
        <f t="shared" si="2"/>
        <v>4.0892291332089194E-3</v>
      </c>
      <c r="S19" s="87">
        <f t="shared" si="3"/>
        <v>5.2631578947368472E-3</v>
      </c>
      <c r="T19" s="87">
        <f t="shared" si="4"/>
        <v>0</v>
      </c>
      <c r="U19" s="88">
        <f t="shared" si="5"/>
        <v>0.16650000000000001</v>
      </c>
      <c r="V19" s="89">
        <f t="shared" si="6"/>
        <v>5.5000000000000049E-3</v>
      </c>
    </row>
    <row r="20" spans="1:22">
      <c r="A20" s="166">
        <v>15</v>
      </c>
      <c r="B20" s="167" t="s">
        <v>47</v>
      </c>
      <c r="C20" s="168" t="s">
        <v>48</v>
      </c>
      <c r="D20" s="64">
        <v>7719902162.96</v>
      </c>
      <c r="E20" s="59">
        <f t="shared" si="0"/>
        <v>0.10095247446305451</v>
      </c>
      <c r="F20" s="58">
        <v>47.94</v>
      </c>
      <c r="G20" s="58">
        <v>48.1</v>
      </c>
      <c r="H20" s="60">
        <v>8944</v>
      </c>
      <c r="I20" s="82">
        <v>-3.7600000000000001E-2</v>
      </c>
      <c r="J20" s="82">
        <v>0.57269999999999999</v>
      </c>
      <c r="K20" s="175">
        <v>7499891784.8400002</v>
      </c>
      <c r="L20" s="59">
        <f t="shared" si="1"/>
        <v>9.8096188837782886E-2</v>
      </c>
      <c r="M20" s="58">
        <v>48.08</v>
      </c>
      <c r="N20" s="58">
        <v>48.27</v>
      </c>
      <c r="O20" s="60">
        <v>8944</v>
      </c>
      <c r="P20" s="82">
        <v>6.4999999999999997E-3</v>
      </c>
      <c r="Q20" s="82">
        <v>0.57920000000000005</v>
      </c>
      <c r="R20" s="87">
        <f t="shared" si="2"/>
        <v>-2.8499114817232673E-2</v>
      </c>
      <c r="S20" s="87">
        <f t="shared" si="3"/>
        <v>3.5343035343035696E-3</v>
      </c>
      <c r="T20" s="87">
        <f t="shared" si="4"/>
        <v>0</v>
      </c>
      <c r="U20" s="88">
        <f t="shared" si="5"/>
        <v>4.41E-2</v>
      </c>
      <c r="V20" s="89">
        <f t="shared" si="6"/>
        <v>6.5000000000000613E-3</v>
      </c>
    </row>
    <row r="21" spans="1:22" ht="12.75" customHeight="1">
      <c r="A21" s="166">
        <v>16</v>
      </c>
      <c r="B21" s="167" t="s">
        <v>49</v>
      </c>
      <c r="C21" s="168" t="s">
        <v>50</v>
      </c>
      <c r="D21" s="58">
        <v>1482794832.3699999</v>
      </c>
      <c r="E21" s="59">
        <f t="shared" si="0"/>
        <v>1.9390376236502211E-2</v>
      </c>
      <c r="F21" s="58">
        <v>12030.06</v>
      </c>
      <c r="G21" s="58">
        <v>12192.57</v>
      </c>
      <c r="H21" s="60">
        <v>29</v>
      </c>
      <c r="I21" s="82">
        <v>-1.2800000000000001E-2</v>
      </c>
      <c r="J21" s="82">
        <v>0.50319999999999998</v>
      </c>
      <c r="K21" s="58">
        <v>1496845102.8699999</v>
      </c>
      <c r="L21" s="59">
        <f t="shared" si="1"/>
        <v>1.9578255804817399E-2</v>
      </c>
      <c r="M21" s="58">
        <v>12146.96</v>
      </c>
      <c r="N21" s="58">
        <v>12311.6</v>
      </c>
      <c r="O21" s="60">
        <v>30</v>
      </c>
      <c r="P21" s="82">
        <v>9.7999999999999997E-3</v>
      </c>
      <c r="Q21" s="82">
        <v>0.51790000000000003</v>
      </c>
      <c r="R21" s="87">
        <f t="shared" si="2"/>
        <v>9.4755324157307658E-3</v>
      </c>
      <c r="S21" s="87">
        <f t="shared" si="3"/>
        <v>9.7625029013571913E-3</v>
      </c>
      <c r="T21" s="87">
        <f t="shared" si="4"/>
        <v>3.4482758620689655E-2</v>
      </c>
      <c r="U21" s="88">
        <f t="shared" si="5"/>
        <v>2.2600000000000002E-2</v>
      </c>
      <c r="V21" s="89">
        <f t="shared" si="6"/>
        <v>1.4700000000000046E-2</v>
      </c>
    </row>
    <row r="22" spans="1:22">
      <c r="A22" s="166">
        <v>17</v>
      </c>
      <c r="B22" s="167" t="s">
        <v>51</v>
      </c>
      <c r="C22" s="168" t="s">
        <v>50</v>
      </c>
      <c r="D22" s="58">
        <v>24073881471.41</v>
      </c>
      <c r="E22" s="59">
        <f t="shared" si="0"/>
        <v>0.31481200838655132</v>
      </c>
      <c r="F22" s="58">
        <v>40531.870000000003</v>
      </c>
      <c r="G22" s="58">
        <v>41078.06</v>
      </c>
      <c r="H22" s="60">
        <v>19698</v>
      </c>
      <c r="I22" s="82">
        <v>-9.2999999999999992E-3</v>
      </c>
      <c r="J22" s="82">
        <v>0.59830000000000005</v>
      </c>
      <c r="K22" s="58">
        <v>24399163776.099998</v>
      </c>
      <c r="L22" s="59">
        <f t="shared" ref="L22:L24" si="12">(K22/$K$25)</f>
        <v>0.31913326830959848</v>
      </c>
      <c r="M22" s="58">
        <v>41073.82</v>
      </c>
      <c r="N22" s="58">
        <v>41629.29</v>
      </c>
      <c r="O22" s="60">
        <v>19775</v>
      </c>
      <c r="P22" s="82">
        <v>1.34E-2</v>
      </c>
      <c r="Q22" s="82">
        <v>0.61970000000000003</v>
      </c>
      <c r="R22" s="87">
        <f t="shared" si="2"/>
        <v>1.3511834602837187E-2</v>
      </c>
      <c r="S22" s="87">
        <f t="shared" si="3"/>
        <v>1.3419085516696827E-2</v>
      </c>
      <c r="T22" s="87">
        <f t="shared" si="4"/>
        <v>3.9090262970859985E-3</v>
      </c>
      <c r="U22" s="88">
        <f t="shared" si="5"/>
        <v>2.2699999999999998E-2</v>
      </c>
      <c r="V22" s="89">
        <f t="shared" si="6"/>
        <v>2.1399999999999975E-2</v>
      </c>
    </row>
    <row r="23" spans="1:22">
      <c r="A23" s="173">
        <v>18</v>
      </c>
      <c r="B23" s="168" t="s">
        <v>52</v>
      </c>
      <c r="C23" s="168" t="s">
        <v>53</v>
      </c>
      <c r="D23" s="58">
        <v>6088734649.29</v>
      </c>
      <c r="E23" s="59">
        <f t="shared" ref="E23:E24" si="13">(D23/$D$25)</f>
        <v>7.9621841860115394E-2</v>
      </c>
      <c r="F23" s="58">
        <v>1.8656999999999999</v>
      </c>
      <c r="G23" s="66">
        <v>1.8848</v>
      </c>
      <c r="H23" s="60">
        <v>6500</v>
      </c>
      <c r="I23" s="82">
        <v>-1.01E-2</v>
      </c>
      <c r="J23" s="82">
        <v>0.43590000000000001</v>
      </c>
      <c r="K23" s="58">
        <v>6096433609.5799999</v>
      </c>
      <c r="L23" s="59">
        <f t="shared" si="12"/>
        <v>7.9739404215300194E-2</v>
      </c>
      <c r="M23" s="58">
        <v>1.8704000000000001</v>
      </c>
      <c r="N23" s="66">
        <v>1.8895</v>
      </c>
      <c r="O23" s="60">
        <v>6547</v>
      </c>
      <c r="P23" s="82">
        <v>2.5000000000000001E-3</v>
      </c>
      <c r="Q23" s="82">
        <v>0.43909999999999999</v>
      </c>
      <c r="R23" s="87">
        <f t="shared" ref="R23" si="14">((K23-D23)/D23)</f>
        <v>1.2644598152914627E-3</v>
      </c>
      <c r="S23" s="87">
        <f t="shared" ref="S23" si="15">((N23-G23)/G23)</f>
        <v>2.4936332767401988E-3</v>
      </c>
      <c r="T23" s="87">
        <f t="shared" ref="T23" si="16">((O23-H23)/H23)</f>
        <v>7.2307692307692307E-3</v>
      </c>
      <c r="U23" s="88">
        <f t="shared" ref="U23" si="17">P23-I23</f>
        <v>1.26E-2</v>
      </c>
      <c r="V23" s="89">
        <f t="shared" ref="V23" si="18">Q23-J23</f>
        <v>3.1999999999999806E-3</v>
      </c>
    </row>
    <row r="24" spans="1:22">
      <c r="A24" s="166">
        <v>19</v>
      </c>
      <c r="B24" s="168" t="s">
        <v>54</v>
      </c>
      <c r="C24" s="168" t="s">
        <v>55</v>
      </c>
      <c r="D24" s="58">
        <v>9180754391.3199997</v>
      </c>
      <c r="E24" s="59">
        <f t="shared" si="13"/>
        <v>0.12005590921711141</v>
      </c>
      <c r="F24" s="58">
        <v>198.19</v>
      </c>
      <c r="G24" s="66">
        <v>201.34</v>
      </c>
      <c r="H24" s="60">
        <v>77</v>
      </c>
      <c r="I24" s="82">
        <v>-2.6700000000000002E-2</v>
      </c>
      <c r="J24" s="82">
        <v>0.62749999999999995</v>
      </c>
      <c r="K24" s="58">
        <v>8960196559.1800003</v>
      </c>
      <c r="L24" s="59">
        <f t="shared" si="12"/>
        <v>0.11719650881759025</v>
      </c>
      <c r="M24" s="58">
        <v>199.71</v>
      </c>
      <c r="N24" s="66">
        <v>203.13</v>
      </c>
      <c r="O24" s="60">
        <v>77</v>
      </c>
      <c r="P24" s="82">
        <v>8.3999999999999995E-3</v>
      </c>
      <c r="Q24" s="82">
        <v>0.64119999999999999</v>
      </c>
      <c r="R24" s="87">
        <f t="shared" si="2"/>
        <v>-2.402393340884134E-2</v>
      </c>
      <c r="S24" s="87">
        <f t="shared" si="3"/>
        <v>8.8904340915863314E-3</v>
      </c>
      <c r="T24" s="87">
        <f t="shared" si="4"/>
        <v>0</v>
      </c>
      <c r="U24" s="88">
        <f t="shared" si="5"/>
        <v>3.5099999999999999E-2</v>
      </c>
      <c r="V24" s="89">
        <f t="shared" si="6"/>
        <v>1.3700000000000045E-2</v>
      </c>
    </row>
    <row r="25" spans="1:22">
      <c r="A25" s="67"/>
      <c r="B25" s="68"/>
      <c r="C25" s="69" t="s">
        <v>56</v>
      </c>
      <c r="D25" s="70">
        <f>SUM(D6:D24)</f>
        <v>76470658139.095398</v>
      </c>
      <c r="E25" s="71">
        <f>(D25/$D$230)</f>
        <v>1.0533248596196003E-2</v>
      </c>
      <c r="F25" s="72"/>
      <c r="G25" s="73"/>
      <c r="H25" s="74">
        <f>SUM(H6:H24)</f>
        <v>60794</v>
      </c>
      <c r="I25" s="84"/>
      <c r="J25" s="60">
        <v>0</v>
      </c>
      <c r="K25" s="70">
        <f>SUM(K6:K24)</f>
        <v>76454466515.944092</v>
      </c>
      <c r="L25" s="71">
        <f>(K25/$K$230)</f>
        <v>1.0308641840131808E-2</v>
      </c>
      <c r="M25" s="72"/>
      <c r="N25" s="73"/>
      <c r="O25" s="74">
        <f>SUM(O6:O24)</f>
        <v>57380.009999999995</v>
      </c>
      <c r="P25" s="84"/>
      <c r="Q25" s="74"/>
      <c r="R25" s="87">
        <f t="shared" si="2"/>
        <v>-2.1173641688625972E-4</v>
      </c>
      <c r="S25" s="87" t="e">
        <f t="shared" si="3"/>
        <v>#DIV/0!</v>
      </c>
      <c r="T25" s="87">
        <f t="shared" si="4"/>
        <v>-5.6156693094713384E-2</v>
      </c>
      <c r="U25" s="88">
        <f t="shared" si="5"/>
        <v>0</v>
      </c>
      <c r="V25" s="89">
        <f t="shared" si="6"/>
        <v>0</v>
      </c>
    </row>
    <row r="26" spans="1:22" ht="4.5" customHeight="1">
      <c r="A26" s="6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</row>
    <row r="27" spans="1:22" ht="15" customHeight="1">
      <c r="A27" s="186" t="s">
        <v>57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</row>
    <row r="28" spans="1:22">
      <c r="A28" s="169">
        <v>20</v>
      </c>
      <c r="B28" s="167" t="s">
        <v>58</v>
      </c>
      <c r="C28" s="168" t="s">
        <v>20</v>
      </c>
      <c r="D28" s="76">
        <v>5517515949.6300001</v>
      </c>
      <c r="E28" s="59">
        <f t="shared" ref="E28:E33" si="19">(D28/$K$71)</f>
        <v>1.2120201825423149E-3</v>
      </c>
      <c r="F28" s="66">
        <v>100</v>
      </c>
      <c r="G28" s="66">
        <v>100</v>
      </c>
      <c r="H28" s="60">
        <v>879</v>
      </c>
      <c r="I28" s="82">
        <v>0.15340000000000001</v>
      </c>
      <c r="J28" s="82">
        <v>0.15340000000000001</v>
      </c>
      <c r="K28" s="76">
        <v>5525709837.6199999</v>
      </c>
      <c r="L28" s="59">
        <f t="shared" ref="L28:L33" si="20">(K28/$K$71)</f>
        <v>1.2138201152852436E-3</v>
      </c>
      <c r="M28" s="66">
        <v>100</v>
      </c>
      <c r="N28" s="66">
        <v>100</v>
      </c>
      <c r="O28" s="60">
        <v>879</v>
      </c>
      <c r="P28" s="82">
        <v>0.16259999999999999</v>
      </c>
      <c r="Q28" s="82">
        <v>0.16259999999999999</v>
      </c>
      <c r="R28" s="87">
        <f>((K28-D28)/D28)</f>
        <v>1.4850682924712245E-3</v>
      </c>
      <c r="S28" s="87">
        <f>((N28-G28)/G28)</f>
        <v>0</v>
      </c>
      <c r="T28" s="87">
        <f>((O28-H28)/H28)</f>
        <v>0</v>
      </c>
      <c r="U28" s="88">
        <f>P28-I28</f>
        <v>9.199999999999986E-3</v>
      </c>
      <c r="V28" s="89">
        <f>Q28-J28</f>
        <v>9.199999999999986E-3</v>
      </c>
    </row>
    <row r="29" spans="1:22">
      <c r="A29" s="169">
        <v>21</v>
      </c>
      <c r="B29" s="167" t="s">
        <v>59</v>
      </c>
      <c r="C29" s="168" t="s">
        <v>60</v>
      </c>
      <c r="D29" s="76">
        <v>30432796542.169998</v>
      </c>
      <c r="E29" s="59">
        <f t="shared" si="19"/>
        <v>6.6851032162013949E-3</v>
      </c>
      <c r="F29" s="66">
        <v>100</v>
      </c>
      <c r="G29" s="66">
        <v>100</v>
      </c>
      <c r="H29" s="60">
        <v>3650</v>
      </c>
      <c r="I29" s="82">
        <v>0.18048800000000001</v>
      </c>
      <c r="J29" s="82">
        <v>0.18048800000000001</v>
      </c>
      <c r="K29" s="76">
        <v>31432911048.98</v>
      </c>
      <c r="L29" s="59">
        <f t="shared" si="20"/>
        <v>6.9047960957821708E-3</v>
      </c>
      <c r="M29" s="66">
        <v>100</v>
      </c>
      <c r="N29" s="66">
        <v>100</v>
      </c>
      <c r="O29" s="60">
        <v>3702</v>
      </c>
      <c r="P29" s="82">
        <v>0.18424299999999999</v>
      </c>
      <c r="Q29" s="82">
        <v>0.18424299999999999</v>
      </c>
      <c r="R29" s="87">
        <f t="shared" ref="R29:R71" si="21">((K29-D29)/D29)</f>
        <v>3.2863049750428509E-2</v>
      </c>
      <c r="S29" s="87">
        <f t="shared" ref="S29:S71" si="22">((N29-G29)/G29)</f>
        <v>0</v>
      </c>
      <c r="T29" s="87">
        <f t="shared" ref="T29:T71" si="23">((O29-H29)/H29)</f>
        <v>1.4246575342465753E-2</v>
      </c>
      <c r="U29" s="88">
        <f t="shared" ref="U29:U71" si="24">P29-I29</f>
        <v>3.7549999999999806E-3</v>
      </c>
      <c r="V29" s="89">
        <f t="shared" ref="V29:V71" si="25">Q29-J29</f>
        <v>3.7549999999999806E-3</v>
      </c>
    </row>
    <row r="30" spans="1:22">
      <c r="A30" s="169">
        <v>22</v>
      </c>
      <c r="B30" s="167" t="s">
        <v>61</v>
      </c>
      <c r="C30" s="168" t="s">
        <v>22</v>
      </c>
      <c r="D30" s="76">
        <v>2495737537.4699998</v>
      </c>
      <c r="E30" s="59">
        <f t="shared" si="19"/>
        <v>5.4823298987381134E-4</v>
      </c>
      <c r="F30" s="66">
        <v>100</v>
      </c>
      <c r="G30" s="66">
        <v>100</v>
      </c>
      <c r="H30" s="60">
        <v>2283</v>
      </c>
      <c r="I30" s="82">
        <v>0.1903</v>
      </c>
      <c r="J30" s="82">
        <v>0.1903</v>
      </c>
      <c r="K30" s="76">
        <v>2556482323.4299998</v>
      </c>
      <c r="L30" s="59">
        <f t="shared" si="20"/>
        <v>5.6157665887990999E-4</v>
      </c>
      <c r="M30" s="66">
        <v>100</v>
      </c>
      <c r="N30" s="66">
        <v>100</v>
      </c>
      <c r="O30" s="60">
        <v>2286</v>
      </c>
      <c r="P30" s="82">
        <v>0.1913</v>
      </c>
      <c r="Q30" s="82">
        <v>0.1913</v>
      </c>
      <c r="R30" s="87">
        <f t="shared" si="21"/>
        <v>2.4339412717884892E-2</v>
      </c>
      <c r="S30" s="87">
        <f t="shared" si="22"/>
        <v>0</v>
      </c>
      <c r="T30" s="87">
        <f t="shared" si="23"/>
        <v>1.3140604467805519E-3</v>
      </c>
      <c r="U30" s="88">
        <f t="shared" si="24"/>
        <v>1.0000000000000009E-3</v>
      </c>
      <c r="V30" s="89">
        <f t="shared" si="25"/>
        <v>1.0000000000000009E-3</v>
      </c>
    </row>
    <row r="31" spans="1:22">
      <c r="A31" s="169">
        <v>23</v>
      </c>
      <c r="B31" s="167" t="s">
        <v>62</v>
      </c>
      <c r="C31" s="168" t="s">
        <v>24</v>
      </c>
      <c r="D31" s="76">
        <v>307789621490.08002</v>
      </c>
      <c r="E31" s="59">
        <f t="shared" si="19"/>
        <v>6.7611446279199794E-2</v>
      </c>
      <c r="F31" s="66">
        <v>1</v>
      </c>
      <c r="G31" s="66">
        <v>1</v>
      </c>
      <c r="H31" s="60">
        <v>76958</v>
      </c>
      <c r="I31" s="82">
        <v>0.18410000000000001</v>
      </c>
      <c r="J31" s="82">
        <v>0.18410000000000001</v>
      </c>
      <c r="K31" s="76">
        <v>307255413597.04999</v>
      </c>
      <c r="L31" s="59">
        <f t="shared" si="20"/>
        <v>6.7494098046057077E-2</v>
      </c>
      <c r="M31" s="66">
        <v>1</v>
      </c>
      <c r="N31" s="66">
        <v>1</v>
      </c>
      <c r="O31" s="60">
        <v>77261</v>
      </c>
      <c r="P31" s="82">
        <v>0.18060000000000001</v>
      </c>
      <c r="Q31" s="82">
        <v>0.18060000000000001</v>
      </c>
      <c r="R31" s="87">
        <f t="shared" si="21"/>
        <v>-1.7356267259558871E-3</v>
      </c>
      <c r="S31" s="87">
        <f t="shared" si="22"/>
        <v>0</v>
      </c>
      <c r="T31" s="87">
        <f t="shared" si="23"/>
        <v>3.9372125055224926E-3</v>
      </c>
      <c r="U31" s="88">
        <f t="shared" si="24"/>
        <v>-3.5000000000000031E-3</v>
      </c>
      <c r="V31" s="89">
        <f t="shared" si="25"/>
        <v>-3.5000000000000031E-3</v>
      </c>
    </row>
    <row r="32" spans="1:22">
      <c r="A32" s="169">
        <v>24</v>
      </c>
      <c r="B32" s="167" t="s">
        <v>63</v>
      </c>
      <c r="C32" s="168" t="s">
        <v>64</v>
      </c>
      <c r="D32" s="76">
        <v>1645214154.8299999</v>
      </c>
      <c r="E32" s="59">
        <f t="shared" si="19"/>
        <v>3.6140045238871937E-4</v>
      </c>
      <c r="F32" s="66">
        <v>1</v>
      </c>
      <c r="G32" s="66">
        <v>1</v>
      </c>
      <c r="H32" s="60">
        <v>300</v>
      </c>
      <c r="I32" s="82">
        <v>0.16420000000000001</v>
      </c>
      <c r="J32" s="82">
        <v>0.16420000000000001</v>
      </c>
      <c r="K32" s="76">
        <v>1646466667.0699999</v>
      </c>
      <c r="L32" s="59">
        <f t="shared" si="20"/>
        <v>3.6167558890443042E-4</v>
      </c>
      <c r="M32" s="66">
        <v>1</v>
      </c>
      <c r="N32" s="66">
        <v>1</v>
      </c>
      <c r="O32" s="60">
        <v>300</v>
      </c>
      <c r="P32" s="82">
        <v>0.1641</v>
      </c>
      <c r="Q32" s="82">
        <v>0.1641</v>
      </c>
      <c r="R32" s="87">
        <f t="shared" si="21"/>
        <v>7.6130650610007169E-4</v>
      </c>
      <c r="S32" s="87">
        <f t="shared" si="22"/>
        <v>0</v>
      </c>
      <c r="T32" s="87">
        <f t="shared" si="23"/>
        <v>0</v>
      </c>
      <c r="U32" s="88">
        <f t="shared" si="24"/>
        <v>-1.0000000000001674E-4</v>
      </c>
      <c r="V32" s="89">
        <f t="shared" si="25"/>
        <v>-1.0000000000001674E-4</v>
      </c>
    </row>
    <row r="33" spans="1:22">
      <c r="A33" s="169">
        <v>25</v>
      </c>
      <c r="B33" s="167" t="s">
        <v>65</v>
      </c>
      <c r="C33" s="168" t="s">
        <v>26</v>
      </c>
      <c r="D33" s="76">
        <v>166235761482.06</v>
      </c>
      <c r="E33" s="59">
        <f t="shared" si="19"/>
        <v>3.6516631726285852E-2</v>
      </c>
      <c r="F33" s="66">
        <v>1</v>
      </c>
      <c r="G33" s="66">
        <v>1</v>
      </c>
      <c r="H33" s="60">
        <v>36934</v>
      </c>
      <c r="I33" s="82">
        <v>0.1956</v>
      </c>
      <c r="J33" s="82">
        <v>0.1956</v>
      </c>
      <c r="K33" s="76">
        <v>165193607897.44</v>
      </c>
      <c r="L33" s="59">
        <f t="shared" si="20"/>
        <v>3.6287704218073945E-2</v>
      </c>
      <c r="M33" s="66">
        <v>1</v>
      </c>
      <c r="N33" s="66">
        <v>1</v>
      </c>
      <c r="O33" s="60">
        <v>36992</v>
      </c>
      <c r="P33" s="82">
        <v>0.1638</v>
      </c>
      <c r="Q33" s="82">
        <v>0.1638</v>
      </c>
      <c r="R33" s="87">
        <f t="shared" si="21"/>
        <v>-6.2691299112102505E-3</v>
      </c>
      <c r="S33" s="87">
        <f t="shared" si="22"/>
        <v>0</v>
      </c>
      <c r="T33" s="87">
        <f t="shared" si="23"/>
        <v>1.5703687659067527E-3</v>
      </c>
      <c r="U33" s="88">
        <f t="shared" si="24"/>
        <v>-3.1799999999999995E-2</v>
      </c>
      <c r="V33" s="89">
        <f t="shared" si="25"/>
        <v>-3.1799999999999995E-2</v>
      </c>
    </row>
    <row r="34" spans="1:22">
      <c r="A34" s="169">
        <v>26</v>
      </c>
      <c r="B34" s="167" t="s">
        <v>66</v>
      </c>
      <c r="C34" s="168" t="s">
        <v>28</v>
      </c>
      <c r="D34" s="58">
        <v>15098402426.360001</v>
      </c>
      <c r="E34" s="59">
        <f t="shared" ref="E34" si="26">(D34/$D$25)</f>
        <v>0.19744046662834966</v>
      </c>
      <c r="F34" s="58">
        <v>1</v>
      </c>
      <c r="G34" s="58">
        <v>1</v>
      </c>
      <c r="H34" s="60">
        <v>1316</v>
      </c>
      <c r="I34" s="82">
        <v>0.19120000000000001</v>
      </c>
      <c r="J34" s="82">
        <v>0.19120000000000001</v>
      </c>
      <c r="K34" s="58">
        <v>14799561930</v>
      </c>
      <c r="L34" s="59">
        <f t="shared" ref="L34" si="27">(K34/$K$25)</f>
        <v>0.19357354258581669</v>
      </c>
      <c r="M34" s="58">
        <v>1</v>
      </c>
      <c r="N34" s="58">
        <v>1</v>
      </c>
      <c r="O34" s="60">
        <v>1316</v>
      </c>
      <c r="P34" s="82">
        <v>0.1951</v>
      </c>
      <c r="Q34" s="82">
        <v>0.1951</v>
      </c>
      <c r="R34" s="87">
        <f t="shared" si="21"/>
        <v>-1.9792855424111688E-2</v>
      </c>
      <c r="S34" s="87">
        <f t="shared" si="22"/>
        <v>0</v>
      </c>
      <c r="T34" s="87">
        <f t="shared" si="23"/>
        <v>0</v>
      </c>
      <c r="U34" s="88">
        <f t="shared" si="24"/>
        <v>3.8999999999999868E-3</v>
      </c>
      <c r="V34" s="89">
        <f t="shared" si="25"/>
        <v>3.8999999999999868E-3</v>
      </c>
    </row>
    <row r="35" spans="1:22" ht="15" customHeight="1">
      <c r="A35" s="169">
        <v>27</v>
      </c>
      <c r="B35" s="167" t="s">
        <v>67</v>
      </c>
      <c r="C35" s="168" t="s">
        <v>48</v>
      </c>
      <c r="D35" s="76">
        <v>37124398969.940002</v>
      </c>
      <c r="E35" s="59">
        <f t="shared" ref="E35:E49" si="28">(D35/$K$71)</f>
        <v>8.1550323056769347E-3</v>
      </c>
      <c r="F35" s="66">
        <v>100</v>
      </c>
      <c r="G35" s="66">
        <v>100</v>
      </c>
      <c r="H35" s="60">
        <v>2083</v>
      </c>
      <c r="I35" s="82">
        <v>0.18820000000000001</v>
      </c>
      <c r="J35" s="82">
        <v>0.18820000000000001</v>
      </c>
      <c r="K35" s="76">
        <v>36561784202</v>
      </c>
      <c r="L35" s="59">
        <f t="shared" ref="L35:L49" si="29">(K35/$K$71)</f>
        <v>8.0314439989162874E-3</v>
      </c>
      <c r="M35" s="66">
        <v>100</v>
      </c>
      <c r="N35" s="66">
        <v>100</v>
      </c>
      <c r="O35" s="60">
        <v>2083</v>
      </c>
      <c r="P35" s="82">
        <v>0.18260000000000001</v>
      </c>
      <c r="Q35" s="82">
        <v>0.18260000000000001</v>
      </c>
      <c r="R35" s="87">
        <f t="shared" si="21"/>
        <v>-1.5154851891220037E-2</v>
      </c>
      <c r="S35" s="87">
        <f t="shared" si="22"/>
        <v>0</v>
      </c>
      <c r="T35" s="87">
        <f t="shared" si="23"/>
        <v>0</v>
      </c>
      <c r="U35" s="88">
        <f t="shared" si="24"/>
        <v>-5.5999999999999939E-3</v>
      </c>
      <c r="V35" s="89">
        <f t="shared" si="25"/>
        <v>-5.5999999999999939E-3</v>
      </c>
    </row>
    <row r="36" spans="1:22" ht="15" customHeight="1">
      <c r="A36" s="169">
        <v>28</v>
      </c>
      <c r="B36" s="167" t="s">
        <v>68</v>
      </c>
      <c r="C36" s="168" t="s">
        <v>69</v>
      </c>
      <c r="D36" s="76">
        <v>2208264364.2199998</v>
      </c>
      <c r="E36" s="59">
        <f t="shared" si="28"/>
        <v>4.8508441158255178E-4</v>
      </c>
      <c r="F36" s="66">
        <v>1</v>
      </c>
      <c r="G36" s="66">
        <v>1</v>
      </c>
      <c r="H36" s="60">
        <v>561</v>
      </c>
      <c r="I36" s="82">
        <v>0.16420000000000001</v>
      </c>
      <c r="J36" s="82">
        <v>0.16420000000000001</v>
      </c>
      <c r="K36" s="76">
        <v>2232564108.23</v>
      </c>
      <c r="L36" s="59">
        <f t="shared" si="29"/>
        <v>4.9042228109477443E-4</v>
      </c>
      <c r="M36" s="66">
        <v>1</v>
      </c>
      <c r="N36" s="66">
        <v>1</v>
      </c>
      <c r="O36" s="60">
        <v>563</v>
      </c>
      <c r="P36" s="82">
        <v>0.1628</v>
      </c>
      <c r="Q36" s="82">
        <v>0.1628</v>
      </c>
      <c r="R36" s="87">
        <f t="shared" si="21"/>
        <v>1.100400133413526E-2</v>
      </c>
      <c r="S36" s="87">
        <f t="shared" si="22"/>
        <v>0</v>
      </c>
      <c r="T36" s="87">
        <f t="shared" si="23"/>
        <v>3.5650623885918001E-3</v>
      </c>
      <c r="U36" s="88">
        <f t="shared" si="24"/>
        <v>-1.4000000000000123E-3</v>
      </c>
      <c r="V36" s="89">
        <f t="shared" si="25"/>
        <v>-1.4000000000000123E-3</v>
      </c>
    </row>
    <row r="37" spans="1:22">
      <c r="A37" s="169">
        <v>29</v>
      </c>
      <c r="B37" s="167" t="s">
        <v>70</v>
      </c>
      <c r="C37" s="168" t="s">
        <v>71</v>
      </c>
      <c r="D37" s="76">
        <v>77532990409.100006</v>
      </c>
      <c r="E37" s="59">
        <f t="shared" si="28"/>
        <v>1.7031495703241344E-2</v>
      </c>
      <c r="F37" s="66">
        <v>100</v>
      </c>
      <c r="G37" s="66">
        <v>100</v>
      </c>
      <c r="H37" s="60">
        <v>5404</v>
      </c>
      <c r="I37" s="82">
        <v>0.1792</v>
      </c>
      <c r="J37" s="82">
        <v>0.1792</v>
      </c>
      <c r="K37" s="76">
        <v>77740987537.869995</v>
      </c>
      <c r="L37" s="59">
        <f t="shared" si="29"/>
        <v>1.7077185959559857E-2</v>
      </c>
      <c r="M37" s="66">
        <v>100</v>
      </c>
      <c r="N37" s="66">
        <v>100</v>
      </c>
      <c r="O37" s="60">
        <v>5458</v>
      </c>
      <c r="P37" s="82">
        <v>0.17660000000000001</v>
      </c>
      <c r="Q37" s="82">
        <v>0.17660000000000001</v>
      </c>
      <c r="R37" s="87">
        <f t="shared" si="21"/>
        <v>2.6826919440679346E-3</v>
      </c>
      <c r="S37" s="87">
        <f t="shared" si="22"/>
        <v>0</v>
      </c>
      <c r="T37" s="87">
        <f t="shared" si="23"/>
        <v>9.9925980754996292E-3</v>
      </c>
      <c r="U37" s="88">
        <f t="shared" si="24"/>
        <v>-2.5999999999999912E-3</v>
      </c>
      <c r="V37" s="89">
        <f t="shared" si="25"/>
        <v>-2.5999999999999912E-3</v>
      </c>
    </row>
    <row r="38" spans="1:22">
      <c r="A38" s="169">
        <v>30</v>
      </c>
      <c r="B38" s="167" t="s">
        <v>72</v>
      </c>
      <c r="C38" s="168" t="s">
        <v>73</v>
      </c>
      <c r="D38" s="76">
        <v>32236457039.75</v>
      </c>
      <c r="E38" s="59">
        <f t="shared" si="28"/>
        <v>7.0813092164156528E-3</v>
      </c>
      <c r="F38" s="66">
        <v>100</v>
      </c>
      <c r="G38" s="66">
        <v>100</v>
      </c>
      <c r="H38" s="60">
        <v>5448</v>
      </c>
      <c r="I38" s="82">
        <v>0.17599999999999999</v>
      </c>
      <c r="J38" s="82">
        <v>0.17599999999999999</v>
      </c>
      <c r="K38" s="76">
        <v>32954210348.459999</v>
      </c>
      <c r="L38" s="59">
        <f t="shared" si="29"/>
        <v>7.2389764536624039E-3</v>
      </c>
      <c r="M38" s="66">
        <v>100</v>
      </c>
      <c r="N38" s="66">
        <v>100</v>
      </c>
      <c r="O38" s="60">
        <v>5460</v>
      </c>
      <c r="P38" s="82">
        <v>0.17580000000000001</v>
      </c>
      <c r="Q38" s="82">
        <v>0.17580000000000001</v>
      </c>
      <c r="R38" s="87">
        <f t="shared" si="21"/>
        <v>2.2265266552864503E-2</v>
      </c>
      <c r="S38" s="87">
        <f t="shared" si="22"/>
        <v>0</v>
      </c>
      <c r="T38" s="87">
        <f t="shared" si="23"/>
        <v>2.2026431718061676E-3</v>
      </c>
      <c r="U38" s="88">
        <f t="shared" si="24"/>
        <v>-1.9999999999997797E-4</v>
      </c>
      <c r="V38" s="89">
        <f t="shared" si="25"/>
        <v>-1.9999999999997797E-4</v>
      </c>
    </row>
    <row r="39" spans="1:22">
      <c r="A39" s="169">
        <v>31</v>
      </c>
      <c r="B39" s="167" t="s">
        <v>74</v>
      </c>
      <c r="C39" s="168" t="s">
        <v>75</v>
      </c>
      <c r="D39" s="76">
        <v>61801834862.099998</v>
      </c>
      <c r="E39" s="59">
        <f t="shared" si="28"/>
        <v>1.3575868534831422E-2</v>
      </c>
      <c r="F39" s="66">
        <v>1</v>
      </c>
      <c r="G39" s="66">
        <v>1</v>
      </c>
      <c r="H39" s="60">
        <v>13024</v>
      </c>
      <c r="I39" s="82">
        <v>0.17269999999999999</v>
      </c>
      <c r="J39" s="82">
        <v>0.17269999999999999</v>
      </c>
      <c r="K39" s="76">
        <v>62115550804.75</v>
      </c>
      <c r="L39" s="59">
        <f t="shared" si="29"/>
        <v>1.3644781802604139E-2</v>
      </c>
      <c r="M39" s="66">
        <v>1</v>
      </c>
      <c r="N39" s="66">
        <v>1</v>
      </c>
      <c r="O39" s="60">
        <v>13277</v>
      </c>
      <c r="P39" s="82">
        <v>0.17480000000000001</v>
      </c>
      <c r="Q39" s="82">
        <v>0.17480000000000001</v>
      </c>
      <c r="R39" s="87">
        <f t="shared" si="21"/>
        <v>5.0761590388053021E-3</v>
      </c>
      <c r="S39" s="87">
        <f t="shared" si="22"/>
        <v>0</v>
      </c>
      <c r="T39" s="87">
        <f t="shared" si="23"/>
        <v>1.9425675675675675E-2</v>
      </c>
      <c r="U39" s="88">
        <f t="shared" si="24"/>
        <v>2.1000000000000185E-3</v>
      </c>
      <c r="V39" s="89">
        <f t="shared" si="25"/>
        <v>2.1000000000000185E-3</v>
      </c>
    </row>
    <row r="40" spans="1:22">
      <c r="A40" s="169">
        <v>32</v>
      </c>
      <c r="B40" s="167" t="s">
        <v>76</v>
      </c>
      <c r="C40" s="168" t="s">
        <v>77</v>
      </c>
      <c r="D40" s="76">
        <v>1015654667.59</v>
      </c>
      <c r="E40" s="59">
        <v>0</v>
      </c>
      <c r="F40" s="66">
        <v>1000</v>
      </c>
      <c r="G40" s="66">
        <v>1000</v>
      </c>
      <c r="H40" s="60">
        <v>51</v>
      </c>
      <c r="I40" s="82">
        <v>0.19020000000000001</v>
      </c>
      <c r="J40" s="82">
        <v>0.19020000000000001</v>
      </c>
      <c r="K40" s="76">
        <v>1015685266.96</v>
      </c>
      <c r="L40" s="59">
        <f t="shared" si="29"/>
        <v>2.2311327305704496E-4</v>
      </c>
      <c r="M40" s="66">
        <v>1000</v>
      </c>
      <c r="N40" s="66">
        <v>1000</v>
      </c>
      <c r="O40" s="60">
        <v>55</v>
      </c>
      <c r="P40" s="82">
        <v>0.19020000000000001</v>
      </c>
      <c r="Q40" s="82">
        <v>0.19020000000000001</v>
      </c>
      <c r="R40" s="87">
        <f t="shared" si="21"/>
        <v>3.0127730395423276E-5</v>
      </c>
      <c r="S40" s="87">
        <f t="shared" si="22"/>
        <v>0</v>
      </c>
      <c r="T40" s="87">
        <f t="shared" si="23"/>
        <v>7.8431372549019607E-2</v>
      </c>
      <c r="U40" s="88">
        <f t="shared" si="24"/>
        <v>0</v>
      </c>
      <c r="V40" s="89">
        <f t="shared" si="25"/>
        <v>0</v>
      </c>
    </row>
    <row r="41" spans="1:22">
      <c r="A41" s="169">
        <v>33</v>
      </c>
      <c r="B41" s="167" t="s">
        <v>78</v>
      </c>
      <c r="C41" s="168" t="s">
        <v>79</v>
      </c>
      <c r="D41" s="76">
        <v>79897534707.550003</v>
      </c>
      <c r="E41" s="59">
        <f t="shared" si="28"/>
        <v>1.7550909772615975E-2</v>
      </c>
      <c r="F41" s="77">
        <v>100</v>
      </c>
      <c r="G41" s="77">
        <v>100</v>
      </c>
      <c r="H41" s="60">
        <v>4301</v>
      </c>
      <c r="I41" s="82">
        <v>0.17699999999999999</v>
      </c>
      <c r="J41" s="82">
        <v>0.17699999999999999</v>
      </c>
      <c r="K41" s="76">
        <v>81008163470.399994</v>
      </c>
      <c r="L41" s="59">
        <f t="shared" si="29"/>
        <v>1.7794879067526026E-2</v>
      </c>
      <c r="M41" s="77">
        <v>100</v>
      </c>
      <c r="N41" s="77">
        <v>100</v>
      </c>
      <c r="O41" s="60">
        <v>4301</v>
      </c>
      <c r="P41" s="82">
        <v>0.19570000000000001</v>
      </c>
      <c r="Q41" s="82">
        <v>0.19570000000000001</v>
      </c>
      <c r="R41" s="87">
        <f t="shared" si="21"/>
        <v>1.3900663730304569E-2</v>
      </c>
      <c r="S41" s="87">
        <f t="shared" si="22"/>
        <v>0</v>
      </c>
      <c r="T41" s="87">
        <f t="shared" si="23"/>
        <v>0</v>
      </c>
      <c r="U41" s="88">
        <f t="shared" si="24"/>
        <v>1.8700000000000022E-2</v>
      </c>
      <c r="V41" s="89">
        <f t="shared" si="25"/>
        <v>1.8700000000000022E-2</v>
      </c>
    </row>
    <row r="42" spans="1:22">
      <c r="A42" s="169">
        <v>34</v>
      </c>
      <c r="B42" s="167" t="s">
        <v>80</v>
      </c>
      <c r="C42" s="168" t="s">
        <v>79</v>
      </c>
      <c r="D42" s="76">
        <v>11315072830.129999</v>
      </c>
      <c r="E42" s="59">
        <f t="shared" si="28"/>
        <v>2.4855563195922258E-3</v>
      </c>
      <c r="F42" s="77">
        <v>1000000</v>
      </c>
      <c r="G42" s="77">
        <v>1000000</v>
      </c>
      <c r="H42" s="60">
        <v>45</v>
      </c>
      <c r="I42" s="82">
        <v>0.1807</v>
      </c>
      <c r="J42" s="82">
        <v>0.1807</v>
      </c>
      <c r="K42" s="76">
        <v>11016554343</v>
      </c>
      <c r="L42" s="59">
        <f t="shared" si="29"/>
        <v>2.4199814423165526E-3</v>
      </c>
      <c r="M42" s="77">
        <v>1000000</v>
      </c>
      <c r="N42" s="77">
        <v>1000000</v>
      </c>
      <c r="O42" s="60">
        <v>45</v>
      </c>
      <c r="P42" s="82">
        <v>0.20039999999999999</v>
      </c>
      <c r="Q42" s="82">
        <v>0.20039999999999999</v>
      </c>
      <c r="R42" s="87">
        <f t="shared" si="21"/>
        <v>-2.6382374343636415E-2</v>
      </c>
      <c r="S42" s="87">
        <f t="shared" si="22"/>
        <v>0</v>
      </c>
      <c r="T42" s="87">
        <f t="shared" si="23"/>
        <v>0</v>
      </c>
      <c r="U42" s="88">
        <f t="shared" si="24"/>
        <v>1.9699999999999995E-2</v>
      </c>
      <c r="V42" s="89">
        <f t="shared" si="25"/>
        <v>1.9699999999999995E-2</v>
      </c>
    </row>
    <row r="43" spans="1:22">
      <c r="A43" s="169">
        <v>35</v>
      </c>
      <c r="B43" s="167" t="s">
        <v>81</v>
      </c>
      <c r="C43" s="168" t="s">
        <v>82</v>
      </c>
      <c r="D43" s="76">
        <v>8100324981.7799997</v>
      </c>
      <c r="E43" s="59">
        <f t="shared" si="28"/>
        <v>1.7793799696632392E-3</v>
      </c>
      <c r="F43" s="66">
        <v>1</v>
      </c>
      <c r="G43" s="66">
        <v>1</v>
      </c>
      <c r="H43" s="60">
        <v>1073</v>
      </c>
      <c r="I43" s="82">
        <v>0.1802</v>
      </c>
      <c r="J43" s="82">
        <v>0.1802</v>
      </c>
      <c r="K43" s="76">
        <v>7228877412.6000004</v>
      </c>
      <c r="L43" s="59">
        <f t="shared" si="29"/>
        <v>1.5879510636997815E-3</v>
      </c>
      <c r="M43" s="66">
        <v>1</v>
      </c>
      <c r="N43" s="66">
        <v>1</v>
      </c>
      <c r="O43" s="60">
        <v>1091</v>
      </c>
      <c r="P43" s="82">
        <v>0.1993</v>
      </c>
      <c r="Q43" s="82">
        <v>0.1993</v>
      </c>
      <c r="R43" s="87">
        <f t="shared" si="21"/>
        <v>-0.10758180334000671</v>
      </c>
      <c r="S43" s="87">
        <f t="shared" si="22"/>
        <v>0</v>
      </c>
      <c r="T43" s="87">
        <f t="shared" si="23"/>
        <v>1.6775396085740912E-2</v>
      </c>
      <c r="U43" s="88">
        <f t="shared" si="24"/>
        <v>1.9100000000000006E-2</v>
      </c>
      <c r="V43" s="89">
        <f t="shared" si="25"/>
        <v>1.9100000000000006E-2</v>
      </c>
    </row>
    <row r="44" spans="1:22">
      <c r="A44" s="169">
        <v>36</v>
      </c>
      <c r="B44" s="167" t="s">
        <v>83</v>
      </c>
      <c r="C44" s="168" t="s">
        <v>84</v>
      </c>
      <c r="D44" s="76">
        <v>677292444206</v>
      </c>
      <c r="E44" s="59">
        <f t="shared" si="28"/>
        <v>0.1487792911438951</v>
      </c>
      <c r="F44" s="66">
        <v>100</v>
      </c>
      <c r="G44" s="66">
        <v>100</v>
      </c>
      <c r="H44" s="60">
        <v>33195</v>
      </c>
      <c r="I44" s="82">
        <v>0.17119999999999999</v>
      </c>
      <c r="J44" s="82">
        <v>0.17119999999999999</v>
      </c>
      <c r="K44" s="76">
        <v>680590327286.59998</v>
      </c>
      <c r="L44" s="59">
        <f t="shared" si="29"/>
        <v>0.14950372962125374</v>
      </c>
      <c r="M44" s="66">
        <v>100</v>
      </c>
      <c r="N44" s="66">
        <v>100</v>
      </c>
      <c r="O44" s="60">
        <v>33188</v>
      </c>
      <c r="P44" s="82">
        <v>0.17050000000000001</v>
      </c>
      <c r="Q44" s="82">
        <v>0.17050000000000001</v>
      </c>
      <c r="R44" s="87">
        <f t="shared" si="21"/>
        <v>4.8692158148407119E-3</v>
      </c>
      <c r="S44" s="87">
        <f t="shared" si="22"/>
        <v>0</v>
      </c>
      <c r="T44" s="87">
        <f t="shared" si="23"/>
        <v>-2.1087513179695737E-4</v>
      </c>
      <c r="U44" s="88">
        <f t="shared" si="24"/>
        <v>-6.9999999999997842E-4</v>
      </c>
      <c r="V44" s="89">
        <f t="shared" si="25"/>
        <v>-6.9999999999997842E-4</v>
      </c>
    </row>
    <row r="45" spans="1:22">
      <c r="A45" s="169">
        <v>37</v>
      </c>
      <c r="B45" s="167" t="s">
        <v>85</v>
      </c>
      <c r="C45" s="168" t="s">
        <v>86</v>
      </c>
      <c r="D45" s="76">
        <v>3448814235.8299999</v>
      </c>
      <c r="E45" s="59">
        <f t="shared" si="28"/>
        <v>7.575931810302279E-4</v>
      </c>
      <c r="F45" s="66">
        <v>1</v>
      </c>
      <c r="G45" s="66">
        <v>1</v>
      </c>
      <c r="H45" s="78">
        <v>1746</v>
      </c>
      <c r="I45" s="85">
        <v>0.1961</v>
      </c>
      <c r="J45" s="85">
        <v>0.1961</v>
      </c>
      <c r="K45" s="76">
        <v>3466056713.5999999</v>
      </c>
      <c r="L45" s="59">
        <f t="shared" si="29"/>
        <v>7.6138079691481428E-4</v>
      </c>
      <c r="M45" s="66">
        <v>1</v>
      </c>
      <c r="N45" s="66">
        <v>1</v>
      </c>
      <c r="O45" s="78">
        <v>1750</v>
      </c>
      <c r="P45" s="85">
        <v>0.19589999999999999</v>
      </c>
      <c r="Q45" s="85">
        <v>0.19589999999999999</v>
      </c>
      <c r="R45" s="87">
        <f t="shared" si="21"/>
        <v>4.9995379834803901E-3</v>
      </c>
      <c r="S45" s="87">
        <f t="shared" si="22"/>
        <v>0</v>
      </c>
      <c r="T45" s="87">
        <f t="shared" si="23"/>
        <v>2.2909507445589921E-3</v>
      </c>
      <c r="U45" s="88">
        <f t="shared" si="24"/>
        <v>-2.0000000000000573E-4</v>
      </c>
      <c r="V45" s="89">
        <f t="shared" si="25"/>
        <v>-2.0000000000000573E-4</v>
      </c>
    </row>
    <row r="46" spans="1:22">
      <c r="A46" s="169">
        <v>38</v>
      </c>
      <c r="B46" s="167" t="s">
        <v>87</v>
      </c>
      <c r="C46" s="168" t="s">
        <v>88</v>
      </c>
      <c r="D46" s="76">
        <v>2925524440.0599999</v>
      </c>
      <c r="E46" s="59">
        <f t="shared" si="28"/>
        <v>6.4264330148629701E-4</v>
      </c>
      <c r="F46" s="66">
        <v>1</v>
      </c>
      <c r="G46" s="66">
        <v>1</v>
      </c>
      <c r="H46" s="78">
        <v>461</v>
      </c>
      <c r="I46" s="85">
        <v>0.1797</v>
      </c>
      <c r="J46" s="85">
        <v>0.1797</v>
      </c>
      <c r="K46" s="76">
        <v>3120143215</v>
      </c>
      <c r="L46" s="59">
        <f t="shared" si="29"/>
        <v>6.8539476523961135E-4</v>
      </c>
      <c r="M46" s="66">
        <v>1</v>
      </c>
      <c r="N46" s="66">
        <v>1</v>
      </c>
      <c r="O46" s="78">
        <v>470</v>
      </c>
      <c r="P46" s="85">
        <v>0.17499999999999999</v>
      </c>
      <c r="Q46" s="85">
        <v>0.17499999999999999</v>
      </c>
      <c r="R46" s="87">
        <f t="shared" si="21"/>
        <v>6.6524405769793737E-2</v>
      </c>
      <c r="S46" s="87">
        <f t="shared" si="22"/>
        <v>0</v>
      </c>
      <c r="T46" s="87">
        <f t="shared" si="23"/>
        <v>1.9522776572668113E-2</v>
      </c>
      <c r="U46" s="88">
        <f t="shared" si="24"/>
        <v>-4.7000000000000097E-3</v>
      </c>
      <c r="V46" s="89">
        <f t="shared" si="25"/>
        <v>-4.7000000000000097E-3</v>
      </c>
    </row>
    <row r="47" spans="1:22">
      <c r="A47" s="169">
        <v>39</v>
      </c>
      <c r="B47" s="167" t="s">
        <v>89</v>
      </c>
      <c r="C47" s="168" t="s">
        <v>90</v>
      </c>
      <c r="D47" s="76">
        <v>8198844</v>
      </c>
      <c r="E47" s="59">
        <f t="shared" si="28"/>
        <v>1.8010214183762061E-6</v>
      </c>
      <c r="F47" s="66">
        <v>1</v>
      </c>
      <c r="G47" s="66">
        <v>1</v>
      </c>
      <c r="H47" s="78">
        <v>19</v>
      </c>
      <c r="I47" s="85">
        <v>0</v>
      </c>
      <c r="J47" s="85">
        <v>0</v>
      </c>
      <c r="K47" s="76">
        <v>8198844</v>
      </c>
      <c r="L47" s="59">
        <f t="shared" si="29"/>
        <v>1.8010214183762061E-6</v>
      </c>
      <c r="M47" s="66">
        <v>1</v>
      </c>
      <c r="N47" s="66">
        <v>1</v>
      </c>
      <c r="O47" s="78">
        <v>21</v>
      </c>
      <c r="P47" s="85">
        <v>2E-3</v>
      </c>
      <c r="Q47" s="85">
        <v>2E-3</v>
      </c>
      <c r="R47" s="87">
        <f t="shared" si="21"/>
        <v>0</v>
      </c>
      <c r="S47" s="87">
        <f t="shared" si="22"/>
        <v>0</v>
      </c>
      <c r="T47" s="87">
        <f t="shared" si="23"/>
        <v>0.10526315789473684</v>
      </c>
      <c r="U47" s="88">
        <f t="shared" si="24"/>
        <v>2E-3</v>
      </c>
      <c r="V47" s="89">
        <f t="shared" si="25"/>
        <v>2E-3</v>
      </c>
    </row>
    <row r="48" spans="1:22">
      <c r="A48" s="169">
        <v>40</v>
      </c>
      <c r="B48" s="167" t="s">
        <v>91</v>
      </c>
      <c r="C48" s="168" t="s">
        <v>92</v>
      </c>
      <c r="D48" s="76">
        <v>1686353955.1600001</v>
      </c>
      <c r="E48" s="59">
        <f t="shared" si="28"/>
        <v>3.7043753878066081E-4</v>
      </c>
      <c r="F48" s="66">
        <v>10</v>
      </c>
      <c r="G48" s="66">
        <v>10</v>
      </c>
      <c r="H48" s="60">
        <v>508</v>
      </c>
      <c r="I48" s="82">
        <v>0.17299999999999999</v>
      </c>
      <c r="J48" s="82">
        <v>0.17299999999999999</v>
      </c>
      <c r="K48" s="76">
        <v>1738741591.3399999</v>
      </c>
      <c r="L48" s="59">
        <f t="shared" si="29"/>
        <v>3.8194541169765743E-4</v>
      </c>
      <c r="M48" s="66">
        <v>10</v>
      </c>
      <c r="N48" s="66">
        <v>10</v>
      </c>
      <c r="O48" s="60">
        <v>512</v>
      </c>
      <c r="P48" s="82">
        <v>0.17330000000000001</v>
      </c>
      <c r="Q48" s="82">
        <v>0.17330000000000001</v>
      </c>
      <c r="R48" s="87">
        <f t="shared" si="21"/>
        <v>3.1065622978913302E-2</v>
      </c>
      <c r="S48" s="87">
        <f t="shared" si="22"/>
        <v>0</v>
      </c>
      <c r="T48" s="87">
        <f t="shared" si="23"/>
        <v>7.874015748031496E-3</v>
      </c>
      <c r="U48" s="88">
        <f t="shared" si="24"/>
        <v>3.0000000000002247E-4</v>
      </c>
      <c r="V48" s="89">
        <f t="shared" si="25"/>
        <v>3.0000000000002247E-4</v>
      </c>
    </row>
    <row r="49" spans="1:22">
      <c r="A49" s="169">
        <v>41</v>
      </c>
      <c r="B49" s="167" t="s">
        <v>93</v>
      </c>
      <c r="C49" s="168" t="s">
        <v>94</v>
      </c>
      <c r="D49" s="76">
        <v>9582515239.1800003</v>
      </c>
      <c r="E49" s="59">
        <f t="shared" si="28"/>
        <v>2.1049693331986283E-3</v>
      </c>
      <c r="F49" s="66">
        <v>100</v>
      </c>
      <c r="G49" s="66">
        <v>100</v>
      </c>
      <c r="H49" s="60">
        <v>993</v>
      </c>
      <c r="I49" s="82">
        <v>0.17730000000000001</v>
      </c>
      <c r="J49" s="82">
        <v>0.17730000000000001</v>
      </c>
      <c r="K49" s="76">
        <v>9673083102.9200001</v>
      </c>
      <c r="L49" s="59">
        <f t="shared" si="29"/>
        <v>2.1248641698868634E-3</v>
      </c>
      <c r="M49" s="66">
        <v>100</v>
      </c>
      <c r="N49" s="66">
        <v>100</v>
      </c>
      <c r="O49" s="60">
        <v>997</v>
      </c>
      <c r="P49" s="82">
        <v>0.15229999999999999</v>
      </c>
      <c r="Q49" s="82">
        <v>0.15229999999999999</v>
      </c>
      <c r="R49" s="87">
        <f t="shared" si="21"/>
        <v>9.4513665232375758E-3</v>
      </c>
      <c r="S49" s="87">
        <f t="shared" si="22"/>
        <v>0</v>
      </c>
      <c r="T49" s="87">
        <f t="shared" si="23"/>
        <v>4.0281973816717019E-3</v>
      </c>
      <c r="U49" s="88">
        <f t="shared" si="24"/>
        <v>-2.5000000000000022E-2</v>
      </c>
      <c r="V49" s="89">
        <f t="shared" si="25"/>
        <v>-2.5000000000000022E-2</v>
      </c>
    </row>
    <row r="50" spans="1:22">
      <c r="A50" s="169">
        <v>42</v>
      </c>
      <c r="B50" s="167" t="s">
        <v>95</v>
      </c>
      <c r="C50" s="167" t="s">
        <v>96</v>
      </c>
      <c r="D50" s="79">
        <v>127851878.467795</v>
      </c>
      <c r="E50" s="59">
        <f>(D50/$D$196)</f>
        <v>1.5977881443487694E-3</v>
      </c>
      <c r="F50" s="58">
        <v>1</v>
      </c>
      <c r="G50" s="58">
        <v>1</v>
      </c>
      <c r="H50" s="60">
        <v>160</v>
      </c>
      <c r="I50" s="82">
        <v>0.1699</v>
      </c>
      <c r="J50" s="82">
        <v>0.1699</v>
      </c>
      <c r="K50" s="79">
        <v>128413995.912726</v>
      </c>
      <c r="L50" s="86">
        <f>(K50/$K$196)</f>
        <v>1.5982278329009936E-3</v>
      </c>
      <c r="M50" s="58">
        <v>1</v>
      </c>
      <c r="N50" s="58">
        <v>1</v>
      </c>
      <c r="O50" s="60">
        <v>160</v>
      </c>
      <c r="P50" s="82">
        <v>0.16819999999999999</v>
      </c>
      <c r="Q50" s="82">
        <v>0.16819999999999999</v>
      </c>
      <c r="R50" s="88">
        <f t="shared" si="21"/>
        <v>4.3966303167973708E-3</v>
      </c>
      <c r="S50" s="88">
        <f t="shared" si="22"/>
        <v>0</v>
      </c>
      <c r="T50" s="88">
        <f t="shared" si="23"/>
        <v>0</v>
      </c>
      <c r="U50" s="88">
        <f t="shared" si="24"/>
        <v>-1.7000000000000071E-3</v>
      </c>
      <c r="V50" s="89">
        <f t="shared" si="25"/>
        <v>-1.7000000000000071E-3</v>
      </c>
    </row>
    <row r="51" spans="1:22">
      <c r="A51" s="169">
        <v>43</v>
      </c>
      <c r="B51" s="167" t="s">
        <v>97</v>
      </c>
      <c r="C51" s="168" t="s">
        <v>38</v>
      </c>
      <c r="D51" s="76">
        <v>801967593.90999997</v>
      </c>
      <c r="E51" s="59">
        <f t="shared" ref="E51" si="30">(D51/$K$71)</f>
        <v>1.7616639778431464E-4</v>
      </c>
      <c r="F51" s="66">
        <v>100</v>
      </c>
      <c r="G51" s="66">
        <v>100</v>
      </c>
      <c r="H51" s="60">
        <v>4582</v>
      </c>
      <c r="I51" s="82">
        <v>0.1255</v>
      </c>
      <c r="J51" s="82">
        <v>0.1255</v>
      </c>
      <c r="K51" s="76">
        <v>832257444.95000005</v>
      </c>
      <c r="L51" s="59">
        <f t="shared" ref="L51" si="31">(K51/$K$71)</f>
        <v>1.8282010048709384E-4</v>
      </c>
      <c r="M51" s="66">
        <v>100</v>
      </c>
      <c r="N51" s="66">
        <v>100</v>
      </c>
      <c r="O51" s="60">
        <v>4646</v>
      </c>
      <c r="P51" s="82">
        <v>0.1477</v>
      </c>
      <c r="Q51" s="82">
        <v>0.1477</v>
      </c>
      <c r="R51" s="87">
        <f t="shared" ref="R51" si="32">((K51-D51)/D51)</f>
        <v>3.7769420198541501E-2</v>
      </c>
      <c r="S51" s="87">
        <f t="shared" ref="S51" si="33">((N51-G51)/G51)</f>
        <v>0</v>
      </c>
      <c r="T51" s="87">
        <f t="shared" ref="T51" si="34">((O51-H51)/H51)</f>
        <v>1.3967699694456569E-2</v>
      </c>
      <c r="U51" s="88">
        <f t="shared" ref="U51" si="35">P51-I51</f>
        <v>2.2199999999999998E-2</v>
      </c>
      <c r="V51" s="89">
        <f t="shared" ref="V51" si="36">Q51-J51</f>
        <v>2.2199999999999998E-2</v>
      </c>
    </row>
    <row r="52" spans="1:22">
      <c r="A52" s="169">
        <v>44</v>
      </c>
      <c r="B52" s="167" t="s">
        <v>98</v>
      </c>
      <c r="C52" s="168" t="s">
        <v>38</v>
      </c>
      <c r="D52" s="76">
        <v>221688465793.29999</v>
      </c>
      <c r="E52" s="59">
        <f t="shared" ref="E52:E70" si="37">(D52/$K$71)</f>
        <v>4.8697801190106089E-2</v>
      </c>
      <c r="F52" s="66">
        <v>100</v>
      </c>
      <c r="G52" s="66">
        <v>100</v>
      </c>
      <c r="H52" s="60">
        <v>22384</v>
      </c>
      <c r="I52" s="82">
        <v>0.18260000000000001</v>
      </c>
      <c r="J52" s="82">
        <v>0.18260000000000001</v>
      </c>
      <c r="K52" s="76">
        <v>230882407100.92001</v>
      </c>
      <c r="L52" s="59">
        <f t="shared" ref="L52:L70" si="38">(K52/$K$71)</f>
        <v>5.0717413371325466E-2</v>
      </c>
      <c r="M52" s="66">
        <v>100</v>
      </c>
      <c r="N52" s="66">
        <v>100</v>
      </c>
      <c r="O52" s="60">
        <v>22778</v>
      </c>
      <c r="P52" s="82">
        <v>0.18310000000000001</v>
      </c>
      <c r="Q52" s="82">
        <v>0.18310000000000001</v>
      </c>
      <c r="R52" s="87">
        <f t="shared" si="21"/>
        <v>4.1472348481099423E-2</v>
      </c>
      <c r="S52" s="87">
        <f t="shared" si="22"/>
        <v>0</v>
      </c>
      <c r="T52" s="87">
        <f t="shared" si="23"/>
        <v>1.7601858470335956E-2</v>
      </c>
      <c r="U52" s="88">
        <f t="shared" si="24"/>
        <v>5.0000000000000044E-4</v>
      </c>
      <c r="V52" s="89">
        <f t="shared" si="25"/>
        <v>5.0000000000000044E-4</v>
      </c>
    </row>
    <row r="53" spans="1:22">
      <c r="A53" s="169">
        <v>45</v>
      </c>
      <c r="B53" s="167" t="s">
        <v>99</v>
      </c>
      <c r="C53" s="168" t="s">
        <v>42</v>
      </c>
      <c r="D53" s="76">
        <v>40626713701.129997</v>
      </c>
      <c r="E53" s="59">
        <f t="shared" si="37"/>
        <v>8.9243778188697331E-3</v>
      </c>
      <c r="F53" s="66">
        <v>1</v>
      </c>
      <c r="G53" s="66">
        <v>1</v>
      </c>
      <c r="H53" s="60">
        <v>2734</v>
      </c>
      <c r="I53" s="82">
        <v>0.18890000000000001</v>
      </c>
      <c r="J53" s="82">
        <v>0.18890000000000001</v>
      </c>
      <c r="K53" s="76">
        <v>42620818050.779999</v>
      </c>
      <c r="L53" s="59">
        <f t="shared" si="38"/>
        <v>9.3624181870236821E-3</v>
      </c>
      <c r="M53" s="66">
        <v>1</v>
      </c>
      <c r="N53" s="66">
        <v>1</v>
      </c>
      <c r="O53" s="60">
        <v>2769</v>
      </c>
      <c r="P53" s="82">
        <v>0.18890000000000001</v>
      </c>
      <c r="Q53" s="82">
        <v>0.18890000000000001</v>
      </c>
      <c r="R53" s="87">
        <f t="shared" si="21"/>
        <v>4.9083575017157668E-2</v>
      </c>
      <c r="S53" s="87">
        <f t="shared" si="22"/>
        <v>0</v>
      </c>
      <c r="T53" s="87">
        <f t="shared" si="23"/>
        <v>1.2801755669348939E-2</v>
      </c>
      <c r="U53" s="88">
        <f t="shared" si="24"/>
        <v>0</v>
      </c>
      <c r="V53" s="89">
        <f t="shared" si="25"/>
        <v>0</v>
      </c>
    </row>
    <row r="54" spans="1:22">
      <c r="A54" s="169">
        <v>46</v>
      </c>
      <c r="B54" s="167" t="s">
        <v>100</v>
      </c>
      <c r="C54" s="168" t="s">
        <v>101</v>
      </c>
      <c r="D54" s="76">
        <v>4878188713.3290005</v>
      </c>
      <c r="E54" s="59">
        <f t="shared" si="37"/>
        <v>1.0715806222909713E-3</v>
      </c>
      <c r="F54" s="66">
        <v>100</v>
      </c>
      <c r="G54" s="66">
        <v>100</v>
      </c>
      <c r="H54" s="60">
        <v>341</v>
      </c>
      <c r="I54" s="82">
        <v>0.17369999999999999</v>
      </c>
      <c r="J54" s="82">
        <v>0.17369999999999999</v>
      </c>
      <c r="K54" s="76">
        <v>4918572537.9989996</v>
      </c>
      <c r="L54" s="59">
        <f t="shared" si="38"/>
        <v>1.0804516452286705E-3</v>
      </c>
      <c r="M54" s="66">
        <v>100</v>
      </c>
      <c r="N54" s="66">
        <v>100</v>
      </c>
      <c r="O54" s="60">
        <v>577</v>
      </c>
      <c r="P54" s="82">
        <v>0.17319999999999999</v>
      </c>
      <c r="Q54" s="82">
        <v>0.17319999999999999</v>
      </c>
      <c r="R54" s="87">
        <f t="shared" si="21"/>
        <v>8.2784465799069454E-3</v>
      </c>
      <c r="S54" s="87">
        <f t="shared" si="22"/>
        <v>0</v>
      </c>
      <c r="T54" s="87">
        <f t="shared" si="23"/>
        <v>0.6920821114369502</v>
      </c>
      <c r="U54" s="88">
        <f t="shared" si="24"/>
        <v>-5.0000000000000044E-4</v>
      </c>
      <c r="V54" s="89">
        <f t="shared" si="25"/>
        <v>-5.0000000000000044E-4</v>
      </c>
    </row>
    <row r="55" spans="1:22">
      <c r="A55" s="169">
        <v>47</v>
      </c>
      <c r="B55" s="167" t="s">
        <v>102</v>
      </c>
      <c r="C55" s="168" t="s">
        <v>44</v>
      </c>
      <c r="D55" s="80">
        <v>81984679437.399994</v>
      </c>
      <c r="E55" s="59">
        <f t="shared" si="37"/>
        <v>1.8009388109526746E-2</v>
      </c>
      <c r="F55" s="66">
        <v>10</v>
      </c>
      <c r="G55" s="66">
        <v>10</v>
      </c>
      <c r="H55" s="60">
        <v>8127</v>
      </c>
      <c r="I55" s="82">
        <v>0.18379999999999999</v>
      </c>
      <c r="J55" s="82">
        <v>0.18379999999999999</v>
      </c>
      <c r="K55" s="80">
        <v>87725365401.800003</v>
      </c>
      <c r="L55" s="59">
        <f t="shared" si="38"/>
        <v>1.9270431541754032E-2</v>
      </c>
      <c r="M55" s="66">
        <v>10</v>
      </c>
      <c r="N55" s="66">
        <v>10</v>
      </c>
      <c r="O55" s="60">
        <v>7606</v>
      </c>
      <c r="P55" s="82">
        <v>0.2029</v>
      </c>
      <c r="Q55" s="82">
        <v>0.2029</v>
      </c>
      <c r="R55" s="87">
        <f t="shared" si="21"/>
        <v>7.0021447955814137E-2</v>
      </c>
      <c r="S55" s="87">
        <f t="shared" si="22"/>
        <v>0</v>
      </c>
      <c r="T55" s="87">
        <f t="shared" si="23"/>
        <v>-6.41072966654362E-2</v>
      </c>
      <c r="U55" s="88">
        <f t="shared" si="24"/>
        <v>1.9100000000000006E-2</v>
      </c>
      <c r="V55" s="89">
        <f t="shared" si="25"/>
        <v>1.9100000000000006E-2</v>
      </c>
    </row>
    <row r="56" spans="1:22">
      <c r="A56" s="169">
        <v>48</v>
      </c>
      <c r="B56" s="167" t="s">
        <v>103</v>
      </c>
      <c r="C56" s="168" t="s">
        <v>104</v>
      </c>
      <c r="D56" s="76">
        <v>31276451886</v>
      </c>
      <c r="E56" s="59">
        <f t="shared" si="37"/>
        <v>6.870427067218121E-3</v>
      </c>
      <c r="F56" s="66">
        <v>100</v>
      </c>
      <c r="G56" s="66">
        <v>100</v>
      </c>
      <c r="H56" s="60">
        <v>5232</v>
      </c>
      <c r="I56" s="82">
        <v>0.18690000000000001</v>
      </c>
      <c r="J56" s="82">
        <v>0.18690000000000001</v>
      </c>
      <c r="K56" s="76">
        <v>31611674089</v>
      </c>
      <c r="L56" s="59">
        <f t="shared" si="38"/>
        <v>6.9440645662994863E-3</v>
      </c>
      <c r="M56" s="66">
        <v>100</v>
      </c>
      <c r="N56" s="66">
        <v>100</v>
      </c>
      <c r="O56" s="60">
        <v>5265</v>
      </c>
      <c r="P56" s="82">
        <v>0.188</v>
      </c>
      <c r="Q56" s="82">
        <v>0.188</v>
      </c>
      <c r="R56" s="87">
        <f t="shared" si="21"/>
        <v>1.0718038101695689E-2</v>
      </c>
      <c r="S56" s="87">
        <f t="shared" si="22"/>
        <v>0</v>
      </c>
      <c r="T56" s="87">
        <f t="shared" si="23"/>
        <v>6.3073394495412848E-3</v>
      </c>
      <c r="U56" s="88">
        <f t="shared" si="24"/>
        <v>1.0999999999999899E-3</v>
      </c>
      <c r="V56" s="89">
        <f t="shared" si="25"/>
        <v>1.0999999999999899E-3</v>
      </c>
    </row>
    <row r="57" spans="1:22">
      <c r="A57" s="169">
        <v>49</v>
      </c>
      <c r="B57" s="167" t="s">
        <v>105</v>
      </c>
      <c r="C57" s="168" t="s">
        <v>106</v>
      </c>
      <c r="D57" s="76">
        <v>177626839.99000001</v>
      </c>
      <c r="E57" s="59">
        <f t="shared" si="37"/>
        <v>3.9018884040295583E-5</v>
      </c>
      <c r="F57" s="66">
        <v>1</v>
      </c>
      <c r="G57" s="66">
        <v>1</v>
      </c>
      <c r="H57" s="60">
        <v>94</v>
      </c>
      <c r="I57" s="82">
        <v>0.18659999999999999</v>
      </c>
      <c r="J57" s="82">
        <v>0.18659999999999999</v>
      </c>
      <c r="K57" s="76">
        <v>177941839.87</v>
      </c>
      <c r="L57" s="59">
        <f t="shared" si="38"/>
        <v>3.9088079347666467E-5</v>
      </c>
      <c r="M57" s="66">
        <v>1</v>
      </c>
      <c r="N57" s="66">
        <v>1</v>
      </c>
      <c r="O57" s="60">
        <v>94</v>
      </c>
      <c r="P57" s="82">
        <v>0.18509999999999999</v>
      </c>
      <c r="Q57" s="82">
        <v>0.18509999999999999</v>
      </c>
      <c r="R57" s="87">
        <f t="shared" si="21"/>
        <v>1.7733799690279296E-3</v>
      </c>
      <c r="S57" s="87">
        <f t="shared" si="22"/>
        <v>0</v>
      </c>
      <c r="T57" s="87">
        <f t="shared" si="23"/>
        <v>0</v>
      </c>
      <c r="U57" s="88">
        <f t="shared" si="24"/>
        <v>-1.5000000000000013E-3</v>
      </c>
      <c r="V57" s="89">
        <f t="shared" si="25"/>
        <v>-1.5000000000000013E-3</v>
      </c>
    </row>
    <row r="58" spans="1:22">
      <c r="A58" s="169">
        <v>50</v>
      </c>
      <c r="B58" s="167" t="s">
        <v>107</v>
      </c>
      <c r="C58" s="168" t="s">
        <v>46</v>
      </c>
      <c r="D58" s="80">
        <v>2302623310.29</v>
      </c>
      <c r="E58" s="59">
        <f t="shared" si="37"/>
        <v>5.0581202670579059E-4</v>
      </c>
      <c r="F58" s="66">
        <v>10</v>
      </c>
      <c r="G58" s="66">
        <v>10</v>
      </c>
      <c r="H58" s="60">
        <v>906</v>
      </c>
      <c r="I58" s="82">
        <v>0.15809999999999999</v>
      </c>
      <c r="J58" s="82">
        <v>0.15809999999999999</v>
      </c>
      <c r="K58" s="80">
        <v>2322624221.3499999</v>
      </c>
      <c r="L58" s="59">
        <f t="shared" si="38"/>
        <v>5.1020558135887305E-4</v>
      </c>
      <c r="M58" s="66">
        <v>10</v>
      </c>
      <c r="N58" s="66">
        <v>10</v>
      </c>
      <c r="O58" s="60">
        <v>918</v>
      </c>
      <c r="P58" s="82">
        <v>0.17419999999999999</v>
      </c>
      <c r="Q58" s="82">
        <v>0.17419999999999999</v>
      </c>
      <c r="R58" s="87">
        <f t="shared" si="21"/>
        <v>8.6861411376405132E-3</v>
      </c>
      <c r="S58" s="87">
        <f t="shared" si="22"/>
        <v>0</v>
      </c>
      <c r="T58" s="87">
        <f t="shared" si="23"/>
        <v>1.3245033112582781E-2</v>
      </c>
      <c r="U58" s="88">
        <f t="shared" si="24"/>
        <v>1.6100000000000003E-2</v>
      </c>
      <c r="V58" s="89">
        <f t="shared" si="25"/>
        <v>1.6100000000000003E-2</v>
      </c>
    </row>
    <row r="59" spans="1:22">
      <c r="A59" s="169">
        <v>51</v>
      </c>
      <c r="B59" s="167" t="s">
        <v>108</v>
      </c>
      <c r="C59" s="168" t="s">
        <v>109</v>
      </c>
      <c r="D59" s="80">
        <v>1072327493</v>
      </c>
      <c r="E59" s="59">
        <f t="shared" si="37"/>
        <v>2.3555574205420438E-4</v>
      </c>
      <c r="F59" s="66">
        <v>1</v>
      </c>
      <c r="G59" s="66">
        <v>1</v>
      </c>
      <c r="H59" s="60">
        <v>160</v>
      </c>
      <c r="I59" s="82">
        <v>0.21099999999999999</v>
      </c>
      <c r="J59" s="82">
        <v>0.21099999999999999</v>
      </c>
      <c r="K59" s="80">
        <v>1079521472</v>
      </c>
      <c r="L59" s="59">
        <f t="shared" si="38"/>
        <v>2.3713602706296275E-4</v>
      </c>
      <c r="M59" s="66">
        <v>1</v>
      </c>
      <c r="N59" s="66">
        <v>1</v>
      </c>
      <c r="O59" s="60">
        <v>163</v>
      </c>
      <c r="P59" s="82">
        <v>0.22539999999999999</v>
      </c>
      <c r="Q59" s="82">
        <v>0.22539999999999999</v>
      </c>
      <c r="R59" s="87">
        <f t="shared" si="21"/>
        <v>6.7087518010694146E-3</v>
      </c>
      <c r="S59" s="87">
        <f t="shared" si="22"/>
        <v>0</v>
      </c>
      <c r="T59" s="87">
        <f t="shared" si="23"/>
        <v>1.8749999999999999E-2</v>
      </c>
      <c r="U59" s="88">
        <f t="shared" si="24"/>
        <v>1.4399999999999996E-2</v>
      </c>
      <c r="V59" s="89">
        <f t="shared" si="25"/>
        <v>1.4399999999999996E-2</v>
      </c>
    </row>
    <row r="60" spans="1:22">
      <c r="A60" s="169">
        <v>52</v>
      </c>
      <c r="B60" s="167" t="s">
        <v>110</v>
      </c>
      <c r="C60" s="168" t="s">
        <v>111</v>
      </c>
      <c r="D60" s="80">
        <v>1844775154.7</v>
      </c>
      <c r="E60" s="59">
        <f t="shared" si="37"/>
        <v>4.0523756345443076E-4</v>
      </c>
      <c r="F60" s="66">
        <v>1</v>
      </c>
      <c r="G60" s="66">
        <v>1</v>
      </c>
      <c r="H60" s="60">
        <v>1616</v>
      </c>
      <c r="I60" s="82">
        <v>4.0899999999999999E-2</v>
      </c>
      <c r="J60" s="82">
        <v>4.0899999999999999E-2</v>
      </c>
      <c r="K60" s="80">
        <v>1889497653.5999999</v>
      </c>
      <c r="L60" s="59">
        <f t="shared" si="38"/>
        <v>4.1506165309465398E-4</v>
      </c>
      <c r="M60" s="66">
        <v>1</v>
      </c>
      <c r="N60" s="66">
        <v>1</v>
      </c>
      <c r="O60" s="60">
        <v>1652</v>
      </c>
      <c r="P60" s="82">
        <v>0.17280000000000001</v>
      </c>
      <c r="Q60" s="82">
        <v>0.17280000000000001</v>
      </c>
      <c r="R60" s="87">
        <f t="shared" si="21"/>
        <v>2.4242791207404728E-2</v>
      </c>
      <c r="S60" s="87">
        <f t="shared" si="22"/>
        <v>0</v>
      </c>
      <c r="T60" s="87">
        <f t="shared" si="23"/>
        <v>2.2277227722772276E-2</v>
      </c>
      <c r="U60" s="88">
        <f t="shared" si="24"/>
        <v>0.13190000000000002</v>
      </c>
      <c r="V60" s="89">
        <f t="shared" si="25"/>
        <v>0.13190000000000002</v>
      </c>
    </row>
    <row r="61" spans="1:22">
      <c r="A61" s="169">
        <v>53</v>
      </c>
      <c r="B61" s="167" t="s">
        <v>112</v>
      </c>
      <c r="C61" s="168" t="s">
        <v>113</v>
      </c>
      <c r="D61" s="80">
        <v>16126669246.518101</v>
      </c>
      <c r="E61" s="59">
        <f t="shared" si="37"/>
        <v>3.5425087634364028E-3</v>
      </c>
      <c r="F61" s="66">
        <v>100</v>
      </c>
      <c r="G61" s="66">
        <v>100</v>
      </c>
      <c r="H61" s="60">
        <v>150</v>
      </c>
      <c r="I61" s="82">
        <v>0.1676</v>
      </c>
      <c r="J61" s="82">
        <v>0.1676</v>
      </c>
      <c r="K61" s="80">
        <v>16548252155.3381</v>
      </c>
      <c r="L61" s="59">
        <f t="shared" si="38"/>
        <v>3.6351169223922462E-3</v>
      </c>
      <c r="M61" s="66">
        <v>100</v>
      </c>
      <c r="N61" s="66">
        <v>100</v>
      </c>
      <c r="O61" s="60">
        <v>153</v>
      </c>
      <c r="P61" s="82">
        <v>0.17180000000000001</v>
      </c>
      <c r="Q61" s="82">
        <v>0.17180000000000001</v>
      </c>
      <c r="R61" s="87">
        <f t="shared" si="21"/>
        <v>2.6141970321058292E-2</v>
      </c>
      <c r="S61" s="87">
        <f t="shared" si="22"/>
        <v>0</v>
      </c>
      <c r="T61" s="87">
        <f t="shared" si="23"/>
        <v>0.02</v>
      </c>
      <c r="U61" s="88">
        <f t="shared" si="24"/>
        <v>4.2000000000000093E-3</v>
      </c>
      <c r="V61" s="89">
        <f t="shared" si="25"/>
        <v>4.2000000000000093E-3</v>
      </c>
    </row>
    <row r="62" spans="1:22">
      <c r="A62" s="169">
        <v>54</v>
      </c>
      <c r="B62" s="167" t="s">
        <v>114</v>
      </c>
      <c r="C62" s="168" t="s">
        <v>77</v>
      </c>
      <c r="D62" s="80">
        <v>70345551.079999998</v>
      </c>
      <c r="E62" s="59">
        <f t="shared" si="37"/>
        <v>1.54526472491192E-5</v>
      </c>
      <c r="F62" s="66">
        <v>1000</v>
      </c>
      <c r="G62" s="66">
        <v>1000</v>
      </c>
      <c r="H62" s="60">
        <v>23</v>
      </c>
      <c r="I62" s="82">
        <v>0.24340000000000001</v>
      </c>
      <c r="J62" s="82">
        <v>0.24340000000000001</v>
      </c>
      <c r="K62" s="80">
        <v>70619131.900000006</v>
      </c>
      <c r="L62" s="59">
        <f t="shared" si="38"/>
        <v>1.5512744125761436E-5</v>
      </c>
      <c r="M62" s="66">
        <v>1000</v>
      </c>
      <c r="N62" s="66">
        <v>1000</v>
      </c>
      <c r="O62" s="60">
        <v>23</v>
      </c>
      <c r="P62" s="82">
        <v>0.24340000000000001</v>
      </c>
      <c r="Q62" s="82">
        <v>0.24340000000000001</v>
      </c>
      <c r="R62" s="87">
        <f t="shared" si="21"/>
        <v>3.8890991086114293E-3</v>
      </c>
      <c r="S62" s="87">
        <f t="shared" si="22"/>
        <v>0</v>
      </c>
      <c r="T62" s="87">
        <f t="shared" si="23"/>
        <v>0</v>
      </c>
      <c r="U62" s="88">
        <f t="shared" si="24"/>
        <v>0</v>
      </c>
      <c r="V62" s="89">
        <f t="shared" si="25"/>
        <v>0</v>
      </c>
    </row>
    <row r="63" spans="1:22">
      <c r="A63" s="169">
        <v>55</v>
      </c>
      <c r="B63" s="167" t="s">
        <v>115</v>
      </c>
      <c r="C63" s="168" t="s">
        <v>50</v>
      </c>
      <c r="D63" s="76">
        <v>2216533179292.04</v>
      </c>
      <c r="E63" s="59">
        <f t="shared" si="37"/>
        <v>0.48690080338721792</v>
      </c>
      <c r="F63" s="66">
        <v>100</v>
      </c>
      <c r="G63" s="66">
        <v>100</v>
      </c>
      <c r="H63" s="60">
        <v>251458</v>
      </c>
      <c r="I63" s="82">
        <v>0.1658</v>
      </c>
      <c r="J63" s="82">
        <v>0.1658</v>
      </c>
      <c r="K63" s="76">
        <v>2231681546271.0898</v>
      </c>
      <c r="L63" s="59">
        <f t="shared" si="38"/>
        <v>0.49022841071609158</v>
      </c>
      <c r="M63" s="66">
        <v>100</v>
      </c>
      <c r="N63" s="66">
        <v>100</v>
      </c>
      <c r="O63" s="60">
        <v>253781</v>
      </c>
      <c r="P63" s="82">
        <v>0.17019999999999999</v>
      </c>
      <c r="Q63" s="82">
        <v>0.17019999999999999</v>
      </c>
      <c r="R63" s="87">
        <f t="shared" si="21"/>
        <v>6.8342613233013678E-3</v>
      </c>
      <c r="S63" s="87">
        <f t="shared" si="22"/>
        <v>0</v>
      </c>
      <c r="T63" s="87">
        <f t="shared" si="23"/>
        <v>9.2381232651178331E-3</v>
      </c>
      <c r="U63" s="88">
        <f t="shared" si="24"/>
        <v>4.3999999999999873E-3</v>
      </c>
      <c r="V63" s="89">
        <f t="shared" si="25"/>
        <v>4.3999999999999873E-3</v>
      </c>
    </row>
    <row r="64" spans="1:22">
      <c r="A64" s="169">
        <v>56</v>
      </c>
      <c r="B64" s="167" t="s">
        <v>116</v>
      </c>
      <c r="C64" s="167" t="s">
        <v>117</v>
      </c>
      <c r="D64" s="76">
        <v>6845011066.54</v>
      </c>
      <c r="E64" s="59">
        <f t="shared" si="37"/>
        <v>1.503628016322874E-3</v>
      </c>
      <c r="F64" s="66">
        <v>100</v>
      </c>
      <c r="G64" s="66">
        <v>100</v>
      </c>
      <c r="H64" s="60">
        <v>918</v>
      </c>
      <c r="I64" s="82">
        <v>0.2044</v>
      </c>
      <c r="J64" s="82">
        <v>0.2044</v>
      </c>
      <c r="K64" s="76">
        <v>6979019754.0699997</v>
      </c>
      <c r="L64" s="59">
        <f t="shared" si="38"/>
        <v>1.5330653999942811E-3</v>
      </c>
      <c r="M64" s="66">
        <v>100</v>
      </c>
      <c r="N64" s="66">
        <v>100</v>
      </c>
      <c r="O64" s="60">
        <v>935</v>
      </c>
      <c r="P64" s="82">
        <v>0.20319999999999999</v>
      </c>
      <c r="Q64" s="82">
        <v>0.20319999999999999</v>
      </c>
      <c r="R64" s="87">
        <f t="shared" si="21"/>
        <v>1.9577570617097355E-2</v>
      </c>
      <c r="S64" s="87">
        <f t="shared" si="22"/>
        <v>0</v>
      </c>
      <c r="T64" s="87">
        <f t="shared" si="23"/>
        <v>1.8518518518518517E-2</v>
      </c>
      <c r="U64" s="88">
        <f t="shared" si="24"/>
        <v>-1.2000000000000066E-3</v>
      </c>
      <c r="V64" s="89">
        <f t="shared" si="25"/>
        <v>-1.2000000000000066E-3</v>
      </c>
    </row>
    <row r="65" spans="1:22">
      <c r="A65" s="169">
        <v>57</v>
      </c>
      <c r="B65" s="170" t="s">
        <v>118</v>
      </c>
      <c r="C65" s="168" t="s">
        <v>119</v>
      </c>
      <c r="D65" s="76">
        <v>10049041998.59</v>
      </c>
      <c r="E65" s="59">
        <f t="shared" si="37"/>
        <v>2.207450205617112E-3</v>
      </c>
      <c r="F65" s="66">
        <v>1</v>
      </c>
      <c r="G65" s="66">
        <v>1</v>
      </c>
      <c r="H65" s="60">
        <v>605</v>
      </c>
      <c r="I65" s="82">
        <v>0.19569</v>
      </c>
      <c r="J65" s="82">
        <v>0.19569</v>
      </c>
      <c r="K65" s="76">
        <v>9429667378.3600006</v>
      </c>
      <c r="L65" s="59">
        <f t="shared" si="38"/>
        <v>2.071393591168434E-3</v>
      </c>
      <c r="M65" s="66">
        <v>1</v>
      </c>
      <c r="N65" s="66">
        <v>1</v>
      </c>
      <c r="O65" s="60">
        <v>605</v>
      </c>
      <c r="P65" s="82">
        <v>0.19916600000000001</v>
      </c>
      <c r="Q65" s="82">
        <v>0.19916600000000001</v>
      </c>
      <c r="R65" s="87">
        <f t="shared" si="21"/>
        <v>-6.1635190729315802E-2</v>
      </c>
      <c r="S65" s="87">
        <f t="shared" si="22"/>
        <v>0</v>
      </c>
      <c r="T65" s="87">
        <f t="shared" si="23"/>
        <v>0</v>
      </c>
      <c r="U65" s="88">
        <f t="shared" si="24"/>
        <v>3.4760000000000069E-3</v>
      </c>
      <c r="V65" s="89">
        <f t="shared" si="25"/>
        <v>3.4760000000000069E-3</v>
      </c>
    </row>
    <row r="66" spans="1:22">
      <c r="A66" s="169">
        <v>58</v>
      </c>
      <c r="B66" s="167" t="s">
        <v>120</v>
      </c>
      <c r="C66" s="168" t="s">
        <v>53</v>
      </c>
      <c r="D66" s="76">
        <v>186686838731.03</v>
      </c>
      <c r="E66" s="59">
        <f t="shared" si="37"/>
        <v>4.1009073362480088E-2</v>
      </c>
      <c r="F66" s="66">
        <v>1</v>
      </c>
      <c r="G66" s="66">
        <v>1</v>
      </c>
      <c r="H66" s="60">
        <v>74128</v>
      </c>
      <c r="I66" s="82">
        <v>0.1704</v>
      </c>
      <c r="J66" s="82">
        <v>0.1704</v>
      </c>
      <c r="K66" s="76">
        <v>203263199094.72</v>
      </c>
      <c r="L66" s="59">
        <f t="shared" si="38"/>
        <v>4.4650364751086594E-2</v>
      </c>
      <c r="M66" s="66">
        <v>1</v>
      </c>
      <c r="N66" s="66">
        <v>1</v>
      </c>
      <c r="O66" s="60">
        <v>75813</v>
      </c>
      <c r="P66" s="82">
        <v>0.16159999999999999</v>
      </c>
      <c r="Q66" s="82">
        <v>0.16159999999999999</v>
      </c>
      <c r="R66" s="87">
        <f t="shared" si="21"/>
        <v>8.8792335208870712E-2</v>
      </c>
      <c r="S66" s="87">
        <f t="shared" si="22"/>
        <v>0</v>
      </c>
      <c r="T66" s="87">
        <f t="shared" si="23"/>
        <v>2.2730951867040793E-2</v>
      </c>
      <c r="U66" s="88">
        <f t="shared" si="24"/>
        <v>-8.8000000000000023E-3</v>
      </c>
      <c r="V66" s="89">
        <f t="shared" si="25"/>
        <v>-8.8000000000000023E-3</v>
      </c>
    </row>
    <row r="67" spans="1:22">
      <c r="A67" s="169">
        <v>59</v>
      </c>
      <c r="B67" s="167" t="s">
        <v>121</v>
      </c>
      <c r="C67" s="168" t="s">
        <v>122</v>
      </c>
      <c r="D67" s="76">
        <v>2447717989.6999998</v>
      </c>
      <c r="E67" s="59">
        <f t="shared" si="37"/>
        <v>5.3768464500537504E-4</v>
      </c>
      <c r="F67" s="66">
        <v>1</v>
      </c>
      <c r="G67" s="66">
        <v>1</v>
      </c>
      <c r="H67" s="60">
        <v>153</v>
      </c>
      <c r="I67" s="82">
        <v>0.16250000000000001</v>
      </c>
      <c r="J67" s="82">
        <v>0.16250000000000001</v>
      </c>
      <c r="K67" s="76">
        <v>2432385264.4200001</v>
      </c>
      <c r="L67" s="59">
        <f t="shared" si="38"/>
        <v>5.3431654010773855E-4</v>
      </c>
      <c r="M67" s="66">
        <v>1</v>
      </c>
      <c r="N67" s="66">
        <v>1</v>
      </c>
      <c r="O67" s="60">
        <v>153</v>
      </c>
      <c r="P67" s="82">
        <v>0.16500000000000001</v>
      </c>
      <c r="Q67" s="82">
        <v>0.16500000000000001</v>
      </c>
      <c r="R67" s="87">
        <f t="shared" si="21"/>
        <v>-6.2640897948701034E-3</v>
      </c>
      <c r="S67" s="87">
        <f t="shared" si="22"/>
        <v>0</v>
      </c>
      <c r="T67" s="87">
        <f t="shared" si="23"/>
        <v>0</v>
      </c>
      <c r="U67" s="88">
        <f t="shared" si="24"/>
        <v>2.5000000000000022E-3</v>
      </c>
      <c r="V67" s="89">
        <f t="shared" si="25"/>
        <v>2.5000000000000022E-3</v>
      </c>
    </row>
    <row r="68" spans="1:22">
      <c r="A68" s="169">
        <v>60</v>
      </c>
      <c r="B68" s="167" t="s">
        <v>123</v>
      </c>
      <c r="C68" s="168" t="s">
        <v>124</v>
      </c>
      <c r="D68" s="76">
        <v>7924370445.1000004</v>
      </c>
      <c r="E68" s="59">
        <f t="shared" si="37"/>
        <v>1.7407284366884514E-3</v>
      </c>
      <c r="F68" s="66">
        <v>1</v>
      </c>
      <c r="G68" s="66">
        <v>1</v>
      </c>
      <c r="H68" s="60">
        <v>534</v>
      </c>
      <c r="I68" s="82">
        <v>0.17460000000000001</v>
      </c>
      <c r="J68" s="82">
        <v>0.17460000000000001</v>
      </c>
      <c r="K68" s="76">
        <v>8050232853.5200005</v>
      </c>
      <c r="L68" s="59">
        <f t="shared" si="38"/>
        <v>1.768376345751343E-3</v>
      </c>
      <c r="M68" s="66">
        <v>1</v>
      </c>
      <c r="N68" s="66">
        <v>1</v>
      </c>
      <c r="O68" s="60">
        <v>548</v>
      </c>
      <c r="P68" s="82">
        <v>0.1741</v>
      </c>
      <c r="Q68" s="82">
        <v>0.1741</v>
      </c>
      <c r="R68" s="87">
        <f t="shared" si="21"/>
        <v>1.5882953641803373E-2</v>
      </c>
      <c r="S68" s="87">
        <f t="shared" si="22"/>
        <v>0</v>
      </c>
      <c r="T68" s="87">
        <f t="shared" si="23"/>
        <v>2.6217228464419477E-2</v>
      </c>
      <c r="U68" s="88">
        <f t="shared" si="24"/>
        <v>-5.0000000000000044E-4</v>
      </c>
      <c r="V68" s="89">
        <f t="shared" si="25"/>
        <v>-5.0000000000000044E-4</v>
      </c>
    </row>
    <row r="69" spans="1:22">
      <c r="A69" s="169">
        <v>61</v>
      </c>
      <c r="B69" s="167" t="s">
        <v>125</v>
      </c>
      <c r="C69" s="168" t="s">
        <v>126</v>
      </c>
      <c r="D69" s="76">
        <v>9452622193.3400002</v>
      </c>
      <c r="E69" s="59">
        <f t="shared" si="37"/>
        <v>2.07643602317883E-3</v>
      </c>
      <c r="F69" s="66">
        <v>1</v>
      </c>
      <c r="G69" s="66">
        <v>1</v>
      </c>
      <c r="H69" s="60">
        <v>5106</v>
      </c>
      <c r="I69" s="82">
        <v>0.19750000000000001</v>
      </c>
      <c r="J69" s="82">
        <v>0.19750000000000001</v>
      </c>
      <c r="K69" s="76">
        <v>8724884758.2999992</v>
      </c>
      <c r="L69" s="59">
        <f t="shared" si="38"/>
        <v>1.9165755956037714E-3</v>
      </c>
      <c r="M69" s="66">
        <v>1</v>
      </c>
      <c r="N69" s="66">
        <v>1</v>
      </c>
      <c r="O69" s="60">
        <v>5150</v>
      </c>
      <c r="P69" s="82">
        <v>0.1983</v>
      </c>
      <c r="Q69" s="82">
        <v>0.1983</v>
      </c>
      <c r="R69" s="87">
        <f t="shared" si="21"/>
        <v>-7.6987889725746175E-2</v>
      </c>
      <c r="S69" s="87">
        <f t="shared" si="22"/>
        <v>0</v>
      </c>
      <c r="T69" s="87">
        <f t="shared" si="23"/>
        <v>8.6173129651390522E-3</v>
      </c>
      <c r="U69" s="88">
        <f t="shared" si="24"/>
        <v>7.9999999999999516E-4</v>
      </c>
      <c r="V69" s="89">
        <f t="shared" si="25"/>
        <v>7.9999999999999516E-4</v>
      </c>
    </row>
    <row r="70" spans="1:22">
      <c r="A70" s="169">
        <v>62</v>
      </c>
      <c r="B70" s="167" t="s">
        <v>127</v>
      </c>
      <c r="C70" s="168" t="s">
        <v>128</v>
      </c>
      <c r="D70" s="76">
        <v>122254096836.62</v>
      </c>
      <c r="E70" s="59">
        <f t="shared" si="37"/>
        <v>2.6855279462201183E-2</v>
      </c>
      <c r="F70" s="66">
        <v>1</v>
      </c>
      <c r="G70" s="66">
        <v>1</v>
      </c>
      <c r="H70" s="60">
        <v>6794</v>
      </c>
      <c r="I70" s="82">
        <v>0.18029999999999999</v>
      </c>
      <c r="J70" s="82">
        <v>0.18029999999999999</v>
      </c>
      <c r="K70" s="76">
        <v>122080110419.13</v>
      </c>
      <c r="L70" s="59">
        <f t="shared" si="38"/>
        <v>2.6817060261493619E-2</v>
      </c>
      <c r="M70" s="66">
        <v>1</v>
      </c>
      <c r="N70" s="66">
        <v>1</v>
      </c>
      <c r="O70" s="60">
        <v>6836</v>
      </c>
      <c r="P70" s="82">
        <v>0.18060000000000001</v>
      </c>
      <c r="Q70" s="82">
        <v>0.18060000000000001</v>
      </c>
      <c r="R70" s="87">
        <f t="shared" si="21"/>
        <v>-1.4231540863821124E-3</v>
      </c>
      <c r="S70" s="87">
        <f t="shared" si="22"/>
        <v>0</v>
      </c>
      <c r="T70" s="87">
        <f t="shared" si="23"/>
        <v>6.1819252281424784E-3</v>
      </c>
      <c r="U70" s="88">
        <f t="shared" si="24"/>
        <v>3.0000000000002247E-4</v>
      </c>
      <c r="V70" s="89">
        <f t="shared" si="25"/>
        <v>3.0000000000002247E-4</v>
      </c>
    </row>
    <row r="71" spans="1:22">
      <c r="A71" s="67"/>
      <c r="B71" s="68"/>
      <c r="C71" s="69" t="s">
        <v>56</v>
      </c>
      <c r="D71" s="91">
        <f>SUM(D28:D70)</f>
        <v>4500562998487.0645</v>
      </c>
      <c r="E71" s="71">
        <f>(D71/$D$230)</f>
        <v>0.61991814951661306</v>
      </c>
      <c r="F71" s="72"/>
      <c r="G71" s="77"/>
      <c r="H71" s="74">
        <f>SUM(H28:H70)</f>
        <v>577437</v>
      </c>
      <c r="I71" s="95"/>
      <c r="J71" s="95"/>
      <c r="K71" s="91">
        <f>SUM(K28:K70)</f>
        <v>4552330092438.3486</v>
      </c>
      <c r="L71" s="71">
        <f>(K71/$K$230)</f>
        <v>0.61380770280065267</v>
      </c>
      <c r="M71" s="72"/>
      <c r="N71" s="77"/>
      <c r="O71" s="74">
        <f>SUM(O28:O70)</f>
        <v>582632</v>
      </c>
      <c r="P71" s="95"/>
      <c r="Q71" s="95"/>
      <c r="R71" s="87">
        <f t="shared" si="21"/>
        <v>1.1502359586719819E-2</v>
      </c>
      <c r="S71" s="87" t="e">
        <f t="shared" si="22"/>
        <v>#DIV/0!</v>
      </c>
      <c r="T71" s="87">
        <f t="shared" si="23"/>
        <v>8.9966524486653956E-3</v>
      </c>
      <c r="U71" s="88">
        <f t="shared" si="24"/>
        <v>0</v>
      </c>
      <c r="V71" s="89">
        <f t="shared" si="25"/>
        <v>0</v>
      </c>
    </row>
    <row r="72" spans="1:22" ht="3" customHeight="1">
      <c r="A72" s="67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</row>
    <row r="73" spans="1:22" ht="15" customHeight="1">
      <c r="A73" s="186" t="s">
        <v>129</v>
      </c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</row>
    <row r="74" spans="1:22">
      <c r="A74" s="169">
        <v>63</v>
      </c>
      <c r="B74" s="167" t="s">
        <v>130</v>
      </c>
      <c r="C74" s="168" t="s">
        <v>22</v>
      </c>
      <c r="D74" s="64">
        <v>627665937.41999996</v>
      </c>
      <c r="E74" s="59">
        <f>(D74/$D$113)</f>
        <v>2.5866834750690338E-3</v>
      </c>
      <c r="F74" s="92">
        <v>1.7289000000000001</v>
      </c>
      <c r="G74" s="92">
        <v>1.7289000000000001</v>
      </c>
      <c r="H74" s="60">
        <v>528</v>
      </c>
      <c r="I74" s="82">
        <v>-4.6299999999999998E-4</v>
      </c>
      <c r="J74" s="82">
        <v>0.3261</v>
      </c>
      <c r="K74" s="64">
        <v>748074188.76999998</v>
      </c>
      <c r="L74" s="59">
        <f t="shared" ref="L74:L97" si="39">(K74/$K$113)</f>
        <v>3.0700806543502213E-3</v>
      </c>
      <c r="M74" s="92">
        <v>1.724</v>
      </c>
      <c r="N74" s="92">
        <v>1.724</v>
      </c>
      <c r="O74" s="60">
        <v>530</v>
      </c>
      <c r="P74" s="82">
        <v>-1.737E-3</v>
      </c>
      <c r="Q74" s="82">
        <v>0.32240000000000002</v>
      </c>
      <c r="R74" s="87">
        <f>((K74-D74)/D74)</f>
        <v>0.19183493028940546</v>
      </c>
      <c r="S74" s="87">
        <f>((N74-G74)/G74)</f>
        <v>-2.8341720168894246E-3</v>
      </c>
      <c r="T74" s="87">
        <f>((O74-H74)/H74)</f>
        <v>3.787878787878788E-3</v>
      </c>
      <c r="U74" s="88">
        <f>P74-I74</f>
        <v>-1.274E-3</v>
      </c>
      <c r="V74" s="89">
        <f>Q74-J74</f>
        <v>-3.6999999999999811E-3</v>
      </c>
    </row>
    <row r="75" spans="1:22">
      <c r="A75" s="169">
        <v>64</v>
      </c>
      <c r="B75" s="167" t="s">
        <v>131</v>
      </c>
      <c r="C75" s="168" t="s">
        <v>24</v>
      </c>
      <c r="D75" s="64">
        <v>1406582380.52</v>
      </c>
      <c r="E75" s="59">
        <f>(D75/$D$113)</f>
        <v>5.7966876695106353E-3</v>
      </c>
      <c r="F75" s="92">
        <v>1.3702000000000001</v>
      </c>
      <c r="G75" s="92">
        <v>1.3702000000000001</v>
      </c>
      <c r="H75" s="60">
        <v>1370</v>
      </c>
      <c r="I75" s="82">
        <v>0.1221</v>
      </c>
      <c r="J75" s="82">
        <v>0.1797</v>
      </c>
      <c r="K75" s="64">
        <v>1404312177.0699999</v>
      </c>
      <c r="L75" s="59">
        <f t="shared" si="39"/>
        <v>5.7632674836433917E-3</v>
      </c>
      <c r="M75" s="92">
        <v>1.3705000000000001</v>
      </c>
      <c r="N75" s="92">
        <v>1.3705000000000001</v>
      </c>
      <c r="O75" s="60">
        <v>1400</v>
      </c>
      <c r="P75" s="82">
        <v>1.14E-2</v>
      </c>
      <c r="Q75" s="82">
        <v>0.1762</v>
      </c>
      <c r="R75" s="87">
        <f t="shared" ref="R75:R113" si="40">((K75-D75)/D75)</f>
        <v>-1.6139854170224819E-3</v>
      </c>
      <c r="S75" s="87">
        <f t="shared" ref="S75:S113" si="41">((N75-G75)/G75)</f>
        <v>2.1894613924972042E-4</v>
      </c>
      <c r="T75" s="87">
        <f t="shared" ref="T75:T113" si="42">((O75-H75)/H75)</f>
        <v>2.1897810218978103E-2</v>
      </c>
      <c r="U75" s="88">
        <f t="shared" ref="U75:U113" si="43">P75-I75</f>
        <v>-0.11069999999999999</v>
      </c>
      <c r="V75" s="89">
        <f t="shared" ref="V75:V113" si="44">Q75-J75</f>
        <v>-3.5000000000000031E-3</v>
      </c>
    </row>
    <row r="76" spans="1:22">
      <c r="A76" s="169">
        <v>65</v>
      </c>
      <c r="B76" s="167" t="s">
        <v>132</v>
      </c>
      <c r="C76" s="168" t="s">
        <v>24</v>
      </c>
      <c r="D76" s="64">
        <v>821403731.15999997</v>
      </c>
      <c r="E76" s="59">
        <f>(D76/$D$113)</f>
        <v>3.3850991922314204E-3</v>
      </c>
      <c r="F76" s="92">
        <v>1.1963999999999999</v>
      </c>
      <c r="G76" s="92">
        <v>1.1963999999999999</v>
      </c>
      <c r="H76" s="60">
        <v>529</v>
      </c>
      <c r="I76" s="82">
        <v>0.12230000000000001</v>
      </c>
      <c r="J76" s="82">
        <v>0.12889999999999999</v>
      </c>
      <c r="K76" s="64">
        <v>823714708.75</v>
      </c>
      <c r="L76" s="59">
        <f t="shared" si="39"/>
        <v>3.3805077490978888E-3</v>
      </c>
      <c r="M76" s="92">
        <v>1.1992</v>
      </c>
      <c r="N76" s="92">
        <v>1.1992</v>
      </c>
      <c r="O76" s="60">
        <v>542</v>
      </c>
      <c r="P76" s="82">
        <v>0.122</v>
      </c>
      <c r="Q76" s="82">
        <v>0.12909999999999999</v>
      </c>
      <c r="R76" s="87">
        <f t="shared" si="40"/>
        <v>2.8134491022294632E-3</v>
      </c>
      <c r="S76" s="87">
        <f t="shared" si="41"/>
        <v>2.3403543965230156E-3</v>
      </c>
      <c r="T76" s="87">
        <f t="shared" si="42"/>
        <v>2.4574669187145556E-2</v>
      </c>
      <c r="U76" s="88">
        <f t="shared" si="43"/>
        <v>-3.0000000000000859E-4</v>
      </c>
      <c r="V76" s="89">
        <f t="shared" si="44"/>
        <v>2.0000000000000573E-4</v>
      </c>
    </row>
    <row r="77" spans="1:22">
      <c r="A77" s="169">
        <v>66</v>
      </c>
      <c r="B77" s="167" t="s">
        <v>133</v>
      </c>
      <c r="C77" s="168" t="s">
        <v>64</v>
      </c>
      <c r="D77" s="64">
        <v>333293841.80000001</v>
      </c>
      <c r="E77" s="59">
        <f>(D77/$D$113)</f>
        <v>1.373542232465365E-3</v>
      </c>
      <c r="F77" s="63">
        <v>1294.6199999999999</v>
      </c>
      <c r="G77" s="63">
        <v>1294.6199999999999</v>
      </c>
      <c r="H77" s="60">
        <v>109</v>
      </c>
      <c r="I77" s="82">
        <v>6.0000000000000001E-3</v>
      </c>
      <c r="J77" s="82">
        <v>0.2321</v>
      </c>
      <c r="K77" s="64">
        <v>333207370.61000001</v>
      </c>
      <c r="L77" s="59">
        <f t="shared" si="39"/>
        <v>1.3674760040560429E-3</v>
      </c>
      <c r="M77" s="63">
        <v>1294.28</v>
      </c>
      <c r="N77" s="63">
        <v>1294.28</v>
      </c>
      <c r="O77" s="60">
        <v>109</v>
      </c>
      <c r="P77" s="82">
        <v>-8.9999999999999998E-4</v>
      </c>
      <c r="Q77" s="82">
        <v>0.2263</v>
      </c>
      <c r="R77" s="87">
        <f t="shared" si="40"/>
        <v>-2.5944430756055336E-4</v>
      </c>
      <c r="S77" s="87">
        <f t="shared" si="41"/>
        <v>-2.6262532635052614E-4</v>
      </c>
      <c r="T77" s="87">
        <f t="shared" si="42"/>
        <v>0</v>
      </c>
      <c r="U77" s="88">
        <f t="shared" si="43"/>
        <v>-6.8999999999999999E-3</v>
      </c>
      <c r="V77" s="89">
        <f t="shared" si="44"/>
        <v>-5.7999999999999996E-3</v>
      </c>
    </row>
    <row r="78" spans="1:22" ht="15" customHeight="1">
      <c r="A78" s="169">
        <v>67</v>
      </c>
      <c r="B78" s="167" t="s">
        <v>134</v>
      </c>
      <c r="C78" s="168" t="s">
        <v>28</v>
      </c>
      <c r="D78" s="64">
        <v>1969106314.96</v>
      </c>
      <c r="E78" s="59">
        <f>(D78/$K$113)</f>
        <v>8.0811706842303828E-3</v>
      </c>
      <c r="F78" s="63">
        <v>1.0690999999999999</v>
      </c>
      <c r="G78" s="63">
        <v>1.0690999999999999</v>
      </c>
      <c r="H78" s="60">
        <v>1008</v>
      </c>
      <c r="I78" s="82">
        <v>1.5E-3</v>
      </c>
      <c r="J78" s="82">
        <v>0.1234</v>
      </c>
      <c r="K78" s="64">
        <v>1972307881.1300001</v>
      </c>
      <c r="L78" s="59">
        <f t="shared" si="39"/>
        <v>8.0943098441020808E-3</v>
      </c>
      <c r="M78" s="63">
        <v>1.0705</v>
      </c>
      <c r="N78" s="63">
        <v>1.0705</v>
      </c>
      <c r="O78" s="60">
        <v>1008</v>
      </c>
      <c r="P78" s="82">
        <v>1.8E-3</v>
      </c>
      <c r="Q78" s="82">
        <v>0.12520000000000001</v>
      </c>
      <c r="R78" s="87">
        <f t="shared" si="40"/>
        <v>1.6258980765419527E-3</v>
      </c>
      <c r="S78" s="87">
        <f t="shared" si="41"/>
        <v>1.3095126742120175E-3</v>
      </c>
      <c r="T78" s="87">
        <f t="shared" si="42"/>
        <v>0</v>
      </c>
      <c r="U78" s="88">
        <f t="shared" si="43"/>
        <v>2.9999999999999992E-4</v>
      </c>
      <c r="V78" s="89">
        <f t="shared" si="44"/>
        <v>1.8000000000000099E-3</v>
      </c>
    </row>
    <row r="79" spans="1:22">
      <c r="A79" s="169">
        <v>68</v>
      </c>
      <c r="B79" s="167" t="s">
        <v>135</v>
      </c>
      <c r="C79" s="168" t="s">
        <v>136</v>
      </c>
      <c r="D79" s="64">
        <v>472891378.07999998</v>
      </c>
      <c r="E79" s="59">
        <f t="shared" ref="E79:E97" si="45">(D79/$D$113)</f>
        <v>1.9488397254918202E-3</v>
      </c>
      <c r="F79" s="63">
        <v>2.6968000000000001</v>
      </c>
      <c r="G79" s="63">
        <v>2.6968000000000001</v>
      </c>
      <c r="H79" s="60">
        <v>1390</v>
      </c>
      <c r="I79" s="82">
        <v>0.1454</v>
      </c>
      <c r="J79" s="82">
        <v>0.1477</v>
      </c>
      <c r="K79" s="64">
        <v>474209895.69999999</v>
      </c>
      <c r="L79" s="59">
        <f t="shared" si="39"/>
        <v>1.9461473858411924E-3</v>
      </c>
      <c r="M79" s="63">
        <v>2.7042999999999999</v>
      </c>
      <c r="N79" s="63">
        <v>2.7042999999999999</v>
      </c>
      <c r="O79" s="60">
        <v>1390</v>
      </c>
      <c r="P79" s="82">
        <v>0.14499999999999999</v>
      </c>
      <c r="Q79" s="82">
        <v>0.1479</v>
      </c>
      <c r="R79" s="87">
        <f t="shared" si="40"/>
        <v>2.7882039747761027E-3</v>
      </c>
      <c r="S79" s="87">
        <f t="shared" si="41"/>
        <v>2.7810738653218036E-3</v>
      </c>
      <c r="T79" s="87">
        <f t="shared" si="42"/>
        <v>0</v>
      </c>
      <c r="U79" s="88">
        <f t="shared" si="43"/>
        <v>-4.0000000000001146E-4</v>
      </c>
      <c r="V79" s="89">
        <f t="shared" si="44"/>
        <v>2.0000000000000573E-4</v>
      </c>
    </row>
    <row r="80" spans="1:22">
      <c r="A80" s="169">
        <v>69</v>
      </c>
      <c r="B80" s="168" t="s">
        <v>137</v>
      </c>
      <c r="C80" s="168" t="s">
        <v>138</v>
      </c>
      <c r="D80" s="64">
        <v>1038367396.52</v>
      </c>
      <c r="E80" s="59">
        <f t="shared" si="45"/>
        <v>4.2792313960339414E-3</v>
      </c>
      <c r="F80" s="63">
        <v>1096.6600000000001</v>
      </c>
      <c r="G80" s="63">
        <v>1096.6600000000001</v>
      </c>
      <c r="H80" s="60">
        <v>255</v>
      </c>
      <c r="I80" s="82">
        <v>5.4799999999999996E-3</v>
      </c>
      <c r="J80" s="82">
        <v>9.3759999999999996E-2</v>
      </c>
      <c r="K80" s="64">
        <v>1105705017.77</v>
      </c>
      <c r="L80" s="59">
        <f t="shared" si="39"/>
        <v>4.5377900152592165E-3</v>
      </c>
      <c r="M80" s="63">
        <v>1098.77</v>
      </c>
      <c r="N80" s="63">
        <v>1098.77</v>
      </c>
      <c r="O80" s="60">
        <v>257</v>
      </c>
      <c r="P80" s="82">
        <v>1.1199999999999999E-3</v>
      </c>
      <c r="Q80" s="82">
        <v>9.5860000000000001E-2</v>
      </c>
      <c r="R80" s="87">
        <f t="shared" ref="R80" si="46">((K80-D80)/D80)</f>
        <v>6.4849514223651775E-2</v>
      </c>
      <c r="S80" s="87">
        <f t="shared" ref="S80" si="47">((N80-G80)/G80)</f>
        <v>1.9240238542482628E-3</v>
      </c>
      <c r="T80" s="87">
        <f t="shared" ref="T80" si="48">((O80-H80)/H80)</f>
        <v>7.8431372549019607E-3</v>
      </c>
      <c r="U80" s="88">
        <f t="shared" si="43"/>
        <v>-4.3599999999999993E-3</v>
      </c>
      <c r="V80" s="89">
        <f t="shared" si="44"/>
        <v>2.1000000000000046E-3</v>
      </c>
    </row>
    <row r="81" spans="1:22">
      <c r="A81" s="169">
        <v>70</v>
      </c>
      <c r="B81" s="167" t="s">
        <v>139</v>
      </c>
      <c r="C81" s="168" t="s">
        <v>69</v>
      </c>
      <c r="D81" s="64">
        <v>232828050.34</v>
      </c>
      <c r="E81" s="59">
        <f t="shared" si="45"/>
        <v>9.5951115783430598E-4</v>
      </c>
      <c r="F81" s="63">
        <v>12.671099999999999</v>
      </c>
      <c r="G81" s="63">
        <v>12.7148</v>
      </c>
      <c r="H81" s="60">
        <v>44</v>
      </c>
      <c r="I81" s="82">
        <v>-1.97E-3</v>
      </c>
      <c r="J81" s="82">
        <v>0.29249999999999998</v>
      </c>
      <c r="K81" s="64">
        <v>233115822.19</v>
      </c>
      <c r="L81" s="59">
        <f t="shared" si="39"/>
        <v>9.5670240555312974E-4</v>
      </c>
      <c r="M81" s="63">
        <v>12.686999999999999</v>
      </c>
      <c r="N81" s="63">
        <v>12.75</v>
      </c>
      <c r="O81" s="60">
        <v>44</v>
      </c>
      <c r="P81" s="82">
        <v>-4.2000000000000002E-4</v>
      </c>
      <c r="Q81" s="82">
        <v>0.28710000000000002</v>
      </c>
      <c r="R81" s="87">
        <f t="shared" si="40"/>
        <v>1.2359844510992524E-3</v>
      </c>
      <c r="S81" s="87">
        <f t="shared" si="41"/>
        <v>2.7684273445118816E-3</v>
      </c>
      <c r="T81" s="87">
        <f t="shared" si="42"/>
        <v>0</v>
      </c>
      <c r="U81" s="88">
        <f t="shared" si="43"/>
        <v>1.5499999999999999E-3</v>
      </c>
      <c r="V81" s="89">
        <f t="shared" si="44"/>
        <v>-5.3999999999999604E-3</v>
      </c>
    </row>
    <row r="82" spans="1:22">
      <c r="A82" s="169">
        <v>71</v>
      </c>
      <c r="B82" s="167" t="s">
        <v>140</v>
      </c>
      <c r="C82" s="168" t="s">
        <v>71</v>
      </c>
      <c r="D82" s="64">
        <v>2104500787.77968</v>
      </c>
      <c r="E82" s="59">
        <f t="shared" si="45"/>
        <v>8.6728896479479484E-3</v>
      </c>
      <c r="F82" s="64">
        <v>4829.9829333957796</v>
      </c>
      <c r="G82" s="64">
        <v>4829.9829333957796</v>
      </c>
      <c r="H82" s="60">
        <v>1164</v>
      </c>
      <c r="I82" s="82">
        <v>9.9500000000000005E-2</v>
      </c>
      <c r="J82" s="82">
        <v>0.1142</v>
      </c>
      <c r="K82" s="64">
        <v>2108427721.3006999</v>
      </c>
      <c r="L82" s="59">
        <f t="shared" si="39"/>
        <v>8.6529427902119153E-3</v>
      </c>
      <c r="M82" s="64">
        <v>4703.5050769969803</v>
      </c>
      <c r="N82" s="64">
        <v>4703.5050769969803</v>
      </c>
      <c r="O82" s="60">
        <v>1201</v>
      </c>
      <c r="P82" s="82">
        <v>-1.3653999999999999</v>
      </c>
      <c r="Q82" s="82">
        <v>0.08</v>
      </c>
      <c r="R82" s="87">
        <f t="shared" si="40"/>
        <v>1.8659691380600453E-3</v>
      </c>
      <c r="S82" s="87">
        <f t="shared" si="41"/>
        <v>-2.6185984121040666E-2</v>
      </c>
      <c r="T82" s="87">
        <f t="shared" si="42"/>
        <v>3.1786941580756012E-2</v>
      </c>
      <c r="U82" s="88">
        <f t="shared" si="43"/>
        <v>-1.4648999999999999</v>
      </c>
      <c r="V82" s="89">
        <f t="shared" si="44"/>
        <v>-3.4199999999999994E-2</v>
      </c>
    </row>
    <row r="83" spans="1:22">
      <c r="A83" s="169">
        <v>72</v>
      </c>
      <c r="B83" s="167" t="s">
        <v>141</v>
      </c>
      <c r="C83" s="168" t="s">
        <v>73</v>
      </c>
      <c r="D83" s="64">
        <v>355446078.70999998</v>
      </c>
      <c r="E83" s="59">
        <f t="shared" si="45"/>
        <v>1.4648341470568185E-3</v>
      </c>
      <c r="F83" s="92">
        <v>117.3</v>
      </c>
      <c r="G83" s="92">
        <v>117.3</v>
      </c>
      <c r="H83" s="60">
        <v>95</v>
      </c>
      <c r="I83" s="82">
        <v>2.5999999999999999E-3</v>
      </c>
      <c r="J83" s="82">
        <v>0.127</v>
      </c>
      <c r="K83" s="64">
        <v>354240903.25999999</v>
      </c>
      <c r="L83" s="59">
        <f t="shared" si="39"/>
        <v>1.453797177344462E-3</v>
      </c>
      <c r="M83" s="92">
        <v>111.07</v>
      </c>
      <c r="N83" s="92">
        <v>111.07</v>
      </c>
      <c r="O83" s="60">
        <v>95</v>
      </c>
      <c r="P83" s="82">
        <v>2.0999999999999999E-3</v>
      </c>
      <c r="Q83" s="82">
        <v>0.127</v>
      </c>
      <c r="R83" s="87">
        <f t="shared" si="40"/>
        <v>-3.3905999311452865E-3</v>
      </c>
      <c r="S83" s="87">
        <f t="shared" si="41"/>
        <v>-5.3111679454390485E-2</v>
      </c>
      <c r="T83" s="87">
        <f t="shared" si="42"/>
        <v>0</v>
      </c>
      <c r="U83" s="88">
        <f t="shared" si="43"/>
        <v>-5.0000000000000001E-4</v>
      </c>
      <c r="V83" s="89">
        <f t="shared" si="44"/>
        <v>0</v>
      </c>
    </row>
    <row r="84" spans="1:22" ht="13.5" customHeight="1">
      <c r="A84" s="169">
        <v>73</v>
      </c>
      <c r="B84" s="167" t="s">
        <v>142</v>
      </c>
      <c r="C84" s="168" t="s">
        <v>75</v>
      </c>
      <c r="D84" s="64">
        <v>590145701.73000002</v>
      </c>
      <c r="E84" s="59">
        <f t="shared" si="45"/>
        <v>2.4320582710330284E-3</v>
      </c>
      <c r="F84" s="92">
        <v>1.4975000000000001</v>
      </c>
      <c r="G84" s="92">
        <v>1.4975000000000001</v>
      </c>
      <c r="H84" s="60">
        <v>1484</v>
      </c>
      <c r="I84" s="82">
        <v>-1.01E-2</v>
      </c>
      <c r="J84" s="82">
        <v>0.15229999999999999</v>
      </c>
      <c r="K84" s="64">
        <v>606833876.77999997</v>
      </c>
      <c r="L84" s="59">
        <f t="shared" si="39"/>
        <v>2.4904334001549459E-3</v>
      </c>
      <c r="M84" s="92">
        <v>1.4991000000000001</v>
      </c>
      <c r="N84" s="92">
        <v>1.4991000000000001</v>
      </c>
      <c r="O84" s="60">
        <v>1535</v>
      </c>
      <c r="P84" s="82">
        <v>1.1000000000000001E-3</v>
      </c>
      <c r="Q84" s="82">
        <v>0.1535</v>
      </c>
      <c r="R84" s="87">
        <f t="shared" si="40"/>
        <v>2.8278059131971834E-2</v>
      </c>
      <c r="S84" s="87">
        <f t="shared" si="41"/>
        <v>1.0684474123539539E-3</v>
      </c>
      <c r="T84" s="87">
        <f t="shared" si="42"/>
        <v>3.436657681940701E-2</v>
      </c>
      <c r="U84" s="88">
        <f t="shared" si="43"/>
        <v>1.12E-2</v>
      </c>
      <c r="V84" s="89">
        <f t="shared" si="44"/>
        <v>1.2000000000000066E-3</v>
      </c>
    </row>
    <row r="85" spans="1:22" ht="13.5" customHeight="1">
      <c r="A85" s="169">
        <v>74</v>
      </c>
      <c r="B85" s="167" t="s">
        <v>143</v>
      </c>
      <c r="C85" s="168" t="s">
        <v>75</v>
      </c>
      <c r="D85" s="64">
        <v>46725946.840000004</v>
      </c>
      <c r="E85" s="59">
        <f t="shared" si="45"/>
        <v>1.9256299783415793E-4</v>
      </c>
      <c r="F85" s="92">
        <v>1.0498000000000001</v>
      </c>
      <c r="G85" s="92">
        <v>1.0498000000000001</v>
      </c>
      <c r="H85" s="60">
        <v>12</v>
      </c>
      <c r="I85" s="82">
        <v>3.8999999999999998E-3</v>
      </c>
      <c r="J85" s="82">
        <v>5.91E-2</v>
      </c>
      <c r="K85" s="64">
        <v>55767159.579999998</v>
      </c>
      <c r="L85" s="59">
        <f t="shared" si="39"/>
        <v>2.2886724384399136E-4</v>
      </c>
      <c r="M85" s="92">
        <v>1.0488999999999999</v>
      </c>
      <c r="N85" s="92">
        <v>1.0488999999999999</v>
      </c>
      <c r="O85" s="60">
        <v>13</v>
      </c>
      <c r="P85" s="82">
        <v>-8.9999999999999998E-4</v>
      </c>
      <c r="Q85" s="82">
        <v>5.8200000000000002E-2</v>
      </c>
      <c r="R85" s="87">
        <f t="shared" ref="R85" si="49">((K85-D85)/D85)</f>
        <v>0.19349447900882802</v>
      </c>
      <c r="S85" s="87">
        <f t="shared" ref="S85" si="50">((N85-G85)/G85)</f>
        <v>-8.5730615355317479E-4</v>
      </c>
      <c r="T85" s="87">
        <f t="shared" ref="T85" si="51">((O85-H85)/H85)</f>
        <v>8.3333333333333329E-2</v>
      </c>
      <c r="U85" s="88">
        <f t="shared" ref="U85" si="52">P85-I85</f>
        <v>-4.7999999999999996E-3</v>
      </c>
      <c r="V85" s="89">
        <f t="shared" ref="V85" si="53">Q85-J85</f>
        <v>-8.9999999999999802E-4</v>
      </c>
    </row>
    <row r="86" spans="1:22">
      <c r="A86" s="169">
        <v>75</v>
      </c>
      <c r="B86" s="167" t="s">
        <v>144</v>
      </c>
      <c r="C86" s="168" t="s">
        <v>30</v>
      </c>
      <c r="D86" s="64">
        <v>185807451.94999999</v>
      </c>
      <c r="E86" s="59">
        <f t="shared" si="45"/>
        <v>7.6573386709392248E-4</v>
      </c>
      <c r="F86" s="92">
        <v>135.09209999999999</v>
      </c>
      <c r="G86" s="92">
        <v>135.09209999999999</v>
      </c>
      <c r="H86" s="60">
        <v>359</v>
      </c>
      <c r="I86" s="82">
        <v>3.9199999999999999E-4</v>
      </c>
      <c r="J86" s="82">
        <v>0.1699</v>
      </c>
      <c r="K86" s="64">
        <v>193380825.08000001</v>
      </c>
      <c r="L86" s="59">
        <f t="shared" si="39"/>
        <v>7.9363081752166595E-4</v>
      </c>
      <c r="M86" s="92">
        <v>137.2646</v>
      </c>
      <c r="N86" s="92">
        <v>137.2646</v>
      </c>
      <c r="O86" s="60">
        <v>364</v>
      </c>
      <c r="P86" s="82">
        <v>3.078E-3</v>
      </c>
      <c r="Q86" s="82">
        <v>0.17249999999999999</v>
      </c>
      <c r="R86" s="87">
        <f t="shared" si="40"/>
        <v>4.0759254004720913E-2</v>
      </c>
      <c r="S86" s="87">
        <f t="shared" si="41"/>
        <v>1.6081621353136222E-2</v>
      </c>
      <c r="T86" s="87">
        <f t="shared" si="42"/>
        <v>1.3927576601671309E-2</v>
      </c>
      <c r="U86" s="88">
        <f t="shared" si="43"/>
        <v>2.686E-3</v>
      </c>
      <c r="V86" s="89">
        <f t="shared" si="44"/>
        <v>2.5999999999999912E-3</v>
      </c>
    </row>
    <row r="87" spans="1:22">
      <c r="A87" s="169">
        <v>76</v>
      </c>
      <c r="B87" s="167" t="s">
        <v>145</v>
      </c>
      <c r="C87" s="168" t="s">
        <v>77</v>
      </c>
      <c r="D87" s="64">
        <v>2666466011.54</v>
      </c>
      <c r="E87" s="59">
        <f t="shared" si="45"/>
        <v>1.0988812930067373E-2</v>
      </c>
      <c r="F87" s="63">
        <v>1262.9000000000001</v>
      </c>
      <c r="G87" s="63">
        <v>1262.9000000000001</v>
      </c>
      <c r="H87" s="60">
        <v>395</v>
      </c>
      <c r="I87" s="82">
        <v>1.9E-2</v>
      </c>
      <c r="J87" s="82">
        <v>0.23469999999999999</v>
      </c>
      <c r="K87" s="64">
        <v>2706262701.8099999</v>
      </c>
      <c r="L87" s="59">
        <f t="shared" si="39"/>
        <v>1.1106444910333519E-2</v>
      </c>
      <c r="M87" s="63">
        <v>1267.140764</v>
      </c>
      <c r="N87" s="63">
        <v>1267.140764</v>
      </c>
      <c r="O87" s="60">
        <v>391</v>
      </c>
      <c r="P87" s="82">
        <v>1.89E-2</v>
      </c>
      <c r="Q87" s="82">
        <v>0.23019999999999999</v>
      </c>
      <c r="R87" s="87">
        <f t="shared" si="40"/>
        <v>1.4924881884024339E-2</v>
      </c>
      <c r="S87" s="87">
        <f t="shared" si="41"/>
        <v>3.3579570829043461E-3</v>
      </c>
      <c r="T87" s="87">
        <f t="shared" si="42"/>
        <v>-1.0126582278481013E-2</v>
      </c>
      <c r="U87" s="88">
        <f t="shared" si="43"/>
        <v>-9.9999999999999395E-5</v>
      </c>
      <c r="V87" s="89">
        <f t="shared" si="44"/>
        <v>-4.500000000000004E-3</v>
      </c>
    </row>
    <row r="88" spans="1:22">
      <c r="A88" s="169">
        <v>77</v>
      </c>
      <c r="B88" s="167" t="s">
        <v>146</v>
      </c>
      <c r="C88" s="168" t="s">
        <v>79</v>
      </c>
      <c r="D88" s="64">
        <v>159296194.80000001</v>
      </c>
      <c r="E88" s="59">
        <f t="shared" si="45"/>
        <v>6.5647792904654167E-4</v>
      </c>
      <c r="F88" s="63">
        <v>1122.07</v>
      </c>
      <c r="G88" s="63">
        <v>1149.6600000000001</v>
      </c>
      <c r="H88" s="60">
        <v>70</v>
      </c>
      <c r="I88" s="82">
        <v>5.0000000000000001E-3</v>
      </c>
      <c r="J88" s="82">
        <v>0.1237</v>
      </c>
      <c r="K88" s="64">
        <v>157803488.12</v>
      </c>
      <c r="L88" s="59">
        <f t="shared" si="39"/>
        <v>6.4762217884134228E-4</v>
      </c>
      <c r="M88" s="63">
        <v>1110.74</v>
      </c>
      <c r="N88" s="63">
        <v>1139.1199999999999</v>
      </c>
      <c r="O88" s="60">
        <v>70</v>
      </c>
      <c r="P88" s="82">
        <v>-1.0800000000000001E-2</v>
      </c>
      <c r="Q88" s="82">
        <v>0.1129</v>
      </c>
      <c r="R88" s="87">
        <f t="shared" si="40"/>
        <v>-9.3706361402677209E-3</v>
      </c>
      <c r="S88" s="87">
        <f t="shared" si="41"/>
        <v>-9.1679279091211232E-3</v>
      </c>
      <c r="T88" s="87">
        <f t="shared" si="42"/>
        <v>0</v>
      </c>
      <c r="U88" s="88">
        <f t="shared" si="43"/>
        <v>-1.5800000000000002E-2</v>
      </c>
      <c r="V88" s="89">
        <f t="shared" si="44"/>
        <v>-1.0800000000000004E-2</v>
      </c>
    </row>
    <row r="89" spans="1:22">
      <c r="A89" s="169">
        <v>78</v>
      </c>
      <c r="B89" s="167" t="s">
        <v>147</v>
      </c>
      <c r="C89" s="168" t="s">
        <v>82</v>
      </c>
      <c r="D89" s="64">
        <v>708448941.22000003</v>
      </c>
      <c r="E89" s="59">
        <f t="shared" si="45"/>
        <v>2.9195995193183407E-3</v>
      </c>
      <c r="F89" s="93">
        <v>1.17</v>
      </c>
      <c r="G89" s="93">
        <v>1.17</v>
      </c>
      <c r="H89" s="60">
        <v>59</v>
      </c>
      <c r="I89" s="82">
        <v>0.11257</v>
      </c>
      <c r="J89" s="82">
        <v>0.11210000000000001</v>
      </c>
      <c r="K89" s="64">
        <v>710110643.94000006</v>
      </c>
      <c r="L89" s="59">
        <f t="shared" si="39"/>
        <v>2.9142790690224662E-3</v>
      </c>
      <c r="M89" s="93">
        <v>1.17</v>
      </c>
      <c r="N89" s="93">
        <v>1.17</v>
      </c>
      <c r="O89" s="60">
        <v>59</v>
      </c>
      <c r="P89" s="82">
        <v>0.11257</v>
      </c>
      <c r="Q89" s="82">
        <v>0.1119</v>
      </c>
      <c r="R89" s="87">
        <f t="shared" si="40"/>
        <v>2.3455504318186391E-3</v>
      </c>
      <c r="S89" s="87">
        <f t="shared" si="41"/>
        <v>0</v>
      </c>
      <c r="T89" s="87">
        <f t="shared" si="42"/>
        <v>0</v>
      </c>
      <c r="U89" s="88">
        <f t="shared" si="43"/>
        <v>0</v>
      </c>
      <c r="V89" s="89">
        <f t="shared" si="44"/>
        <v>-2.0000000000000573E-4</v>
      </c>
    </row>
    <row r="90" spans="1:22">
      <c r="A90" s="169">
        <v>79</v>
      </c>
      <c r="B90" s="167" t="s">
        <v>148</v>
      </c>
      <c r="C90" s="168" t="s">
        <v>32</v>
      </c>
      <c r="D90" s="93">
        <v>11493316044.610001</v>
      </c>
      <c r="E90" s="59">
        <f t="shared" si="45"/>
        <v>4.7365276517220126E-2</v>
      </c>
      <c r="F90" s="93">
        <v>1760.78</v>
      </c>
      <c r="G90" s="93">
        <v>1760.78</v>
      </c>
      <c r="H90" s="60">
        <v>2049</v>
      </c>
      <c r="I90" s="82">
        <v>1.4E-3</v>
      </c>
      <c r="J90" s="82">
        <v>0.04</v>
      </c>
      <c r="K90" s="93">
        <v>11497931444.549999</v>
      </c>
      <c r="L90" s="59">
        <f t="shared" si="39"/>
        <v>4.7187267550292553E-2</v>
      </c>
      <c r="M90" s="93">
        <v>1763.55</v>
      </c>
      <c r="N90" s="93">
        <v>1763.55</v>
      </c>
      <c r="O90" s="60">
        <v>2051</v>
      </c>
      <c r="P90" s="82">
        <v>1.6000000000000001E-3</v>
      </c>
      <c r="Q90" s="82">
        <v>4.1700000000000001E-2</v>
      </c>
      <c r="R90" s="87">
        <f t="shared" si="40"/>
        <v>4.015725245946841E-4</v>
      </c>
      <c r="S90" s="87">
        <f t="shared" si="41"/>
        <v>1.5731664376015073E-3</v>
      </c>
      <c r="T90" s="87">
        <f t="shared" si="42"/>
        <v>9.760858955588092E-4</v>
      </c>
      <c r="U90" s="88">
        <f t="shared" si="43"/>
        <v>2.0000000000000009E-4</v>
      </c>
      <c r="V90" s="89">
        <f t="shared" si="44"/>
        <v>1.7000000000000001E-3</v>
      </c>
    </row>
    <row r="91" spans="1:22">
      <c r="A91" s="169">
        <v>80</v>
      </c>
      <c r="B91" s="167" t="s">
        <v>149</v>
      </c>
      <c r="C91" s="168" t="s">
        <v>92</v>
      </c>
      <c r="D91" s="64">
        <v>23561248.93</v>
      </c>
      <c r="E91" s="59">
        <f t="shared" si="45"/>
        <v>9.7098615084535874E-5</v>
      </c>
      <c r="F91" s="92">
        <v>0.7198</v>
      </c>
      <c r="G91" s="92">
        <v>0.7198</v>
      </c>
      <c r="H91" s="60">
        <v>744</v>
      </c>
      <c r="I91" s="82">
        <v>2.3999999999999998E-3</v>
      </c>
      <c r="J91" s="82">
        <v>4.3E-3</v>
      </c>
      <c r="K91" s="64">
        <v>23616328.550000001</v>
      </c>
      <c r="L91" s="59">
        <f t="shared" si="39"/>
        <v>9.6920913054554842E-5</v>
      </c>
      <c r="M91" s="92">
        <v>0.72140000000000004</v>
      </c>
      <c r="N91" s="92">
        <v>0.72140000000000004</v>
      </c>
      <c r="O91" s="60">
        <v>744</v>
      </c>
      <c r="P91" s="82">
        <v>2.2000000000000001E-3</v>
      </c>
      <c r="Q91" s="82">
        <v>6.6E-3</v>
      </c>
      <c r="R91" s="87">
        <f t="shared" si="40"/>
        <v>2.3377207279478901E-3</v>
      </c>
      <c r="S91" s="87">
        <f t="shared" si="41"/>
        <v>2.2228396776883103E-3</v>
      </c>
      <c r="T91" s="87">
        <f t="shared" si="42"/>
        <v>0</v>
      </c>
      <c r="U91" s="88">
        <f t="shared" si="43"/>
        <v>-1.9999999999999966E-4</v>
      </c>
      <c r="V91" s="89">
        <f t="shared" si="44"/>
        <v>2.3E-3</v>
      </c>
    </row>
    <row r="92" spans="1:22">
      <c r="A92" s="169">
        <v>81</v>
      </c>
      <c r="B92" s="167" t="s">
        <v>150</v>
      </c>
      <c r="C92" s="168" t="s">
        <v>38</v>
      </c>
      <c r="D92" s="64">
        <v>11427611462.459999</v>
      </c>
      <c r="E92" s="59">
        <f t="shared" si="45"/>
        <v>4.7094500381777239E-2</v>
      </c>
      <c r="F92" s="92">
        <v>1</v>
      </c>
      <c r="G92" s="92">
        <v>1</v>
      </c>
      <c r="H92" s="60">
        <v>4855</v>
      </c>
      <c r="I92" s="82">
        <v>0.06</v>
      </c>
      <c r="J92" s="82">
        <v>0.06</v>
      </c>
      <c r="K92" s="64">
        <v>11446251616.219999</v>
      </c>
      <c r="L92" s="59">
        <f t="shared" si="39"/>
        <v>4.6975174627481048E-2</v>
      </c>
      <c r="M92" s="92">
        <v>1</v>
      </c>
      <c r="N92" s="92">
        <v>1</v>
      </c>
      <c r="O92" s="60">
        <v>4854</v>
      </c>
      <c r="P92" s="82">
        <v>0.06</v>
      </c>
      <c r="Q92" s="82">
        <v>0.06</v>
      </c>
      <c r="R92" s="87">
        <f t="shared" si="40"/>
        <v>1.6311504658023787E-3</v>
      </c>
      <c r="S92" s="87">
        <f t="shared" si="41"/>
        <v>0</v>
      </c>
      <c r="T92" s="87">
        <f t="shared" si="42"/>
        <v>-2.0597322348094748E-4</v>
      </c>
      <c r="U92" s="88">
        <f t="shared" si="43"/>
        <v>0</v>
      </c>
      <c r="V92" s="89">
        <f t="shared" si="44"/>
        <v>0</v>
      </c>
    </row>
    <row r="93" spans="1:22">
      <c r="A93" s="169">
        <v>82</v>
      </c>
      <c r="B93" s="167" t="s">
        <v>151</v>
      </c>
      <c r="C93" s="168" t="s">
        <v>152</v>
      </c>
      <c r="D93" s="64">
        <v>1839866462.6400001</v>
      </c>
      <c r="E93" s="59">
        <f t="shared" si="45"/>
        <v>7.5823011756969696E-3</v>
      </c>
      <c r="F93" s="64">
        <v>271.77</v>
      </c>
      <c r="G93" s="64">
        <v>271.77</v>
      </c>
      <c r="H93" s="60">
        <v>550</v>
      </c>
      <c r="I93" s="82">
        <v>3.0000000000000001E-3</v>
      </c>
      <c r="J93" s="82">
        <v>0.18720000000000001</v>
      </c>
      <c r="K93" s="64">
        <v>1798780904.8299999</v>
      </c>
      <c r="L93" s="59">
        <f t="shared" si="39"/>
        <v>7.38215880220814E-3</v>
      </c>
      <c r="M93" s="64">
        <v>272.49</v>
      </c>
      <c r="N93" s="64">
        <v>272.49</v>
      </c>
      <c r="O93" s="60">
        <v>562</v>
      </c>
      <c r="P93" s="82">
        <v>3.0000000000000001E-3</v>
      </c>
      <c r="Q93" s="82">
        <v>0.18720000000000001</v>
      </c>
      <c r="R93" s="87">
        <f t="shared" si="40"/>
        <v>-2.2330728150263175E-2</v>
      </c>
      <c r="S93" s="87">
        <f t="shared" si="41"/>
        <v>2.6492990396291987E-3</v>
      </c>
      <c r="T93" s="87">
        <f t="shared" si="42"/>
        <v>2.181818181818182E-2</v>
      </c>
      <c r="U93" s="88">
        <f t="shared" si="43"/>
        <v>0</v>
      </c>
      <c r="V93" s="89">
        <f t="shared" si="44"/>
        <v>0</v>
      </c>
    </row>
    <row r="94" spans="1:22">
      <c r="A94" s="169">
        <v>83</v>
      </c>
      <c r="B94" s="167" t="s">
        <v>153</v>
      </c>
      <c r="C94" s="168" t="s">
        <v>42</v>
      </c>
      <c r="D94" s="64">
        <v>1056628343.3200001</v>
      </c>
      <c r="E94" s="59">
        <f t="shared" si="45"/>
        <v>4.3544868567983635E-3</v>
      </c>
      <c r="F94" s="92">
        <v>3.59</v>
      </c>
      <c r="G94" s="92">
        <v>3.6</v>
      </c>
      <c r="H94" s="78">
        <v>782</v>
      </c>
      <c r="I94" s="85">
        <v>2.0999999999999999E-3</v>
      </c>
      <c r="J94" s="85">
        <v>-8.8999999999999999E-3</v>
      </c>
      <c r="K94" s="64">
        <v>1065837506.13</v>
      </c>
      <c r="L94" s="59">
        <f t="shared" si="39"/>
        <v>4.3741745903983576E-3</v>
      </c>
      <c r="M94" s="92">
        <v>3.6</v>
      </c>
      <c r="N94" s="92">
        <v>3.61</v>
      </c>
      <c r="O94" s="78">
        <v>786</v>
      </c>
      <c r="P94" s="85">
        <v>4.4999999999999997E-3</v>
      </c>
      <c r="Q94" s="85">
        <v>-6.0000000000000001E-3</v>
      </c>
      <c r="R94" s="87">
        <f t="shared" si="40"/>
        <v>8.7156121338408457E-3</v>
      </c>
      <c r="S94" s="87">
        <f t="shared" si="41"/>
        <v>2.7777777777777185E-3</v>
      </c>
      <c r="T94" s="87">
        <f t="shared" si="42"/>
        <v>5.1150895140664966E-3</v>
      </c>
      <c r="U94" s="88">
        <f t="shared" si="43"/>
        <v>2.3999999999999998E-3</v>
      </c>
      <c r="V94" s="89">
        <f t="shared" si="44"/>
        <v>2.8999999999999998E-3</v>
      </c>
    </row>
    <row r="95" spans="1:22">
      <c r="A95" s="169">
        <v>84</v>
      </c>
      <c r="B95" s="167" t="s">
        <v>154</v>
      </c>
      <c r="C95" s="168" t="s">
        <v>44</v>
      </c>
      <c r="D95" s="64">
        <v>698442883.11000001</v>
      </c>
      <c r="E95" s="59">
        <f t="shared" si="45"/>
        <v>2.8783634037022744E-3</v>
      </c>
      <c r="F95" s="92">
        <v>111.95416</v>
      </c>
      <c r="G95" s="92">
        <v>111.95416</v>
      </c>
      <c r="H95" s="78">
        <v>259</v>
      </c>
      <c r="I95" s="85">
        <v>0.15010000000000001</v>
      </c>
      <c r="J95" s="85">
        <v>0.17080000000000001</v>
      </c>
      <c r="K95" s="64">
        <v>703348176.92999995</v>
      </c>
      <c r="L95" s="59">
        <f t="shared" si="39"/>
        <v>2.8865260473907228E-3</v>
      </c>
      <c r="M95" s="92">
        <v>112.21647</v>
      </c>
      <c r="N95" s="92">
        <v>112.21647</v>
      </c>
      <c r="O95" s="78">
        <v>271</v>
      </c>
      <c r="P95" s="85">
        <v>0.15010000000000001</v>
      </c>
      <c r="Q95" s="85">
        <v>0.17080000000000001</v>
      </c>
      <c r="R95" s="87">
        <f t="shared" si="40"/>
        <v>7.0231853436000758E-3</v>
      </c>
      <c r="S95" s="87">
        <f t="shared" si="41"/>
        <v>2.3430125329867097E-3</v>
      </c>
      <c r="T95" s="87">
        <f t="shared" si="42"/>
        <v>4.633204633204633E-2</v>
      </c>
      <c r="U95" s="88">
        <f t="shared" si="43"/>
        <v>0</v>
      </c>
      <c r="V95" s="89">
        <f t="shared" si="44"/>
        <v>0</v>
      </c>
    </row>
    <row r="96" spans="1:22">
      <c r="A96" s="169">
        <v>85</v>
      </c>
      <c r="B96" s="168" t="s">
        <v>155</v>
      </c>
      <c r="C96" s="176" t="s">
        <v>48</v>
      </c>
      <c r="D96" s="64">
        <v>1074603348.6700001</v>
      </c>
      <c r="E96" s="59">
        <f t="shared" si="45"/>
        <v>4.4285639199798405E-3</v>
      </c>
      <c r="F96" s="92">
        <v>113.45</v>
      </c>
      <c r="G96" s="92">
        <v>113.94</v>
      </c>
      <c r="H96" s="60">
        <v>289</v>
      </c>
      <c r="I96" s="82">
        <v>2.0000000000000001E-4</v>
      </c>
      <c r="J96" s="82">
        <v>0.17230000000000001</v>
      </c>
      <c r="K96" s="64">
        <v>1079029913.3499999</v>
      </c>
      <c r="L96" s="59">
        <f t="shared" si="39"/>
        <v>4.4283159507051816E-3</v>
      </c>
      <c r="M96" s="92">
        <v>113.41</v>
      </c>
      <c r="N96" s="92">
        <v>113.95</v>
      </c>
      <c r="O96" s="60">
        <v>289</v>
      </c>
      <c r="P96" s="82">
        <v>-4.0000000000000002E-4</v>
      </c>
      <c r="Q96" s="82">
        <v>0.12479999999999999</v>
      </c>
      <c r="R96" s="87">
        <f t="shared" si="40"/>
        <v>4.1192545002567103E-3</v>
      </c>
      <c r="S96" s="87">
        <f t="shared" si="41"/>
        <v>8.7765490609137406E-5</v>
      </c>
      <c r="T96" s="87">
        <f t="shared" si="42"/>
        <v>0</v>
      </c>
      <c r="U96" s="88">
        <f t="shared" si="43"/>
        <v>-6.0000000000000006E-4</v>
      </c>
      <c r="V96" s="89">
        <f t="shared" si="44"/>
        <v>-4.7500000000000014E-2</v>
      </c>
    </row>
    <row r="97" spans="1:22">
      <c r="A97" s="169">
        <v>86</v>
      </c>
      <c r="B97" s="167" t="s">
        <v>156</v>
      </c>
      <c r="C97" s="168" t="s">
        <v>20</v>
      </c>
      <c r="D97" s="65">
        <v>1614442890.8599999</v>
      </c>
      <c r="E97" s="59">
        <f t="shared" si="45"/>
        <v>6.6533047251150319E-3</v>
      </c>
      <c r="F97" s="92">
        <v>386.7758</v>
      </c>
      <c r="G97" s="92">
        <v>386.7758</v>
      </c>
      <c r="H97" s="60">
        <v>97</v>
      </c>
      <c r="I97" s="82">
        <v>2.7000000000000001E-3</v>
      </c>
      <c r="J97" s="82">
        <v>0.12470000000000001</v>
      </c>
      <c r="K97" s="65">
        <v>1618922002.49</v>
      </c>
      <c r="L97" s="59">
        <f t="shared" si="39"/>
        <v>6.6440216697205082E-3</v>
      </c>
      <c r="M97" s="92">
        <v>387.71499999999997</v>
      </c>
      <c r="N97" s="92">
        <v>387.71499999999997</v>
      </c>
      <c r="O97" s="60">
        <v>97</v>
      </c>
      <c r="P97" s="82">
        <v>2.3999999999999998E-3</v>
      </c>
      <c r="Q97" s="82">
        <v>0.1273</v>
      </c>
      <c r="R97" s="87">
        <f t="shared" si="40"/>
        <v>2.7744007888777845E-3</v>
      </c>
      <c r="S97" s="87">
        <f t="shared" si="41"/>
        <v>2.428280156100695E-3</v>
      </c>
      <c r="T97" s="87">
        <f t="shared" si="42"/>
        <v>0</v>
      </c>
      <c r="U97" s="88">
        <f t="shared" si="43"/>
        <v>-3.0000000000000035E-4</v>
      </c>
      <c r="V97" s="89">
        <f t="shared" si="44"/>
        <v>2.5999999999999912E-3</v>
      </c>
    </row>
    <row r="98" spans="1:22">
      <c r="A98" s="169">
        <v>87</v>
      </c>
      <c r="B98" s="167" t="s">
        <v>157</v>
      </c>
      <c r="C98" s="168" t="s">
        <v>104</v>
      </c>
      <c r="D98" s="76">
        <v>1793778474</v>
      </c>
      <c r="E98" s="59">
        <f>(D98/$K$71)</f>
        <v>3.9403523856487406E-4</v>
      </c>
      <c r="F98" s="92">
        <v>104.32</v>
      </c>
      <c r="G98" s="92">
        <v>104.32</v>
      </c>
      <c r="H98" s="60">
        <v>409</v>
      </c>
      <c r="I98" s="82">
        <v>4.0000000000000002E-4</v>
      </c>
      <c r="J98" s="82">
        <v>0.15540000000000001</v>
      </c>
      <c r="K98" s="76">
        <v>1794697888</v>
      </c>
      <c r="L98" s="59">
        <f t="shared" ref="L98:L112" si="54">(K98/$K$113)</f>
        <v>7.3654021874641137E-3</v>
      </c>
      <c r="M98" s="92">
        <v>104.44</v>
      </c>
      <c r="N98" s="92">
        <v>104.44</v>
      </c>
      <c r="O98" s="60">
        <v>410</v>
      </c>
      <c r="P98" s="82">
        <v>1.1000000000000001E-3</v>
      </c>
      <c r="Q98" s="82">
        <v>0.15329999999999999</v>
      </c>
      <c r="R98" s="87">
        <f t="shared" si="40"/>
        <v>5.1255715983132034E-4</v>
      </c>
      <c r="S98" s="87">
        <f t="shared" si="41"/>
        <v>1.1503067484663013E-3</v>
      </c>
      <c r="T98" s="87">
        <f t="shared" si="42"/>
        <v>2.4449877750611247E-3</v>
      </c>
      <c r="U98" s="88">
        <f t="shared" si="43"/>
        <v>7.000000000000001E-4</v>
      </c>
      <c r="V98" s="89">
        <f t="shared" si="44"/>
        <v>-2.1000000000000185E-3</v>
      </c>
    </row>
    <row r="99" spans="1:22">
      <c r="A99" s="169">
        <v>88</v>
      </c>
      <c r="B99" s="167" t="s">
        <v>158</v>
      </c>
      <c r="C99" s="168" t="s">
        <v>46</v>
      </c>
      <c r="D99" s="64">
        <v>58828315.789999999</v>
      </c>
      <c r="E99" s="59">
        <f t="shared" ref="E99:E112" si="55">(D99/$D$113)</f>
        <v>2.4243825138197943E-4</v>
      </c>
      <c r="F99" s="64">
        <v>12.01</v>
      </c>
      <c r="G99" s="64">
        <v>12.67</v>
      </c>
      <c r="H99" s="60">
        <v>57</v>
      </c>
      <c r="I99" s="82">
        <v>1.1999999999999999E-3</v>
      </c>
      <c r="J99" s="82">
        <v>-0.01</v>
      </c>
      <c r="K99" s="64">
        <v>58921705.590000004</v>
      </c>
      <c r="L99" s="59">
        <f t="shared" si="54"/>
        <v>2.4181343397318498E-4</v>
      </c>
      <c r="M99" s="64">
        <v>12.028065</v>
      </c>
      <c r="N99" s="64">
        <v>12.7</v>
      </c>
      <c r="O99" s="60">
        <v>57</v>
      </c>
      <c r="P99" s="82">
        <v>4.5999999999999999E-3</v>
      </c>
      <c r="Q99" s="82">
        <v>-8.6999999999999994E-3</v>
      </c>
      <c r="R99" s="87">
        <f t="shared" si="40"/>
        <v>1.5874974278267447E-3</v>
      </c>
      <c r="S99" s="87">
        <f t="shared" si="41"/>
        <v>2.3677979479083946E-3</v>
      </c>
      <c r="T99" s="87">
        <f t="shared" si="42"/>
        <v>0</v>
      </c>
      <c r="U99" s="88">
        <f t="shared" si="43"/>
        <v>3.4000000000000002E-3</v>
      </c>
      <c r="V99" s="89">
        <f t="shared" si="44"/>
        <v>1.3000000000000008E-3</v>
      </c>
    </row>
    <row r="100" spans="1:22">
      <c r="A100" s="169">
        <v>89</v>
      </c>
      <c r="B100" s="167" t="s">
        <v>159</v>
      </c>
      <c r="C100" s="168" t="s">
        <v>160</v>
      </c>
      <c r="D100" s="64">
        <v>829116816.65999997</v>
      </c>
      <c r="E100" s="59">
        <f t="shared" si="55"/>
        <v>3.416885704156305E-3</v>
      </c>
      <c r="F100" s="64">
        <v>153.4</v>
      </c>
      <c r="G100" s="64">
        <v>153.4</v>
      </c>
      <c r="H100" s="60">
        <v>171</v>
      </c>
      <c r="I100" s="82">
        <v>0.1749</v>
      </c>
      <c r="J100" s="82">
        <v>0.19420000000000001</v>
      </c>
      <c r="K100" s="64">
        <v>854916474.49000001</v>
      </c>
      <c r="L100" s="59">
        <f t="shared" si="54"/>
        <v>3.5085591360030362E-3</v>
      </c>
      <c r="M100" s="64">
        <v>153.88</v>
      </c>
      <c r="N100" s="64">
        <v>153.88</v>
      </c>
      <c r="O100" s="60">
        <v>173</v>
      </c>
      <c r="P100" s="82">
        <v>0.18010000000000001</v>
      </c>
      <c r="Q100" s="82">
        <v>0.1928</v>
      </c>
      <c r="R100" s="87">
        <f t="shared" si="40"/>
        <v>3.1117035997328995E-2</v>
      </c>
      <c r="S100" s="87">
        <f t="shared" si="41"/>
        <v>3.1290743155149266E-3</v>
      </c>
      <c r="T100" s="87">
        <f t="shared" si="42"/>
        <v>1.1695906432748537E-2</v>
      </c>
      <c r="U100" s="88">
        <f t="shared" si="43"/>
        <v>5.2000000000000102E-3</v>
      </c>
      <c r="V100" s="89">
        <f t="shared" si="44"/>
        <v>-1.4000000000000123E-3</v>
      </c>
    </row>
    <row r="101" spans="1:22">
      <c r="A101" s="169">
        <v>90</v>
      </c>
      <c r="B101" s="167" t="s">
        <v>161</v>
      </c>
      <c r="C101" s="168" t="s">
        <v>162</v>
      </c>
      <c r="D101" s="64">
        <v>10014817838.1166</v>
      </c>
      <c r="E101" s="59">
        <f t="shared" si="55"/>
        <v>4.127221546251994E-2</v>
      </c>
      <c r="F101" s="64">
        <v>1.1399999999999999</v>
      </c>
      <c r="G101" s="64">
        <v>1.1399999999999999</v>
      </c>
      <c r="H101" s="60">
        <v>5086</v>
      </c>
      <c r="I101" s="82">
        <v>0.1721</v>
      </c>
      <c r="J101" s="82">
        <v>0.1721</v>
      </c>
      <c r="K101" s="64">
        <v>9963132982.5258694</v>
      </c>
      <c r="L101" s="59">
        <f t="shared" si="54"/>
        <v>4.0888487112039157E-2</v>
      </c>
      <c r="M101" s="64">
        <v>1.1399999999999999</v>
      </c>
      <c r="N101" s="64">
        <v>1.1399999999999999</v>
      </c>
      <c r="O101" s="60">
        <v>5097</v>
      </c>
      <c r="P101" s="82">
        <v>0.1711</v>
      </c>
      <c r="Q101" s="82">
        <v>0.1711</v>
      </c>
      <c r="R101" s="87">
        <f t="shared" si="40"/>
        <v>-5.1608383124071471E-3</v>
      </c>
      <c r="S101" s="87">
        <f t="shared" si="41"/>
        <v>0</v>
      </c>
      <c r="T101" s="87">
        <f t="shared" si="42"/>
        <v>2.1627998427054661E-3</v>
      </c>
      <c r="U101" s="88">
        <f t="shared" si="43"/>
        <v>-1.0000000000000009E-3</v>
      </c>
      <c r="V101" s="89">
        <f t="shared" si="44"/>
        <v>-1.0000000000000009E-3</v>
      </c>
    </row>
    <row r="102" spans="1:22" ht="14.25" customHeight="1">
      <c r="A102" s="169">
        <v>91</v>
      </c>
      <c r="B102" s="167" t="s">
        <v>163</v>
      </c>
      <c r="C102" s="168" t="s">
        <v>50</v>
      </c>
      <c r="D102" s="64">
        <v>6971279443.0900002</v>
      </c>
      <c r="E102" s="59">
        <f t="shared" si="55"/>
        <v>2.8729443897579223E-2</v>
      </c>
      <c r="F102" s="64">
        <v>5176.09</v>
      </c>
      <c r="G102" s="64">
        <v>5176.09</v>
      </c>
      <c r="H102" s="60">
        <v>229</v>
      </c>
      <c r="I102" s="82">
        <v>0</v>
      </c>
      <c r="J102" s="82">
        <v>1.6999999999999999E-3</v>
      </c>
      <c r="K102" s="64">
        <v>6905410281.6300001</v>
      </c>
      <c r="L102" s="59">
        <f t="shared" si="54"/>
        <v>2.8339657796295787E-2</v>
      </c>
      <c r="M102" s="64">
        <v>5176.09</v>
      </c>
      <c r="N102" s="64">
        <v>5176.09</v>
      </c>
      <c r="O102" s="60">
        <v>222</v>
      </c>
      <c r="P102" s="82">
        <v>0</v>
      </c>
      <c r="Q102" s="82">
        <v>1.6999999999999999E-3</v>
      </c>
      <c r="R102" s="87">
        <f t="shared" si="40"/>
        <v>-9.4486474108121127E-3</v>
      </c>
      <c r="S102" s="87">
        <f t="shared" si="41"/>
        <v>0</v>
      </c>
      <c r="T102" s="87">
        <f t="shared" si="42"/>
        <v>-3.0567685589519649E-2</v>
      </c>
      <c r="U102" s="88">
        <f t="shared" si="43"/>
        <v>0</v>
      </c>
      <c r="V102" s="89">
        <f t="shared" si="44"/>
        <v>0</v>
      </c>
    </row>
    <row r="103" spans="1:22" ht="13.5" customHeight="1">
      <c r="A103" s="169">
        <v>92</v>
      </c>
      <c r="B103" s="167" t="s">
        <v>164</v>
      </c>
      <c r="C103" s="168" t="s">
        <v>50</v>
      </c>
      <c r="D103" s="64">
        <v>15774828452.700001</v>
      </c>
      <c r="E103" s="59">
        <f t="shared" si="55"/>
        <v>6.5009881288720886E-2</v>
      </c>
      <c r="F103" s="92">
        <v>259.23</v>
      </c>
      <c r="G103" s="92">
        <v>259.23</v>
      </c>
      <c r="H103" s="60">
        <v>6070</v>
      </c>
      <c r="I103" s="82">
        <v>0</v>
      </c>
      <c r="J103" s="82">
        <v>1.5E-3</v>
      </c>
      <c r="K103" s="64">
        <v>15769082668.110001</v>
      </c>
      <c r="L103" s="59">
        <f t="shared" si="54"/>
        <v>6.4715981867807179E-2</v>
      </c>
      <c r="M103" s="92">
        <v>259.23</v>
      </c>
      <c r="N103" s="92">
        <v>259.23</v>
      </c>
      <c r="O103" s="60">
        <v>6061</v>
      </c>
      <c r="P103" s="82">
        <v>0</v>
      </c>
      <c r="Q103" s="82">
        <v>1.5E-3</v>
      </c>
      <c r="R103" s="87">
        <f t="shared" si="40"/>
        <v>-3.6423753242252919E-4</v>
      </c>
      <c r="S103" s="87">
        <f t="shared" si="41"/>
        <v>0</v>
      </c>
      <c r="T103" s="87">
        <f t="shared" si="42"/>
        <v>-1.4827018121911038E-3</v>
      </c>
      <c r="U103" s="88">
        <f t="shared" si="43"/>
        <v>0</v>
      </c>
      <c r="V103" s="89">
        <f t="shared" si="44"/>
        <v>0</v>
      </c>
    </row>
    <row r="104" spans="1:22" ht="13.5" customHeight="1">
      <c r="A104" s="169">
        <v>93</v>
      </c>
      <c r="B104" s="167" t="s">
        <v>165</v>
      </c>
      <c r="C104" s="168" t="s">
        <v>50</v>
      </c>
      <c r="D104" s="64">
        <v>560624586.83000004</v>
      </c>
      <c r="E104" s="59">
        <f t="shared" si="55"/>
        <v>2.3103983632302779E-3</v>
      </c>
      <c r="F104" s="63">
        <v>9261.49</v>
      </c>
      <c r="G104" s="63">
        <v>9298.0499999999993</v>
      </c>
      <c r="H104" s="60">
        <v>15</v>
      </c>
      <c r="I104" s="82">
        <v>-1.6999999999999999E-3</v>
      </c>
      <c r="J104" s="82">
        <v>0.36270000000000002</v>
      </c>
      <c r="K104" s="64">
        <v>562932683.63999999</v>
      </c>
      <c r="L104" s="59">
        <f t="shared" si="54"/>
        <v>2.3102638317012941E-3</v>
      </c>
      <c r="M104" s="63">
        <v>9299.32</v>
      </c>
      <c r="N104" s="63">
        <v>9336.5300000000007</v>
      </c>
      <c r="O104" s="60">
        <v>15</v>
      </c>
      <c r="P104" s="82">
        <v>4.1000000000000003E-3</v>
      </c>
      <c r="Q104" s="82">
        <v>0.36840000000000001</v>
      </c>
      <c r="R104" s="87">
        <f t="shared" si="40"/>
        <v>4.1170096071791338E-3</v>
      </c>
      <c r="S104" s="87">
        <f t="shared" si="41"/>
        <v>4.1385021590550049E-3</v>
      </c>
      <c r="T104" s="87">
        <f t="shared" si="42"/>
        <v>0</v>
      </c>
      <c r="U104" s="88">
        <f t="shared" si="43"/>
        <v>5.8000000000000005E-3</v>
      </c>
      <c r="V104" s="89">
        <f t="shared" si="44"/>
        <v>5.6999999999999829E-3</v>
      </c>
    </row>
    <row r="105" spans="1:22" ht="15" customHeight="1">
      <c r="A105" s="169">
        <v>94</v>
      </c>
      <c r="B105" s="167" t="s">
        <v>166</v>
      </c>
      <c r="C105" s="168" t="s">
        <v>50</v>
      </c>
      <c r="D105" s="64">
        <v>6381986413.9200001</v>
      </c>
      <c r="E105" s="59">
        <f t="shared" si="55"/>
        <v>2.6300899588176267E-2</v>
      </c>
      <c r="F105" s="92">
        <v>158.9</v>
      </c>
      <c r="G105" s="92">
        <v>158.9</v>
      </c>
      <c r="H105" s="60">
        <v>5174</v>
      </c>
      <c r="I105" s="82">
        <v>2.8E-3</v>
      </c>
      <c r="J105" s="82">
        <v>0.1525</v>
      </c>
      <c r="K105" s="64">
        <v>6379319565.2200003</v>
      </c>
      <c r="L105" s="59">
        <f t="shared" si="54"/>
        <v>2.6180592619165107E-2</v>
      </c>
      <c r="M105" s="92">
        <v>159.36000000000001</v>
      </c>
      <c r="N105" s="92">
        <v>159.36000000000001</v>
      </c>
      <c r="O105" s="60">
        <v>5208</v>
      </c>
      <c r="P105" s="82">
        <v>2.8999999999999998E-3</v>
      </c>
      <c r="Q105" s="82">
        <v>0.15579999999999999</v>
      </c>
      <c r="R105" s="87">
        <f t="shared" si="40"/>
        <v>-4.1787125935947487E-4</v>
      </c>
      <c r="S105" s="87">
        <f t="shared" si="41"/>
        <v>2.8949024543738701E-3</v>
      </c>
      <c r="T105" s="87">
        <f t="shared" si="42"/>
        <v>6.5713181291070736E-3</v>
      </c>
      <c r="U105" s="88">
        <f t="shared" si="43"/>
        <v>9.9999999999999829E-5</v>
      </c>
      <c r="V105" s="89">
        <f t="shared" si="44"/>
        <v>3.2999999999999974E-3</v>
      </c>
    </row>
    <row r="106" spans="1:22" ht="15" customHeight="1">
      <c r="A106" s="169">
        <v>95</v>
      </c>
      <c r="B106" s="167" t="s">
        <v>167</v>
      </c>
      <c r="C106" s="168" t="s">
        <v>50</v>
      </c>
      <c r="D106" s="64">
        <v>6180155607.5799999</v>
      </c>
      <c r="E106" s="59">
        <f t="shared" si="55"/>
        <v>2.5469131635839234E-2</v>
      </c>
      <c r="F106" s="92">
        <v>380.31</v>
      </c>
      <c r="G106" s="92">
        <v>380.79</v>
      </c>
      <c r="H106" s="60">
        <v>10725</v>
      </c>
      <c r="I106" s="82">
        <v>-3.5999999999999999E-3</v>
      </c>
      <c r="J106" s="82">
        <v>7.4899999999999994E-2</v>
      </c>
      <c r="K106" s="64">
        <v>6164415535.6300001</v>
      </c>
      <c r="L106" s="59">
        <f t="shared" si="54"/>
        <v>2.5298631025394602E-2</v>
      </c>
      <c r="M106" s="92">
        <v>381.45</v>
      </c>
      <c r="N106" s="92">
        <v>381.93</v>
      </c>
      <c r="O106" s="60">
        <v>10772</v>
      </c>
      <c r="P106" s="82">
        <v>3.0000000000000001E-3</v>
      </c>
      <c r="Q106" s="82">
        <v>7.8100000000000003E-2</v>
      </c>
      <c r="R106" s="87">
        <f t="shared" si="40"/>
        <v>-2.5468730804600634E-3</v>
      </c>
      <c r="S106" s="87">
        <f t="shared" si="41"/>
        <v>2.9937760970613365E-3</v>
      </c>
      <c r="T106" s="87">
        <f t="shared" si="42"/>
        <v>4.3822843822843823E-3</v>
      </c>
      <c r="U106" s="88">
        <f t="shared" si="43"/>
        <v>6.6E-3</v>
      </c>
      <c r="V106" s="89">
        <f t="shared" si="44"/>
        <v>3.2000000000000084E-3</v>
      </c>
    </row>
    <row r="107" spans="1:22" ht="15" customHeight="1">
      <c r="A107" s="169">
        <v>96</v>
      </c>
      <c r="B107" s="167" t="s">
        <v>168</v>
      </c>
      <c r="C107" s="168" t="s">
        <v>119</v>
      </c>
      <c r="D107" s="64">
        <v>93361648.689999998</v>
      </c>
      <c r="E107" s="59">
        <f t="shared" si="55"/>
        <v>3.847540856913298E-4</v>
      </c>
      <c r="F107" s="92">
        <v>114.0808</v>
      </c>
      <c r="G107" s="92">
        <v>114.0808</v>
      </c>
      <c r="H107" s="60">
        <v>23</v>
      </c>
      <c r="I107" s="82">
        <v>6.7999999999999996E-3</v>
      </c>
      <c r="J107" s="82">
        <v>0.31337999999999999</v>
      </c>
      <c r="K107" s="64">
        <v>93074516.209999993</v>
      </c>
      <c r="L107" s="59">
        <f t="shared" si="54"/>
        <v>3.8197584667258382E-4</v>
      </c>
      <c r="M107" s="92">
        <v>113.7299</v>
      </c>
      <c r="N107" s="92">
        <v>113.7299</v>
      </c>
      <c r="O107" s="60">
        <v>23</v>
      </c>
      <c r="P107" s="82">
        <v>-6.9999999999999994E-5</v>
      </c>
      <c r="Q107" s="82">
        <v>0.29307</v>
      </c>
      <c r="R107" s="87">
        <f t="shared" ref="R107" si="56">((K107-D107)/D107)</f>
        <v>-3.0754863911348113E-3</v>
      </c>
      <c r="S107" s="87">
        <f t="shared" ref="S107" si="57">((N107-G107)/G107)</f>
        <v>-3.0758900708970816E-3</v>
      </c>
      <c r="T107" s="87">
        <f t="shared" ref="T107" si="58">((O107-H107)/H107)</f>
        <v>0</v>
      </c>
      <c r="U107" s="88">
        <f t="shared" ref="U107" si="59">P107-I107</f>
        <v>-6.8699999999999994E-3</v>
      </c>
      <c r="V107" s="89">
        <f t="shared" ref="V107" si="60">Q107-J107</f>
        <v>-2.0309999999999995E-2</v>
      </c>
    </row>
    <row r="108" spans="1:22">
      <c r="A108" s="169">
        <v>97</v>
      </c>
      <c r="B108" s="167" t="s">
        <v>169</v>
      </c>
      <c r="C108" s="168" t="s">
        <v>53</v>
      </c>
      <c r="D108" s="64">
        <v>85190250663.399994</v>
      </c>
      <c r="E108" s="59">
        <f t="shared" si="55"/>
        <v>0.3510788151636664</v>
      </c>
      <c r="F108" s="64">
        <v>1.9625999999999999</v>
      </c>
      <c r="G108" s="64">
        <v>1.9625999999999999</v>
      </c>
      <c r="H108" s="60">
        <v>6805</v>
      </c>
      <c r="I108" s="82">
        <v>1.4E-3</v>
      </c>
      <c r="J108" s="82">
        <v>8.5000000000000006E-2</v>
      </c>
      <c r="K108" s="64">
        <v>85313509275.460007</v>
      </c>
      <c r="L108" s="59">
        <f t="shared" si="54"/>
        <v>0.35012483830243024</v>
      </c>
      <c r="M108" s="64">
        <v>1.9655</v>
      </c>
      <c r="N108" s="64">
        <v>1.9655</v>
      </c>
      <c r="O108" s="60">
        <v>6814</v>
      </c>
      <c r="P108" s="82">
        <v>1.5E-3</v>
      </c>
      <c r="Q108" s="82">
        <v>8.48E-2</v>
      </c>
      <c r="R108" s="87">
        <f t="shared" si="40"/>
        <v>1.4468628874802455E-3</v>
      </c>
      <c r="S108" s="87">
        <f t="shared" si="41"/>
        <v>1.4776317130337944E-3</v>
      </c>
      <c r="T108" s="87">
        <f t="shared" si="42"/>
        <v>1.322556943423953E-3</v>
      </c>
      <c r="U108" s="88">
        <f t="shared" si="43"/>
        <v>1.0000000000000005E-4</v>
      </c>
      <c r="V108" s="89">
        <f t="shared" si="44"/>
        <v>-2.0000000000000573E-4</v>
      </c>
    </row>
    <row r="109" spans="1:22">
      <c r="A109" s="169">
        <v>98</v>
      </c>
      <c r="B109" s="167" t="s">
        <v>170</v>
      </c>
      <c r="C109" s="168" t="s">
        <v>53</v>
      </c>
      <c r="D109" s="64">
        <v>63403737265.860001</v>
      </c>
      <c r="E109" s="59">
        <f t="shared" si="55"/>
        <v>0.26129408920509134</v>
      </c>
      <c r="F109" s="64">
        <v>126.81610000000001</v>
      </c>
      <c r="G109" s="64">
        <v>126.81610000000001</v>
      </c>
      <c r="H109" s="60">
        <v>1092</v>
      </c>
      <c r="I109" s="82">
        <v>3.0999999999999999E-3</v>
      </c>
      <c r="J109" s="82">
        <v>0.2021</v>
      </c>
      <c r="K109" s="64">
        <v>64122966086.150002</v>
      </c>
      <c r="L109" s="59">
        <f t="shared" si="54"/>
        <v>0.26315929708032082</v>
      </c>
      <c r="M109" s="64">
        <v>127.1512</v>
      </c>
      <c r="N109" s="64">
        <v>127.1512</v>
      </c>
      <c r="O109" s="60">
        <v>1107</v>
      </c>
      <c r="P109" s="82">
        <v>2.5999999999999999E-3</v>
      </c>
      <c r="Q109" s="82">
        <v>0.20080000000000001</v>
      </c>
      <c r="R109" s="87">
        <f t="shared" ref="R109:R111" si="61">((K109-D109)/D109)</f>
        <v>1.1343634481263814E-2</v>
      </c>
      <c r="S109" s="87">
        <f t="shared" ref="S109:S111" si="62">((N109-G109)/G109)</f>
        <v>2.6424089685773105E-3</v>
      </c>
      <c r="T109" s="87">
        <f t="shared" ref="T109:T111" si="63">((O109-H109)/H109)</f>
        <v>1.3736263736263736E-2</v>
      </c>
      <c r="U109" s="88">
        <f t="shared" ref="U109:U111" si="64">P109-I109</f>
        <v>-5.0000000000000001E-4</v>
      </c>
      <c r="V109" s="89">
        <f t="shared" ref="V109:V111" si="65">Q109-J109</f>
        <v>-1.2999999999999956E-3</v>
      </c>
    </row>
    <row r="110" spans="1:22">
      <c r="A110" s="169">
        <v>99</v>
      </c>
      <c r="B110" s="167" t="s">
        <v>171</v>
      </c>
      <c r="C110" s="167" t="s">
        <v>172</v>
      </c>
      <c r="D110" s="64">
        <v>108262642.01000001</v>
      </c>
      <c r="E110" s="59">
        <f t="shared" si="55"/>
        <v>4.4616279195535384E-4</v>
      </c>
      <c r="F110" s="64">
        <v>115.6238</v>
      </c>
      <c r="G110" s="64">
        <v>115.6238</v>
      </c>
      <c r="H110" s="94">
        <v>81</v>
      </c>
      <c r="I110" s="96">
        <v>1.6000000000000001E-3</v>
      </c>
      <c r="J110" s="96">
        <v>4.7300000000000002E-2</v>
      </c>
      <c r="K110" s="64">
        <v>108219505.5</v>
      </c>
      <c r="L110" s="59">
        <f t="shared" si="54"/>
        <v>4.4413056251169146E-4</v>
      </c>
      <c r="M110" s="64">
        <v>115.57769999999999</v>
      </c>
      <c r="N110" s="64">
        <v>115.57769999999999</v>
      </c>
      <c r="O110" s="94">
        <v>81</v>
      </c>
      <c r="P110" s="96">
        <v>-4.0000000000000002E-4</v>
      </c>
      <c r="Q110" s="96">
        <v>4.6899999999999997E-2</v>
      </c>
      <c r="R110" s="87">
        <f t="shared" si="61"/>
        <v>-3.9844316745956494E-4</v>
      </c>
      <c r="S110" s="87">
        <f t="shared" si="62"/>
        <v>-3.9870684063324159E-4</v>
      </c>
      <c r="T110" s="87">
        <f t="shared" si="63"/>
        <v>0</v>
      </c>
      <c r="U110" s="88">
        <f t="shared" si="64"/>
        <v>-2E-3</v>
      </c>
      <c r="V110" s="89">
        <f t="shared" si="65"/>
        <v>-4.0000000000000452E-4</v>
      </c>
    </row>
    <row r="111" spans="1:22">
      <c r="A111" s="169">
        <v>100</v>
      </c>
      <c r="B111" s="167" t="s">
        <v>173</v>
      </c>
      <c r="C111" s="168" t="s">
        <v>126</v>
      </c>
      <c r="D111" s="64">
        <v>360356007.55000001</v>
      </c>
      <c r="E111" s="59">
        <f t="shared" si="55"/>
        <v>1.4850685281774473E-3</v>
      </c>
      <c r="F111" s="64">
        <v>1.4</v>
      </c>
      <c r="G111" s="64">
        <v>1.4</v>
      </c>
      <c r="H111" s="60">
        <v>699</v>
      </c>
      <c r="I111" s="82">
        <v>-3.3E-3</v>
      </c>
      <c r="J111" s="82">
        <v>0.29849999999999999</v>
      </c>
      <c r="K111" s="64">
        <v>361171137.29000002</v>
      </c>
      <c r="L111" s="59">
        <f t="shared" si="54"/>
        <v>1.4822387112792255E-3</v>
      </c>
      <c r="M111" s="64">
        <v>1.4</v>
      </c>
      <c r="N111" s="64">
        <v>1.4</v>
      </c>
      <c r="O111" s="60">
        <v>710</v>
      </c>
      <c r="P111" s="82">
        <v>-1.6000000000000001E-3</v>
      </c>
      <c r="Q111" s="82">
        <v>0.29749999999999999</v>
      </c>
      <c r="R111" s="87">
        <f t="shared" si="61"/>
        <v>2.2620123514574928E-3</v>
      </c>
      <c r="S111" s="87">
        <f t="shared" si="62"/>
        <v>0</v>
      </c>
      <c r="T111" s="87">
        <f t="shared" si="63"/>
        <v>1.5736766809728183E-2</v>
      </c>
      <c r="U111" s="88">
        <f t="shared" si="64"/>
        <v>1.6999999999999999E-3</v>
      </c>
      <c r="V111" s="89">
        <f t="shared" si="65"/>
        <v>-1.0000000000000009E-3</v>
      </c>
    </row>
    <row r="112" spans="1:22">
      <c r="A112" s="169">
        <v>101</v>
      </c>
      <c r="B112" s="167" t="s">
        <v>174</v>
      </c>
      <c r="C112" s="168" t="s">
        <v>128</v>
      </c>
      <c r="D112" s="64">
        <v>1983947463.3299999</v>
      </c>
      <c r="E112" s="59">
        <f t="shared" si="55"/>
        <v>8.1760755409081374E-3</v>
      </c>
      <c r="F112" s="92">
        <v>30.222200000000001</v>
      </c>
      <c r="G112" s="92">
        <v>30.222200000000001</v>
      </c>
      <c r="H112" s="60">
        <v>1294</v>
      </c>
      <c r="I112" s="82">
        <v>0</v>
      </c>
      <c r="J112" s="82">
        <v>0.10979999999999999</v>
      </c>
      <c r="K112" s="64">
        <v>1993010074.1400001</v>
      </c>
      <c r="L112" s="59">
        <f t="shared" si="54"/>
        <v>8.1792712065133777E-3</v>
      </c>
      <c r="M112" s="92">
        <v>30.274000000000001</v>
      </c>
      <c r="N112" s="92">
        <v>30.274000000000001</v>
      </c>
      <c r="O112" s="60">
        <v>1297</v>
      </c>
      <c r="P112" s="82">
        <v>0</v>
      </c>
      <c r="Q112" s="82">
        <v>0.1094</v>
      </c>
      <c r="R112" s="87">
        <f t="shared" si="40"/>
        <v>4.5679691511532486E-3</v>
      </c>
      <c r="S112" s="87">
        <f t="shared" si="41"/>
        <v>1.7139718485087144E-3</v>
      </c>
      <c r="T112" s="87">
        <f t="shared" si="42"/>
        <v>2.3183925811437402E-3</v>
      </c>
      <c r="U112" s="88">
        <f t="shared" si="43"/>
        <v>0</v>
      </c>
      <c r="V112" s="89">
        <f t="shared" si="44"/>
        <v>-3.9999999999999758E-4</v>
      </c>
    </row>
    <row r="113" spans="1:28">
      <c r="A113" s="67"/>
      <c r="B113" s="68"/>
      <c r="C113" s="69" t="s">
        <v>56</v>
      </c>
      <c r="D113" s="91">
        <f>SUM(D74:D112)</f>
        <v>242652780469.49625</v>
      </c>
      <c r="E113" s="71">
        <f>(D113/$D$230)</f>
        <v>3.3423565605965017E-2</v>
      </c>
      <c r="F113" s="72"/>
      <c r="G113" s="77"/>
      <c r="H113" s="74">
        <f>SUM(H74:H112)</f>
        <v>56426</v>
      </c>
      <c r="I113" s="85"/>
      <c r="J113" s="85"/>
      <c r="K113" s="91">
        <f>SUM(K74:K112)</f>
        <v>243665972654.49658</v>
      </c>
      <c r="L113" s="71">
        <f>(K113/$K$230)</f>
        <v>3.2854394977678947E-2</v>
      </c>
      <c r="M113" s="72"/>
      <c r="N113" s="77"/>
      <c r="O113" s="74">
        <f>SUM(O74:O112)</f>
        <v>56709</v>
      </c>
      <c r="P113" s="85"/>
      <c r="Q113" s="85"/>
      <c r="R113" s="87">
        <f t="shared" si="40"/>
        <v>4.1754814556007264E-3</v>
      </c>
      <c r="S113" s="87" t="e">
        <f t="shared" si="41"/>
        <v>#DIV/0!</v>
      </c>
      <c r="T113" s="87">
        <f t="shared" si="42"/>
        <v>5.0154184241307199E-3</v>
      </c>
      <c r="U113" s="88">
        <f t="shared" si="43"/>
        <v>0</v>
      </c>
      <c r="V113" s="89">
        <f t="shared" si="44"/>
        <v>0</v>
      </c>
    </row>
    <row r="114" spans="1:28" ht="3.75" customHeight="1">
      <c r="A114" s="67"/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</row>
    <row r="115" spans="1:28" ht="15" customHeight="1">
      <c r="A115" s="186" t="s">
        <v>175</v>
      </c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</row>
    <row r="116" spans="1:28">
      <c r="A116" s="188" t="s">
        <v>176</v>
      </c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Z116" s="97"/>
      <c r="AB116" s="99"/>
    </row>
    <row r="117" spans="1:28" ht="16.5" customHeight="1">
      <c r="A117" s="169">
        <v>102</v>
      </c>
      <c r="B117" s="167" t="s">
        <v>177</v>
      </c>
      <c r="C117" s="168" t="s">
        <v>20</v>
      </c>
      <c r="D117" s="64">
        <v>2848557032.1779528</v>
      </c>
      <c r="E117" s="59">
        <f t="shared" ref="E117:E122" si="66">(D117/$D$155)</f>
        <v>1.4949306550774777E-3</v>
      </c>
      <c r="F117" s="64">
        <v>166674.23855579001</v>
      </c>
      <c r="G117" s="64">
        <v>166674.23855579001</v>
      </c>
      <c r="H117" s="60">
        <v>174</v>
      </c>
      <c r="I117" s="82">
        <v>1.1000000000000001E-3</v>
      </c>
      <c r="J117" s="82">
        <v>5.67E-2</v>
      </c>
      <c r="K117" s="64">
        <f>1952431.46*W136</f>
        <v>2824664790.5464659</v>
      </c>
      <c r="L117" s="59">
        <f t="shared" ref="L117:L133" si="67">(K117/$K$155)</f>
        <v>1.485861513315293E-3</v>
      </c>
      <c r="M117" s="64">
        <f>114.5214*W136</f>
        <v>165682.93073093999</v>
      </c>
      <c r="N117" s="64">
        <f>114.5214*W136</f>
        <v>165682.93073093999</v>
      </c>
      <c r="O117" s="60">
        <v>174</v>
      </c>
      <c r="P117" s="82">
        <v>8.9999999999999998E-4</v>
      </c>
      <c r="Q117" s="82">
        <v>5.7599999999999998E-2</v>
      </c>
      <c r="R117" s="88">
        <f>((K117-D117)/D117)</f>
        <v>-8.3874893012829514E-3</v>
      </c>
      <c r="S117" s="88">
        <f>((N117-G117)/G117)</f>
        <v>-5.9475767427502532E-3</v>
      </c>
      <c r="T117" s="88">
        <f>((O117-H117)/H117)</f>
        <v>0</v>
      </c>
      <c r="U117" s="88">
        <f>P117-I117</f>
        <v>-2.0000000000000009E-4</v>
      </c>
      <c r="V117" s="89">
        <f>Q117-J117</f>
        <v>8.9999999999999802E-4</v>
      </c>
      <c r="X117" s="97"/>
      <c r="Y117" s="100"/>
      <c r="Z117" s="97"/>
      <c r="AA117" s="101"/>
    </row>
    <row r="118" spans="1:28" ht="16.5" customHeight="1">
      <c r="A118" s="169">
        <v>103</v>
      </c>
      <c r="B118" s="167" t="s">
        <v>178</v>
      </c>
      <c r="C118" s="168" t="s">
        <v>60</v>
      </c>
      <c r="D118" s="64">
        <v>5505026793.7676477</v>
      </c>
      <c r="E118" s="59">
        <f t="shared" si="66"/>
        <v>2.8890533761698691E-3</v>
      </c>
      <c r="F118" s="64">
        <v>145672.49</v>
      </c>
      <c r="G118" s="64">
        <v>145672.49</v>
      </c>
      <c r="H118" s="60">
        <v>93</v>
      </c>
      <c r="I118" s="82">
        <v>-1.0859999999999999E-3</v>
      </c>
      <c r="J118" s="82">
        <v>7.7427999999999997E-2</v>
      </c>
      <c r="K118" s="64">
        <f>3770780.27*W136</f>
        <v>5455346566.4583664</v>
      </c>
      <c r="L118" s="59">
        <f t="shared" si="67"/>
        <v>2.8696819289941418E-3</v>
      </c>
      <c r="M118" s="64">
        <f>100*W136</f>
        <v>144674.21</v>
      </c>
      <c r="N118" s="64">
        <f>100*W136</f>
        <v>144674.21</v>
      </c>
      <c r="O118" s="60">
        <v>95</v>
      </c>
      <c r="P118" s="82">
        <v>-1.2043E-2</v>
      </c>
      <c r="Q118" s="82">
        <v>6.5386E-2</v>
      </c>
      <c r="R118" s="88">
        <f>((K118-D118)/D118)</f>
        <v>-9.0245205283152018E-3</v>
      </c>
      <c r="S118" s="88">
        <f>((N118-G118)/G118)</f>
        <v>-6.8529068185763757E-3</v>
      </c>
      <c r="T118" s="88">
        <f>((O118-H118)/H118)</f>
        <v>2.1505376344086023E-2</v>
      </c>
      <c r="U118" s="88">
        <f>P118-I118</f>
        <v>-1.0957E-2</v>
      </c>
      <c r="V118" s="89">
        <f>Q118-J118</f>
        <v>-1.2041999999999997E-2</v>
      </c>
      <c r="X118" s="97"/>
      <c r="Y118" s="100"/>
      <c r="Z118" s="97"/>
      <c r="AA118" s="101"/>
    </row>
    <row r="119" spans="1:28">
      <c r="A119" s="169">
        <v>104</v>
      </c>
      <c r="B119" s="167" t="s">
        <v>179</v>
      </c>
      <c r="C119" s="168" t="s">
        <v>24</v>
      </c>
      <c r="D119" s="64">
        <v>17193834429.014668</v>
      </c>
      <c r="E119" s="59">
        <f t="shared" si="66"/>
        <v>9.0233721410198017E-3</v>
      </c>
      <c r="F119" s="64">
        <v>1771.2318059099998</v>
      </c>
      <c r="G119" s="64">
        <v>1771.2318059099998</v>
      </c>
      <c r="H119" s="60">
        <v>323</v>
      </c>
      <c r="I119" s="82">
        <v>6.4399999999999999E-2</v>
      </c>
      <c r="J119" s="82">
        <v>7.9100000000000004E-2</v>
      </c>
      <c r="K119" s="64">
        <f>11894723.11*W136</f>
        <v>17208596691.079929</v>
      </c>
      <c r="L119" s="59">
        <f t="shared" si="67"/>
        <v>9.0522569640887618E-3</v>
      </c>
      <c r="M119" s="64">
        <f>1.2202*W136</f>
        <v>1765.3147104199998</v>
      </c>
      <c r="N119" s="64">
        <f>1.2202*W136</f>
        <v>1765.3147104199998</v>
      </c>
      <c r="O119" s="60">
        <v>323</v>
      </c>
      <c r="P119" s="82">
        <v>0.18440000000000001</v>
      </c>
      <c r="Q119" s="82">
        <v>8.1600000000000006E-2</v>
      </c>
      <c r="R119" s="88">
        <f t="shared" ref="R119:R131" si="68">((K119-D119)/D119)</f>
        <v>8.5857881941392097E-4</v>
      </c>
      <c r="S119" s="88">
        <f t="shared" ref="S119:S131" si="69">((N119-G119)/G119)</f>
        <v>-3.3406669134196463E-3</v>
      </c>
      <c r="T119" s="88">
        <f t="shared" ref="T119:T131" si="70">((O119-H119)/H119)</f>
        <v>0</v>
      </c>
      <c r="U119" s="88">
        <f t="shared" ref="U119:U131" si="71">P119-I119</f>
        <v>0.12000000000000001</v>
      </c>
      <c r="V119" s="89">
        <f t="shared" ref="V119:V131" si="72">Q119-J119</f>
        <v>2.5000000000000022E-3</v>
      </c>
    </row>
    <row r="120" spans="1:28">
      <c r="A120" s="169">
        <v>105</v>
      </c>
      <c r="B120" s="167" t="s">
        <v>180</v>
      </c>
      <c r="C120" s="168" t="s">
        <v>24</v>
      </c>
      <c r="D120" s="64">
        <v>4160230327.4648309</v>
      </c>
      <c r="E120" s="59">
        <f t="shared" si="66"/>
        <v>2.1833004494753133E-3</v>
      </c>
      <c r="F120" s="64">
        <v>1519.8010881699997</v>
      </c>
      <c r="G120" s="64">
        <v>1519.8010881699997</v>
      </c>
      <c r="H120" s="60">
        <v>97</v>
      </c>
      <c r="I120" s="82">
        <v>0.02</v>
      </c>
      <c r="J120" s="82">
        <v>4.8599999999999997E-2</v>
      </c>
      <c r="K120" s="64">
        <f>2860819.02*W136</f>
        <v>4138867316.7147417</v>
      </c>
      <c r="L120" s="59">
        <f t="shared" si="67"/>
        <v>2.1771729074568247E-3</v>
      </c>
      <c r="M120" s="64">
        <f>1.0453*W136</f>
        <v>1512.2795171299997</v>
      </c>
      <c r="N120" s="64">
        <f>1.0453*W136</f>
        <v>1512.2795171299997</v>
      </c>
      <c r="O120" s="60">
        <v>97</v>
      </c>
      <c r="P120" s="82">
        <v>0.1</v>
      </c>
      <c r="Q120" s="82">
        <v>4.9799999999999997E-2</v>
      </c>
      <c r="R120" s="88">
        <f t="shared" si="68"/>
        <v>-5.1350548091185621E-3</v>
      </c>
      <c r="S120" s="88">
        <f t="shared" ref="S120" si="73">((N120-G120)/G120)</f>
        <v>-4.9490496477119835E-3</v>
      </c>
      <c r="T120" s="88">
        <f t="shared" ref="T120" si="74">((O120-H120)/H120)</f>
        <v>0</v>
      </c>
      <c r="U120" s="88">
        <f t="shared" ref="U120" si="75">P120-I120</f>
        <v>0.08</v>
      </c>
      <c r="V120" s="89">
        <f t="shared" ref="V120" si="76">Q120-J120</f>
        <v>1.1999999999999997E-3</v>
      </c>
    </row>
    <row r="121" spans="1:28">
      <c r="A121" s="169">
        <v>106</v>
      </c>
      <c r="B121" s="167" t="s">
        <v>181</v>
      </c>
      <c r="C121" s="168" t="s">
        <v>28</v>
      </c>
      <c r="D121" s="64">
        <v>38729988618.046997</v>
      </c>
      <c r="E121" s="59">
        <f t="shared" si="66"/>
        <v>2.0325605772285361E-2</v>
      </c>
      <c r="F121" s="64">
        <v>1603.7084424099999</v>
      </c>
      <c r="G121" s="64">
        <v>1603.7084424099999</v>
      </c>
      <c r="H121" s="60">
        <v>597</v>
      </c>
      <c r="I121" s="82">
        <v>1.6999999999999999E-3</v>
      </c>
      <c r="J121" s="82">
        <v>8.9099999999999999E-2</v>
      </c>
      <c r="K121" s="64">
        <f>26888710.68*W136</f>
        <v>38901029755.475624</v>
      </c>
      <c r="L121" s="59">
        <f t="shared" si="67"/>
        <v>2.0463151286284786E-2</v>
      </c>
      <c r="M121" s="64">
        <f>1.1026*W136</f>
        <v>1595.1778394599999</v>
      </c>
      <c r="N121" s="64">
        <f>1.1026*W136</f>
        <v>1595.1778394599999</v>
      </c>
      <c r="O121" s="60">
        <v>601</v>
      </c>
      <c r="P121" s="82">
        <v>1.5E-3</v>
      </c>
      <c r="Q121" s="82">
        <v>9.1200000000000003E-2</v>
      </c>
      <c r="R121" s="88">
        <f t="shared" si="68"/>
        <v>4.4162454865511389E-3</v>
      </c>
      <c r="S121" s="88">
        <f t="shared" ref="S121:T124" si="77">((N121-G121)/G121)</f>
        <v>-5.3192979000475267E-3</v>
      </c>
      <c r="T121" s="88">
        <f t="shared" si="77"/>
        <v>6.7001675041876048E-3</v>
      </c>
      <c r="U121" s="88">
        <f t="shared" si="71"/>
        <v>-1.9999999999999987E-4</v>
      </c>
      <c r="V121" s="89">
        <f t="shared" si="72"/>
        <v>2.1000000000000046E-3</v>
      </c>
    </row>
    <row r="122" spans="1:28">
      <c r="A122" s="169">
        <v>107</v>
      </c>
      <c r="B122" s="167" t="s">
        <v>182</v>
      </c>
      <c r="C122" s="168" t="s">
        <v>69</v>
      </c>
      <c r="D122" s="64">
        <v>1389683259.0089669</v>
      </c>
      <c r="E122" s="59">
        <f t="shared" si="66"/>
        <v>7.2930964038030058E-4</v>
      </c>
      <c r="F122" s="64">
        <v>1628.6184382000001</v>
      </c>
      <c r="G122" s="64">
        <v>1631.531888</v>
      </c>
      <c r="H122" s="60">
        <v>63</v>
      </c>
      <c r="I122" s="82">
        <v>1.16E-3</v>
      </c>
      <c r="J122" s="82">
        <v>0.1268</v>
      </c>
      <c r="K122" s="64">
        <f>954142.64*W136</f>
        <v>1380398326.6931438</v>
      </c>
      <c r="L122" s="59">
        <f t="shared" si="67"/>
        <v>7.2613244358859532E-4</v>
      </c>
      <c r="M122" s="64">
        <f>1.1182*W136</f>
        <v>1617.74701622</v>
      </c>
      <c r="N122" s="64">
        <f>1.13*W136</f>
        <v>1634.8185729999998</v>
      </c>
      <c r="O122" s="60">
        <v>63</v>
      </c>
      <c r="P122" s="82">
        <v>3.7799999999999999E-3</v>
      </c>
      <c r="Q122" s="82">
        <v>0.1241</v>
      </c>
      <c r="R122" s="88">
        <f t="shared" si="68"/>
        <v>-6.6813299042290377E-3</v>
      </c>
      <c r="S122" s="88">
        <f t="shared" si="77"/>
        <v>2.0144779419719234E-3</v>
      </c>
      <c r="T122" s="88">
        <f t="shared" si="77"/>
        <v>0</v>
      </c>
      <c r="U122" s="88">
        <f t="shared" si="71"/>
        <v>2.6199999999999999E-3</v>
      </c>
      <c r="V122" s="89">
        <f t="shared" si="72"/>
        <v>-2.6999999999999941E-3</v>
      </c>
    </row>
    <row r="123" spans="1:28">
      <c r="A123" s="169">
        <v>108</v>
      </c>
      <c r="B123" s="167" t="s">
        <v>183</v>
      </c>
      <c r="C123" s="168" t="s">
        <v>30</v>
      </c>
      <c r="D123" s="64">
        <v>1170719122.6707289</v>
      </c>
      <c r="E123" s="59">
        <v>0</v>
      </c>
      <c r="F123" s="64">
        <v>2081.6598820999998</v>
      </c>
      <c r="G123" s="64">
        <v>2081.6598820999998</v>
      </c>
      <c r="H123" s="60">
        <v>66</v>
      </c>
      <c r="I123" s="82">
        <v>3.7100000000000002E-4</v>
      </c>
      <c r="J123" s="82">
        <v>0.159</v>
      </c>
      <c r="K123" s="64">
        <f>446123.8*W136</f>
        <v>645426083.27197993</v>
      </c>
      <c r="L123" s="59">
        <f t="shared" si="67"/>
        <v>3.3951418944763831E-4</v>
      </c>
      <c r="M123" s="64">
        <f>1.4079*W136</f>
        <v>2036.8682025899998</v>
      </c>
      <c r="N123" s="64">
        <f>1.4079*W136</f>
        <v>2036.8682025899998</v>
      </c>
      <c r="O123" s="60">
        <v>65</v>
      </c>
      <c r="P123" s="82">
        <v>-3.7100000000000002E-4</v>
      </c>
      <c r="Q123" s="82">
        <v>0.1595</v>
      </c>
      <c r="R123" s="88">
        <f t="shared" si="68"/>
        <v>-0.44869262765642082</v>
      </c>
      <c r="S123" s="88">
        <f t="shared" si="77"/>
        <v>-2.1517290069890616E-2</v>
      </c>
      <c r="T123" s="88">
        <f t="shared" si="77"/>
        <v>-1.5151515151515152E-2</v>
      </c>
      <c r="U123" s="88">
        <f t="shared" si="71"/>
        <v>-7.4200000000000004E-4</v>
      </c>
      <c r="V123" s="89">
        <f t="shared" si="72"/>
        <v>5.0000000000000044E-4</v>
      </c>
    </row>
    <row r="124" spans="1:28">
      <c r="A124" s="169">
        <v>109</v>
      </c>
      <c r="B124" s="167" t="s">
        <v>184</v>
      </c>
      <c r="C124" s="168" t="s">
        <v>79</v>
      </c>
      <c r="D124" s="64">
        <v>2120322133.0101969</v>
      </c>
      <c r="E124" s="59">
        <f t="shared" ref="E124:E133" si="78">(D124/$D$155)</f>
        <v>1.1127509540690816E-3</v>
      </c>
      <c r="F124" s="64">
        <v>159220.03156999999</v>
      </c>
      <c r="G124" s="64">
        <v>159831.85602799998</v>
      </c>
      <c r="H124" s="60">
        <v>86</v>
      </c>
      <c r="I124" s="82">
        <v>1.2999999999999999E-3</v>
      </c>
      <c r="J124" s="82">
        <v>5.6099999999999997E-2</v>
      </c>
      <c r="K124" s="64">
        <f>1456968.76*W136</f>
        <v>2107858043.4767959</v>
      </c>
      <c r="L124" s="59">
        <f t="shared" si="67"/>
        <v>1.1087988751147793E-3</v>
      </c>
      <c r="M124" s="64">
        <f>109.4*W136</f>
        <v>158273.58574000001</v>
      </c>
      <c r="N124" s="64">
        <f>109.86*W136</f>
        <v>158939.08710599999</v>
      </c>
      <c r="O124" s="60">
        <v>86</v>
      </c>
      <c r="P124" s="82">
        <v>1.1000000000000001E-3</v>
      </c>
      <c r="Q124" s="82">
        <v>5.7200000000000001E-2</v>
      </c>
      <c r="R124" s="88">
        <f t="shared" si="68"/>
        <v>-5.8783942964863965E-3</v>
      </c>
      <c r="S124" s="88">
        <f t="shared" si="77"/>
        <v>-5.5856757481661827E-3</v>
      </c>
      <c r="T124" s="88">
        <f t="shared" si="77"/>
        <v>0</v>
      </c>
      <c r="U124" s="88">
        <f t="shared" si="71"/>
        <v>-1.9999999999999987E-4</v>
      </c>
      <c r="V124" s="89">
        <f t="shared" si="72"/>
        <v>1.1000000000000038E-3</v>
      </c>
    </row>
    <row r="125" spans="1:28">
      <c r="A125" s="169">
        <v>110</v>
      </c>
      <c r="B125" s="167" t="s">
        <v>185</v>
      </c>
      <c r="C125" s="168" t="s">
        <v>82</v>
      </c>
      <c r="D125" s="64">
        <v>4871934308.3400002</v>
      </c>
      <c r="E125" s="59">
        <f t="shared" si="78"/>
        <v>2.5568046785752977E-3</v>
      </c>
      <c r="F125" s="64">
        <v>169387.54</v>
      </c>
      <c r="G125" s="64">
        <v>169387.54</v>
      </c>
      <c r="H125" s="60">
        <v>59</v>
      </c>
      <c r="I125" s="82">
        <v>8.9999999999999993E-3</v>
      </c>
      <c r="J125" s="82">
        <v>9.1300000000000006E-2</v>
      </c>
      <c r="K125" s="64">
        <v>4852171452.4899998</v>
      </c>
      <c r="L125" s="59">
        <f t="shared" si="67"/>
        <v>2.552393063202115E-3</v>
      </c>
      <c r="M125" s="64">
        <v>1657.42</v>
      </c>
      <c r="N125" s="64">
        <v>1657.42</v>
      </c>
      <c r="O125" s="60">
        <v>54</v>
      </c>
      <c r="P125" s="82">
        <v>8.9999999999999993E-3</v>
      </c>
      <c r="Q125" s="82">
        <v>9.0200000000000002E-2</v>
      </c>
      <c r="R125" s="88">
        <f t="shared" si="68"/>
        <v>-4.0564700998060301E-3</v>
      </c>
      <c r="S125" s="88">
        <f t="shared" si="69"/>
        <v>-0.99021521889980801</v>
      </c>
      <c r="T125" s="88">
        <f t="shared" si="70"/>
        <v>-8.4745762711864403E-2</v>
      </c>
      <c r="U125" s="88">
        <f t="shared" si="71"/>
        <v>0</v>
      </c>
      <c r="V125" s="89">
        <f t="shared" si="72"/>
        <v>-1.1000000000000038E-3</v>
      </c>
      <c r="X125" s="98"/>
    </row>
    <row r="126" spans="1:28">
      <c r="A126" s="169">
        <v>111</v>
      </c>
      <c r="B126" s="167" t="s">
        <v>186</v>
      </c>
      <c r="C126" s="168" t="s">
        <v>32</v>
      </c>
      <c r="D126" s="64">
        <v>59139671921.754837</v>
      </c>
      <c r="E126" s="59">
        <f t="shared" si="78"/>
        <v>3.103666434912826E-2</v>
      </c>
      <c r="F126" s="64">
        <v>184829.25531199999</v>
      </c>
      <c r="G126" s="64">
        <v>184829.25531199999</v>
      </c>
      <c r="H126" s="60">
        <v>2528</v>
      </c>
      <c r="I126" s="82">
        <v>1.4E-3</v>
      </c>
      <c r="J126" s="82">
        <v>7.2599999999999998E-2</v>
      </c>
      <c r="K126" s="64">
        <f>40674507.11*W136</f>
        <v>58845521832.786331</v>
      </c>
      <c r="L126" s="59">
        <f t="shared" si="67"/>
        <v>3.0954574296717309E-2</v>
      </c>
      <c r="M126" s="64">
        <f>127.05*W136</f>
        <v>183808.583805</v>
      </c>
      <c r="N126" s="64">
        <f>127.05*W136</f>
        <v>183808.583805</v>
      </c>
      <c r="O126" s="60">
        <v>2534</v>
      </c>
      <c r="P126" s="82">
        <v>1.2999999999999999E-3</v>
      </c>
      <c r="Q126" s="82">
        <v>7.3899999999999993E-2</v>
      </c>
      <c r="R126" s="88">
        <f t="shared" si="68"/>
        <v>-4.9738201009583418E-3</v>
      </c>
      <c r="S126" s="88">
        <f t="shared" si="69"/>
        <v>-5.5222400007891225E-3</v>
      </c>
      <c r="T126" s="88">
        <f t="shared" si="70"/>
        <v>2.3734177215189874E-3</v>
      </c>
      <c r="U126" s="88">
        <f t="shared" si="71"/>
        <v>-1.0000000000000005E-4</v>
      </c>
      <c r="V126" s="89">
        <f t="shared" si="72"/>
        <v>1.2999999999999956E-3</v>
      </c>
    </row>
    <row r="127" spans="1:28">
      <c r="A127" s="169">
        <v>112</v>
      </c>
      <c r="B127" s="172" t="s">
        <v>187</v>
      </c>
      <c r="C127" s="172" t="s">
        <v>32</v>
      </c>
      <c r="D127" s="64">
        <v>168128344468.36127</v>
      </c>
      <c r="E127" s="59">
        <f t="shared" si="78"/>
        <v>8.8234222904432835E-2</v>
      </c>
      <c r="F127" s="64">
        <v>179949.22689699999</v>
      </c>
      <c r="G127" s="64">
        <v>179949.22689699999</v>
      </c>
      <c r="H127" s="60">
        <v>977</v>
      </c>
      <c r="I127" s="82">
        <v>1.9E-3</v>
      </c>
      <c r="J127" s="82">
        <v>7.8899999999999998E-2</v>
      </c>
      <c r="K127" s="64">
        <f xml:space="preserve"> 115429403.86*W136</f>
        <v>166996578142.16449</v>
      </c>
      <c r="L127" s="59">
        <f t="shared" si="67"/>
        <v>8.7845392893075858E-2</v>
      </c>
      <c r="M127" s="64">
        <f>123.77*W136</f>
        <v>179063.26971699999</v>
      </c>
      <c r="N127" s="64">
        <f>123.77*W136</f>
        <v>179063.26971699999</v>
      </c>
      <c r="O127" s="60">
        <v>990</v>
      </c>
      <c r="P127" s="82">
        <v>1.9E-3</v>
      </c>
      <c r="Q127" s="82">
        <v>8.09E-2</v>
      </c>
      <c r="R127" s="88">
        <f t="shared" si="68"/>
        <v>-6.731561711236355E-3</v>
      </c>
      <c r="S127" s="88">
        <f t="shared" si="69"/>
        <v>-4.9233730829369169E-3</v>
      </c>
      <c r="T127" s="88">
        <f t="shared" si="70"/>
        <v>1.3306038894575231E-2</v>
      </c>
      <c r="U127" s="88">
        <f t="shared" si="71"/>
        <v>0</v>
      </c>
      <c r="V127" s="89">
        <f t="shared" si="72"/>
        <v>2.0000000000000018E-3</v>
      </c>
      <c r="X127" s="97"/>
    </row>
    <row r="128" spans="1:28">
      <c r="A128" s="169">
        <v>113</v>
      </c>
      <c r="B128" s="167" t="s">
        <v>188</v>
      </c>
      <c r="C128" s="168" t="s">
        <v>88</v>
      </c>
      <c r="D128" s="64">
        <v>2346177583.2656159</v>
      </c>
      <c r="E128" s="59">
        <f t="shared" si="78"/>
        <v>1.2312805226854418E-3</v>
      </c>
      <c r="F128" s="64">
        <v>1456.7248999999999</v>
      </c>
      <c r="G128" s="64">
        <v>1456.7248999999999</v>
      </c>
      <c r="H128" s="60">
        <v>16</v>
      </c>
      <c r="I128" s="82">
        <v>7.7600000000000002E-2</v>
      </c>
      <c r="J128" s="82">
        <v>8.6999999999999994E-2</v>
      </c>
      <c r="K128" s="64">
        <f>1562855.1*W136</f>
        <v>2261048269.36971</v>
      </c>
      <c r="L128" s="59">
        <f t="shared" si="67"/>
        <v>1.1893816974136054E-3</v>
      </c>
      <c r="M128" s="64">
        <f>1*W136</f>
        <v>1446.7420999999999</v>
      </c>
      <c r="N128" s="64">
        <f>1*W136</f>
        <v>1446.7420999999999</v>
      </c>
      <c r="O128" s="60">
        <v>16</v>
      </c>
      <c r="P128" s="82">
        <v>7.8E-2</v>
      </c>
      <c r="Q128" s="82">
        <v>8.6599999999999996E-2</v>
      </c>
      <c r="R128" s="88">
        <f t="shared" ref="R128" si="79">((K128-D128)/D128)</f>
        <v>-3.6284258490534002E-2</v>
      </c>
      <c r="S128" s="88">
        <f t="shared" ref="S128" si="80">((N128-G128)/G128)</f>
        <v>-6.8529068185763818E-3</v>
      </c>
      <c r="T128" s="88">
        <f t="shared" si="70"/>
        <v>0</v>
      </c>
      <c r="U128" s="88">
        <f t="shared" si="71"/>
        <v>3.9999999999999758E-4</v>
      </c>
      <c r="V128" s="89">
        <f t="shared" si="72"/>
        <v>-3.9999999999999758E-4</v>
      </c>
    </row>
    <row r="129" spans="1:24">
      <c r="A129" s="169">
        <v>114</v>
      </c>
      <c r="B129" s="167" t="s">
        <v>189</v>
      </c>
      <c r="C129" s="168" t="s">
        <v>36</v>
      </c>
      <c r="D129" s="64">
        <v>212291269.97361121</v>
      </c>
      <c r="E129" s="59">
        <f t="shared" si="78"/>
        <v>1.1141104906937119E-4</v>
      </c>
      <c r="F129" s="64">
        <v>195476.60327858999</v>
      </c>
      <c r="G129" s="64">
        <v>195476.60327858999</v>
      </c>
      <c r="H129" s="60">
        <v>9</v>
      </c>
      <c r="I129" s="82">
        <v>2.3999999999999998E-3</v>
      </c>
      <c r="J129" s="82">
        <v>0.1835</v>
      </c>
      <c r="K129" s="64">
        <f>140314.3282 *W136</f>
        <v>202998645.84015718</v>
      </c>
      <c r="L129" s="59">
        <f t="shared" si="67"/>
        <v>1.0678359999334915E-4</v>
      </c>
      <c r="M129" s="64">
        <f>134.5132*W136</f>
        <v>194605.90944572</v>
      </c>
      <c r="N129" s="64">
        <f>134.5132*W136</f>
        <v>194605.90944572</v>
      </c>
      <c r="O129" s="60">
        <v>9</v>
      </c>
      <c r="P129" s="82">
        <v>2.3999999999999998E-3</v>
      </c>
      <c r="Q129" s="82">
        <v>0.18640000000000001</v>
      </c>
      <c r="R129" s="88">
        <f t="shared" si="68"/>
        <v>-4.3772992335526284E-2</v>
      </c>
      <c r="S129" s="88">
        <f t="shared" si="69"/>
        <v>-4.4542099579512971E-3</v>
      </c>
      <c r="T129" s="88">
        <f t="shared" si="70"/>
        <v>0</v>
      </c>
      <c r="U129" s="88">
        <f t="shared" si="71"/>
        <v>0</v>
      </c>
      <c r="V129" s="89">
        <f t="shared" si="72"/>
        <v>2.9000000000000137E-3</v>
      </c>
    </row>
    <row r="130" spans="1:24">
      <c r="A130" s="169">
        <v>115</v>
      </c>
      <c r="B130" s="167" t="s">
        <v>190</v>
      </c>
      <c r="C130" s="168" t="s">
        <v>42</v>
      </c>
      <c r="D130" s="64">
        <v>15003559069.821312</v>
      </c>
      <c r="E130" s="59">
        <f t="shared" si="78"/>
        <v>7.8739095392422603E-3</v>
      </c>
      <c r="F130" s="64">
        <v>2112.2511049999998</v>
      </c>
      <c r="G130" s="64">
        <v>2112.2511049999998</v>
      </c>
      <c r="H130" s="78">
        <v>112</v>
      </c>
      <c r="I130" s="85">
        <v>8.0000000000000004E-4</v>
      </c>
      <c r="J130" s="85">
        <v>5.4300000000000001E-2</v>
      </c>
      <c r="K130" s="64">
        <f>10301298.66*W136</f>
        <v>14903322456.095585</v>
      </c>
      <c r="L130" s="59">
        <f t="shared" si="67"/>
        <v>7.8396110335470625E-3</v>
      </c>
      <c r="M130" s="64">
        <f>1.46*W136</f>
        <v>2112.2434659999999</v>
      </c>
      <c r="N130" s="64">
        <f>1.46*W136</f>
        <v>2112.2434659999999</v>
      </c>
      <c r="O130" s="78">
        <v>113</v>
      </c>
      <c r="P130" s="85">
        <v>4.7000000000000002E-3</v>
      </c>
      <c r="Q130" s="85">
        <v>5.7700000000000001E-2</v>
      </c>
      <c r="R130" s="88">
        <f t="shared" si="68"/>
        <v>-6.6808557395789201E-3</v>
      </c>
      <c r="S130" s="88">
        <f t="shared" si="69"/>
        <v>-3.6165207734269146E-6</v>
      </c>
      <c r="T130" s="88">
        <f t="shared" si="70"/>
        <v>8.9285714285714281E-3</v>
      </c>
      <c r="U130" s="88">
        <f t="shared" si="71"/>
        <v>3.9000000000000003E-3</v>
      </c>
      <c r="V130" s="89">
        <f t="shared" si="72"/>
        <v>3.4000000000000002E-3</v>
      </c>
    </row>
    <row r="131" spans="1:24">
      <c r="A131" s="169">
        <v>116</v>
      </c>
      <c r="B131" s="167" t="s">
        <v>191</v>
      </c>
      <c r="C131" s="168" t="s">
        <v>104</v>
      </c>
      <c r="D131" s="64">
        <v>35762618145.873497</v>
      </c>
      <c r="E131" s="59">
        <f t="shared" si="78"/>
        <v>1.8768321493363199E-2</v>
      </c>
      <c r="F131" s="64">
        <v>152562.79877699999</v>
      </c>
      <c r="G131" s="64">
        <v>152562.79877699999</v>
      </c>
      <c r="H131" s="60">
        <v>824</v>
      </c>
      <c r="I131" s="85">
        <v>1.6999999999999999E-3</v>
      </c>
      <c r="J131" s="82">
        <v>9.2999999999999999E-2</v>
      </c>
      <c r="K131" s="64">
        <f>24640799*W136</f>
        <v>35648881290.937897</v>
      </c>
      <c r="L131" s="59">
        <f t="shared" si="67"/>
        <v>1.8752420067764099E-2</v>
      </c>
      <c r="M131" s="64">
        <f>105.15*W136</f>
        <v>152124.93181499999</v>
      </c>
      <c r="N131" s="64">
        <f>105.15*W136</f>
        <v>152124.93181499999</v>
      </c>
      <c r="O131" s="60">
        <v>827</v>
      </c>
      <c r="P131" s="85">
        <v>4.0000000000000001E-3</v>
      </c>
      <c r="Q131" s="82">
        <v>9.5500000000000002E-2</v>
      </c>
      <c r="R131" s="88">
        <f t="shared" si="68"/>
        <v>-3.1803279746375032E-3</v>
      </c>
      <c r="S131" s="88">
        <f t="shared" si="69"/>
        <v>-2.8700768831596175E-3</v>
      </c>
      <c r="T131" s="88">
        <f t="shared" si="70"/>
        <v>3.6407766990291263E-3</v>
      </c>
      <c r="U131" s="88">
        <f t="shared" si="71"/>
        <v>2.3E-3</v>
      </c>
      <c r="V131" s="89">
        <f t="shared" si="72"/>
        <v>2.5000000000000022E-3</v>
      </c>
    </row>
    <row r="132" spans="1:24">
      <c r="A132" s="169">
        <v>117</v>
      </c>
      <c r="B132" s="167" t="s">
        <v>192</v>
      </c>
      <c r="C132" s="168" t="s">
        <v>46</v>
      </c>
      <c r="D132" s="64">
        <v>2777380768.9032497</v>
      </c>
      <c r="E132" s="59">
        <f t="shared" si="78"/>
        <v>1.4575771541009272E-3</v>
      </c>
      <c r="F132" s="64">
        <v>230876.329401</v>
      </c>
      <c r="G132" s="64">
        <v>230876.329401</v>
      </c>
      <c r="H132" s="60">
        <v>50</v>
      </c>
      <c r="I132" s="82">
        <v>1.83E-2</v>
      </c>
      <c r="J132" s="82">
        <v>0.13639999999999999</v>
      </c>
      <c r="K132" s="64">
        <f>1942407.56*W136</f>
        <v>2810162792.4102759</v>
      </c>
      <c r="L132" s="59">
        <f t="shared" si="67"/>
        <v>1.4782330113532723E-3</v>
      </c>
      <c r="M132" s="64">
        <f>155.346401*W136</f>
        <v>224746.17841018207</v>
      </c>
      <c r="N132" s="64">
        <f>161.323632*W136</f>
        <v>233393.6901393072</v>
      </c>
      <c r="O132" s="60">
        <v>50</v>
      </c>
      <c r="P132" s="82">
        <v>1.6E-2</v>
      </c>
      <c r="Q132" s="82">
        <v>0.1353</v>
      </c>
      <c r="R132" s="88">
        <f t="shared" ref="R132:R133" si="81">((K132-D132)/D132)</f>
        <v>1.1803215415785922E-2</v>
      </c>
      <c r="S132" s="88">
        <f t="shared" ref="S132:S133" si="82">((N132-G132)/G132)</f>
        <v>1.0903502948259819E-2</v>
      </c>
      <c r="T132" s="88">
        <f t="shared" ref="T132:T133" si="83">((O132-H132)/H132)</f>
        <v>0</v>
      </c>
      <c r="U132" s="88">
        <f t="shared" ref="U132:U133" si="84">P132-I132</f>
        <v>-2.3E-3</v>
      </c>
      <c r="V132" s="89">
        <f t="shared" ref="V132:V133" si="85">Q132-J132</f>
        <v>-1.0999999999999899E-3</v>
      </c>
    </row>
    <row r="133" spans="1:24">
      <c r="A133" s="169">
        <v>118</v>
      </c>
      <c r="B133" s="167" t="s">
        <v>193</v>
      </c>
      <c r="C133" s="168" t="s">
        <v>53</v>
      </c>
      <c r="D133" s="58">
        <v>161400020824.08002</v>
      </c>
      <c r="E133" s="59">
        <f t="shared" si="78"/>
        <v>8.4703179937942463E-2</v>
      </c>
      <c r="F133" s="64">
        <v>180828.15839999999</v>
      </c>
      <c r="G133" s="64">
        <v>180828.15839999999</v>
      </c>
      <c r="H133" s="60">
        <v>4078</v>
      </c>
      <c r="I133" s="82">
        <v>1.1000000000000001E-3</v>
      </c>
      <c r="J133" s="82">
        <v>7.9699999999999993E-2</v>
      </c>
      <c r="K133" s="58">
        <f>110749807.34 *1447.5</f>
        <v>160310346124.64999</v>
      </c>
      <c r="L133" s="59">
        <f t="shared" si="67"/>
        <v>8.4328226942209442E-2</v>
      </c>
      <c r="M133" s="64">
        <f>124.1559*1447.5</f>
        <v>179715.66524999999</v>
      </c>
      <c r="N133" s="64">
        <f>124.1559*1447.5</f>
        <v>179715.66524999999</v>
      </c>
      <c r="O133" s="60">
        <v>4088</v>
      </c>
      <c r="P133" s="82">
        <v>1.1000000000000001E-3</v>
      </c>
      <c r="Q133" s="82">
        <v>7.9100000000000004E-2</v>
      </c>
      <c r="R133" s="88">
        <f t="shared" si="81"/>
        <v>-6.7513913187020455E-3</v>
      </c>
      <c r="S133" s="88">
        <f t="shared" si="82"/>
        <v>-6.1522119112616862E-3</v>
      </c>
      <c r="T133" s="88">
        <f t="shared" si="83"/>
        <v>2.4521824423737125E-3</v>
      </c>
      <c r="U133" s="88">
        <f t="shared" si="84"/>
        <v>0</v>
      </c>
      <c r="V133" s="89">
        <f t="shared" si="85"/>
        <v>-5.9999999999998943E-4</v>
      </c>
    </row>
    <row r="134" spans="1:24" ht="6" customHeight="1">
      <c r="A134" s="102"/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</row>
    <row r="135" spans="1:24">
      <c r="A135" s="188" t="s">
        <v>194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</row>
    <row r="136" spans="1:24">
      <c r="A136" s="169">
        <v>119</v>
      </c>
      <c r="B136" s="167" t="s">
        <v>195</v>
      </c>
      <c r="C136" s="168" t="s">
        <v>64</v>
      </c>
      <c r="D136" s="58">
        <v>1520169377.3592179</v>
      </c>
      <c r="E136" s="59">
        <f>(D136/$D$155)</f>
        <v>7.9778911829853376E-4</v>
      </c>
      <c r="F136" s="64">
        <v>170116.33382199999</v>
      </c>
      <c r="G136" s="64">
        <v>170116.33382199999</v>
      </c>
      <c r="H136" s="60">
        <v>23</v>
      </c>
      <c r="I136" s="82">
        <v>-1.37E-2</v>
      </c>
      <c r="J136" s="82">
        <v>0.14080000000000001</v>
      </c>
      <c r="K136" s="58">
        <f>1066080.89*W136</f>
        <v>1542344105.5684688</v>
      </c>
      <c r="L136" s="59">
        <f t="shared" ref="L136:L154" si="86">(K136/$K$155)</f>
        <v>8.1132095901175155E-4</v>
      </c>
      <c r="M136" s="64">
        <f>119.3*W136</f>
        <v>172596.33252999999</v>
      </c>
      <c r="N136" s="64">
        <f>119.3*W136</f>
        <v>172596.33252999999</v>
      </c>
      <c r="O136" s="60">
        <v>23</v>
      </c>
      <c r="P136" s="82">
        <v>2.12E-2</v>
      </c>
      <c r="Q136" s="82">
        <v>0.16350000000000001</v>
      </c>
      <c r="R136" s="88">
        <f>((K136-D136)/D136)</f>
        <v>1.4587011513001298E-2</v>
      </c>
      <c r="S136" s="88">
        <f>((N136-G136)/G136)</f>
        <v>1.4578251554579869E-2</v>
      </c>
      <c r="T136" s="88">
        <f>((O136-H136)/H136)</f>
        <v>0</v>
      </c>
      <c r="U136" s="88">
        <f>P136-I136</f>
        <v>3.49E-2</v>
      </c>
      <c r="V136" s="89">
        <f>Q136-J136</f>
        <v>2.2699999999999998E-2</v>
      </c>
      <c r="W136" s="109">
        <v>1446.7420999999999</v>
      </c>
    </row>
    <row r="137" spans="1:24">
      <c r="A137" s="169">
        <v>120</v>
      </c>
      <c r="B137" s="168" t="s">
        <v>196</v>
      </c>
      <c r="C137" s="168" t="s">
        <v>26</v>
      </c>
      <c r="D137" s="64">
        <v>25290605841.884209</v>
      </c>
      <c r="E137" s="59">
        <f t="shared" ref="E137:E154" si="87">(D137/$D$155)</f>
        <v>1.327258030344128E-2</v>
      </c>
      <c r="F137" s="58">
        <v>194851.52262399998</v>
      </c>
      <c r="G137" s="58">
        <v>196818.10123900001</v>
      </c>
      <c r="H137" s="60">
        <v>641</v>
      </c>
      <c r="I137" s="82">
        <v>5.0000000000000001E-4</v>
      </c>
      <c r="J137" s="82">
        <v>4.9700000000000001E-2</v>
      </c>
      <c r="K137" s="64">
        <f>17530629.39*W136</f>
        <v>25362299578.010319</v>
      </c>
      <c r="L137" s="59">
        <f t="shared" si="86"/>
        <v>1.3341358223553186E-2</v>
      </c>
      <c r="M137" s="58">
        <f>134.53*W136</f>
        <v>194630.21471299999</v>
      </c>
      <c r="N137" s="58">
        <f>134.53*W136</f>
        <v>194630.21471299999</v>
      </c>
      <c r="O137" s="60">
        <v>642</v>
      </c>
      <c r="P137" s="82">
        <v>5.0000000000000001E-4</v>
      </c>
      <c r="Q137" s="82">
        <v>5.04E-2</v>
      </c>
      <c r="R137" s="88">
        <f t="shared" ref="R137:R155" si="88">((K137-D137)/D137)</f>
        <v>2.8347971011187419E-3</v>
      </c>
      <c r="S137" s="88">
        <f t="shared" ref="S137:S155" si="89">((N137-G137)/G137)</f>
        <v>-1.1116287131249295E-2</v>
      </c>
      <c r="T137" s="88">
        <f t="shared" ref="T137:T155" si="90">((O137-H137)/H137)</f>
        <v>1.5600624024960999E-3</v>
      </c>
      <c r="U137" s="88">
        <f t="shared" ref="U137:U155" si="91">P137-I137</f>
        <v>0</v>
      </c>
      <c r="V137" s="89">
        <f t="shared" ref="V137:V155" si="92">Q137-J137</f>
        <v>6.9999999999999923E-4</v>
      </c>
    </row>
    <row r="138" spans="1:24">
      <c r="A138" s="169">
        <v>121</v>
      </c>
      <c r="B138" s="168" t="s">
        <v>197</v>
      </c>
      <c r="C138" s="168" t="s">
        <v>138</v>
      </c>
      <c r="D138" s="64">
        <v>389505362.30724543</v>
      </c>
      <c r="E138" s="59">
        <f t="shared" si="87"/>
        <v>2.0441349772974625E-4</v>
      </c>
      <c r="F138" s="58">
        <v>145672.49</v>
      </c>
      <c r="G138" s="58">
        <v>145672.49</v>
      </c>
      <c r="H138" s="60">
        <v>13</v>
      </c>
      <c r="I138" s="82">
        <v>1.4E-3</v>
      </c>
      <c r="J138" s="82">
        <v>1.4E-3</v>
      </c>
      <c r="K138" s="64">
        <f>267762.037292638*W136</f>
        <v>387382612.13302934</v>
      </c>
      <c r="L138" s="59">
        <f t="shared" si="86"/>
        <v>2.0377529971783235E-4</v>
      </c>
      <c r="M138" s="58">
        <f>100*W136</f>
        <v>144674.21</v>
      </c>
      <c r="N138" s="58">
        <f>100*W136</f>
        <v>144674.21</v>
      </c>
      <c r="O138" s="60">
        <v>13</v>
      </c>
      <c r="P138" s="82">
        <v>1.5E-3</v>
      </c>
      <c r="Q138" s="82">
        <v>1.5E-3</v>
      </c>
      <c r="R138" s="88">
        <v>0</v>
      </c>
      <c r="S138" s="88">
        <f t="shared" ref="S138" si="93">((N138-G138)/G138)</f>
        <v>-6.8529068185763757E-3</v>
      </c>
      <c r="T138" s="88">
        <f t="shared" ref="T138" si="94">((O138-H138)/H138)</f>
        <v>0</v>
      </c>
      <c r="U138" s="88">
        <f t="shared" ref="U138" si="95">P138-I138</f>
        <v>1.0000000000000005E-4</v>
      </c>
      <c r="V138" s="89">
        <f t="shared" ref="V138" si="96">Q138-J138</f>
        <v>1.0000000000000005E-4</v>
      </c>
    </row>
    <row r="139" spans="1:24">
      <c r="A139" s="169">
        <v>122</v>
      </c>
      <c r="B139" s="167" t="s">
        <v>198</v>
      </c>
      <c r="C139" s="168" t="s">
        <v>73</v>
      </c>
      <c r="D139" s="58">
        <v>16243331615.360001</v>
      </c>
      <c r="E139" s="59">
        <f t="shared" si="87"/>
        <v>8.5245456201467635E-3</v>
      </c>
      <c r="F139" s="58">
        <v>169830.78</v>
      </c>
      <c r="G139" s="58">
        <v>169830.78</v>
      </c>
      <c r="H139" s="60">
        <v>446</v>
      </c>
      <c r="I139" s="82">
        <v>1.2999999999999999E-3</v>
      </c>
      <c r="J139" s="82">
        <v>6.4899999999999999E-2</v>
      </c>
      <c r="K139" s="58">
        <v>16282764892.110001</v>
      </c>
      <c r="L139" s="59">
        <f t="shared" ref="L139:L140" si="97">(K139/$K$113)</f>
        <v>6.6824122854437146E-2</v>
      </c>
      <c r="M139" s="58">
        <v>170104.19</v>
      </c>
      <c r="N139" s="58">
        <v>170104.19</v>
      </c>
      <c r="O139" s="60">
        <v>445</v>
      </c>
      <c r="P139" s="82">
        <v>1.6000000000000001E-3</v>
      </c>
      <c r="Q139" s="82">
        <v>6.4899999999999999E-2</v>
      </c>
      <c r="R139" s="88">
        <f t="shared" si="88"/>
        <v>2.4276594041034755E-3</v>
      </c>
      <c r="S139" s="88">
        <f t="shared" si="89"/>
        <v>1.6098966276902426E-3</v>
      </c>
      <c r="T139" s="88">
        <f t="shared" si="90"/>
        <v>-2.242152466367713E-3</v>
      </c>
      <c r="U139" s="88">
        <f t="shared" si="91"/>
        <v>3.0000000000000014E-4</v>
      </c>
      <c r="V139" s="89">
        <f t="shared" si="92"/>
        <v>0</v>
      </c>
    </row>
    <row r="140" spans="1:24">
      <c r="A140" s="169">
        <v>123</v>
      </c>
      <c r="B140" s="167" t="s">
        <v>199</v>
      </c>
      <c r="C140" s="168" t="s">
        <v>75</v>
      </c>
      <c r="D140" s="64">
        <v>188460783.08420599</v>
      </c>
      <c r="E140" s="59">
        <f t="shared" ref="E140" si="98">(D140/$D$113)</f>
        <v>7.7666854968471007E-4</v>
      </c>
      <c r="F140" s="63">
        <v>1465.1739044199999</v>
      </c>
      <c r="G140" s="63">
        <v>1465.1739044199999</v>
      </c>
      <c r="H140" s="60">
        <v>4</v>
      </c>
      <c r="I140" s="82">
        <v>1.1999999999999999E-3</v>
      </c>
      <c r="J140" s="82">
        <v>6.2300000000000001E-2</v>
      </c>
      <c r="K140" s="64">
        <f>131627.28*W136</f>
        <v>190430727.48448798</v>
      </c>
      <c r="L140" s="59">
        <f t="shared" si="97"/>
        <v>7.8152367936292475E-4</v>
      </c>
      <c r="M140" s="63">
        <f>1.0233*W136</f>
        <v>1480.4511909300002</v>
      </c>
      <c r="N140" s="63">
        <f>1.0233*W136</f>
        <v>1480.4511909300002</v>
      </c>
      <c r="O140" s="60">
        <v>4</v>
      </c>
      <c r="P140" s="82">
        <v>1.7399999999999999E-2</v>
      </c>
      <c r="Q140" s="82">
        <v>7.9799999999999996E-2</v>
      </c>
      <c r="R140" s="87">
        <f t="shared" si="88"/>
        <v>1.0452808101735449E-2</v>
      </c>
      <c r="S140" s="87">
        <f t="shared" si="89"/>
        <v>1.0426944176328286E-2</v>
      </c>
      <c r="T140" s="87">
        <f t="shared" si="90"/>
        <v>0</v>
      </c>
      <c r="U140" s="88">
        <f t="shared" si="91"/>
        <v>1.6199999999999999E-2</v>
      </c>
      <c r="V140" s="89">
        <f t="shared" si="92"/>
        <v>1.7499999999999995E-2</v>
      </c>
    </row>
    <row r="141" spans="1:24">
      <c r="A141" s="169">
        <v>124</v>
      </c>
      <c r="B141" s="167" t="s">
        <v>200</v>
      </c>
      <c r="C141" s="168" t="s">
        <v>71</v>
      </c>
      <c r="D141" s="58">
        <v>10362602611.365801</v>
      </c>
      <c r="E141" s="59">
        <f t="shared" si="87"/>
        <v>5.4383226788590035E-3</v>
      </c>
      <c r="F141" s="58">
        <v>1949.0604087121701</v>
      </c>
      <c r="G141" s="58">
        <v>1949.0604087121701</v>
      </c>
      <c r="H141" s="60">
        <v>307</v>
      </c>
      <c r="I141" s="82">
        <v>7.2999999999999995E-2</v>
      </c>
      <c r="J141" s="82">
        <v>6.7000000000000004E-2</v>
      </c>
      <c r="K141" s="58">
        <v>10475455890.8062</v>
      </c>
      <c r="L141" s="59">
        <f t="shared" si="86"/>
        <v>5.5104155348534821E-3</v>
      </c>
      <c r="M141" s="58">
        <v>1925.1922828772799</v>
      </c>
      <c r="N141" s="58">
        <v>1925.1922828772799</v>
      </c>
      <c r="O141" s="60">
        <v>339</v>
      </c>
      <c r="P141" s="82">
        <v>-0.26490000000000002</v>
      </c>
      <c r="Q141" s="82">
        <v>5.9700000000000003E-2</v>
      </c>
      <c r="R141" s="88">
        <f t="shared" si="88"/>
        <v>1.0890437824627244E-2</v>
      </c>
      <c r="S141" s="88">
        <f t="shared" si="89"/>
        <v>-1.2245965147206956E-2</v>
      </c>
      <c r="T141" s="87">
        <f t="shared" si="90"/>
        <v>0.10423452768729642</v>
      </c>
      <c r="U141" s="88">
        <f t="shared" si="91"/>
        <v>-0.33790000000000003</v>
      </c>
      <c r="V141" s="89">
        <f t="shared" si="92"/>
        <v>-7.3000000000000009E-3</v>
      </c>
    </row>
    <row r="142" spans="1:24">
      <c r="A142" s="169">
        <v>125</v>
      </c>
      <c r="B142" s="167" t="s">
        <v>201</v>
      </c>
      <c r="C142" s="168" t="s">
        <v>94</v>
      </c>
      <c r="D142" s="58">
        <v>491575881.76747096</v>
      </c>
      <c r="E142" s="59">
        <f t="shared" si="87"/>
        <v>2.579803902992474E-4</v>
      </c>
      <c r="F142" s="58">
        <v>1485.8593980000001</v>
      </c>
      <c r="G142" s="58">
        <v>1485.8593980000001</v>
      </c>
      <c r="H142" s="60">
        <v>9</v>
      </c>
      <c r="I142" s="82">
        <v>2.9999999999999997E-4</v>
      </c>
      <c r="J142" s="82">
        <v>2.5499999999999998E-2</v>
      </c>
      <c r="K142" s="58">
        <f>337581.08*W136</f>
        <v>488392760.59946799</v>
      </c>
      <c r="L142" s="59">
        <f t="shared" si="86"/>
        <v>2.5690977874091983E-4</v>
      </c>
      <c r="M142" s="58">
        <f>1.02*W136</f>
        <v>1475.6769420000001</v>
      </c>
      <c r="N142" s="58">
        <f>1.02*W136</f>
        <v>1475.6769420000001</v>
      </c>
      <c r="O142" s="60">
        <v>9</v>
      </c>
      <c r="P142" s="82">
        <v>2.9999999999999997E-4</v>
      </c>
      <c r="Q142" s="82">
        <v>2.5899999999999999E-2</v>
      </c>
      <c r="R142" s="88">
        <f t="shared" si="88"/>
        <v>-6.4753404022955463E-3</v>
      </c>
      <c r="S142" s="88">
        <f t="shared" si="89"/>
        <v>-6.8529068185763844E-3</v>
      </c>
      <c r="T142" s="87">
        <f t="shared" si="90"/>
        <v>0</v>
      </c>
      <c r="U142" s="88">
        <f t="shared" si="91"/>
        <v>0</v>
      </c>
      <c r="V142" s="89">
        <f t="shared" si="92"/>
        <v>4.0000000000000105E-4</v>
      </c>
    </row>
    <row r="143" spans="1:24">
      <c r="A143" s="169">
        <v>126</v>
      </c>
      <c r="B143" s="167" t="s">
        <v>202</v>
      </c>
      <c r="C143" s="168" t="s">
        <v>38</v>
      </c>
      <c r="D143" s="58">
        <v>106676281417.30299</v>
      </c>
      <c r="E143" s="59">
        <f t="shared" si="87"/>
        <v>5.598400925765127E-2</v>
      </c>
      <c r="F143" s="58">
        <v>142173</v>
      </c>
      <c r="G143" s="58">
        <v>142173</v>
      </c>
      <c r="H143" s="60">
        <v>2110</v>
      </c>
      <c r="I143" s="82">
        <v>5.5500000000000001E-2</v>
      </c>
      <c r="J143" s="82">
        <v>5.2699999999999997E-2</v>
      </c>
      <c r="K143" s="58">
        <v>109117829819.66</v>
      </c>
      <c r="L143" s="59">
        <f t="shared" si="86"/>
        <v>5.7399371524772619E-2</v>
      </c>
      <c r="M143" s="58">
        <f>100*1421.73</f>
        <v>142173</v>
      </c>
      <c r="N143" s="58">
        <f>100*1421.73</f>
        <v>142173</v>
      </c>
      <c r="O143" s="60">
        <v>2131</v>
      </c>
      <c r="P143" s="82">
        <v>3.9399999999999998E-2</v>
      </c>
      <c r="Q143" s="82">
        <v>5.2400000000000002E-2</v>
      </c>
      <c r="R143" s="88">
        <f t="shared" si="88"/>
        <v>2.2887453236263525E-2</v>
      </c>
      <c r="S143" s="88">
        <f t="shared" si="89"/>
        <v>0</v>
      </c>
      <c r="T143" s="88">
        <f t="shared" si="90"/>
        <v>9.9526066350710905E-3</v>
      </c>
      <c r="U143" s="88">
        <f t="shared" si="91"/>
        <v>-1.6100000000000003E-2</v>
      </c>
      <c r="V143" s="89">
        <f t="shared" si="92"/>
        <v>-2.9999999999999472E-4</v>
      </c>
    </row>
    <row r="144" spans="1:24" ht="15.6">
      <c r="A144" s="169">
        <v>127</v>
      </c>
      <c r="B144" s="167" t="s">
        <v>203</v>
      </c>
      <c r="C144" s="168" t="s">
        <v>152</v>
      </c>
      <c r="D144" s="58">
        <v>1386746909.4935389</v>
      </c>
      <c r="E144" s="59">
        <f t="shared" si="87"/>
        <v>7.2776863598577766E-4</v>
      </c>
      <c r="F144" s="58">
        <v>1660.6663859999999</v>
      </c>
      <c r="G144" s="58">
        <v>1660.6663859999999</v>
      </c>
      <c r="H144" s="60">
        <v>62</v>
      </c>
      <c r="I144" s="82">
        <v>1.9E-3</v>
      </c>
      <c r="J144" s="82">
        <v>9.1700000000000004E-2</v>
      </c>
      <c r="K144" s="58">
        <f>951962.11*W136</f>
        <v>1377243662.1418309</v>
      </c>
      <c r="L144" s="59">
        <f t="shared" si="86"/>
        <v>7.2447299193971167E-4</v>
      </c>
      <c r="M144" s="58">
        <f>1.14*W136</f>
        <v>1649.2859939999998</v>
      </c>
      <c r="N144" s="58">
        <f>1.14*W136</f>
        <v>1649.2859939999998</v>
      </c>
      <c r="O144" s="60">
        <v>53</v>
      </c>
      <c r="P144" s="82">
        <v>1.9E-3</v>
      </c>
      <c r="Q144" s="82">
        <v>9.1700000000000004E-2</v>
      </c>
      <c r="R144" s="88">
        <f t="shared" si="88"/>
        <v>-6.8529068185763375E-3</v>
      </c>
      <c r="S144" s="88">
        <f t="shared" si="89"/>
        <v>-6.8529068185764009E-3</v>
      </c>
      <c r="T144" s="88">
        <f t="shared" si="90"/>
        <v>-0.14516129032258066</v>
      </c>
      <c r="U144" s="88">
        <f t="shared" si="91"/>
        <v>0</v>
      </c>
      <c r="V144" s="89">
        <f t="shared" si="92"/>
        <v>0</v>
      </c>
      <c r="X144" s="110"/>
    </row>
    <row r="145" spans="1:24" ht="15.6">
      <c r="A145" s="169">
        <v>128</v>
      </c>
      <c r="B145" s="167" t="s">
        <v>204</v>
      </c>
      <c r="C145" s="168" t="s">
        <v>44</v>
      </c>
      <c r="D145" s="64">
        <v>7590827503.7993917</v>
      </c>
      <c r="E145" s="59">
        <f t="shared" si="87"/>
        <v>3.9836873914224132E-3</v>
      </c>
      <c r="F145" s="58">
        <v>15761.763418</v>
      </c>
      <c r="G145" s="58">
        <v>15761.763418</v>
      </c>
      <c r="H145" s="60">
        <v>161</v>
      </c>
      <c r="I145" s="82">
        <v>7.4399999999999994E-2</v>
      </c>
      <c r="J145" s="82">
        <v>9.4600000000000004E-2</v>
      </c>
      <c r="K145" s="64">
        <f>5215265.41*W136</f>
        <v>7545144031.3207607</v>
      </c>
      <c r="L145" s="59">
        <f t="shared" si="86"/>
        <v>3.9689803781606256E-3</v>
      </c>
      <c r="M145" s="58">
        <f>10.84*W136</f>
        <v>15682.684363999999</v>
      </c>
      <c r="N145" s="58">
        <f>10.84*W136</f>
        <v>15682.684363999999</v>
      </c>
      <c r="O145" s="60">
        <v>162</v>
      </c>
      <c r="P145" s="82">
        <v>7.4399999999999994E-2</v>
      </c>
      <c r="Q145" s="82">
        <v>7.6999999999999999E-2</v>
      </c>
      <c r="R145" s="88">
        <f t="shared" si="88"/>
        <v>-6.0182466873032409E-3</v>
      </c>
      <c r="S145" s="88">
        <f t="shared" si="89"/>
        <v>-5.0171450936570341E-3</v>
      </c>
      <c r="T145" s="88">
        <f t="shared" si="90"/>
        <v>6.2111801242236021E-3</v>
      </c>
      <c r="U145" s="88">
        <f t="shared" si="91"/>
        <v>0</v>
      </c>
      <c r="V145" s="89">
        <f t="shared" si="92"/>
        <v>-1.7600000000000005E-2</v>
      </c>
      <c r="X145" s="110"/>
    </row>
    <row r="146" spans="1:24" ht="15.6">
      <c r="A146" s="169">
        <v>129</v>
      </c>
      <c r="B146" s="168" t="s">
        <v>205</v>
      </c>
      <c r="C146" s="176" t="s">
        <v>48</v>
      </c>
      <c r="D146" s="58">
        <v>28345195019.810001</v>
      </c>
      <c r="E146" s="59">
        <f t="shared" si="87"/>
        <v>1.4875637201781769E-2</v>
      </c>
      <c r="F146" s="58">
        <v>1602.3973900000001</v>
      </c>
      <c r="G146" s="58">
        <v>1602.3973900000001</v>
      </c>
      <c r="H146" s="60">
        <v>460</v>
      </c>
      <c r="I146" s="82">
        <v>6.1000000000000004E-3</v>
      </c>
      <c r="J146" s="82">
        <v>0.1142</v>
      </c>
      <c r="K146" s="58">
        <v>28033006747.549999</v>
      </c>
      <c r="L146" s="59">
        <f t="shared" si="86"/>
        <v>1.474623324087746E-2</v>
      </c>
      <c r="M146" s="58">
        <f>1.1*W136</f>
        <v>1591.4163100000001</v>
      </c>
      <c r="N146" s="58">
        <f>1.11*W136</f>
        <v>1605.8837310000001</v>
      </c>
      <c r="O146" s="60">
        <v>460</v>
      </c>
      <c r="P146" s="82">
        <v>4.4000000000000003E-3</v>
      </c>
      <c r="Q146" s="82">
        <v>0.1527</v>
      </c>
      <c r="R146" s="88">
        <f t="shared" si="88"/>
        <v>-1.101379870704078E-2</v>
      </c>
      <c r="S146" s="88">
        <f t="shared" si="89"/>
        <v>2.1757031194365828E-3</v>
      </c>
      <c r="T146" s="88">
        <f t="shared" si="90"/>
        <v>0</v>
      </c>
      <c r="U146" s="88">
        <f t="shared" si="91"/>
        <v>-1.7000000000000001E-3</v>
      </c>
      <c r="V146" s="89">
        <f t="shared" si="92"/>
        <v>3.8500000000000006E-2</v>
      </c>
      <c r="X146" s="110"/>
    </row>
    <row r="147" spans="1:24">
      <c r="A147" s="169">
        <v>130</v>
      </c>
      <c r="B147" s="167" t="s">
        <v>206</v>
      </c>
      <c r="C147" s="168" t="s">
        <v>106</v>
      </c>
      <c r="D147" s="64">
        <v>448213708.98000002</v>
      </c>
      <c r="E147" s="59">
        <f t="shared" si="87"/>
        <v>2.3522380138826676E-4</v>
      </c>
      <c r="F147" s="58">
        <v>1866.24</v>
      </c>
      <c r="G147" s="58">
        <v>1866.24</v>
      </c>
      <c r="H147" s="60">
        <v>2</v>
      </c>
      <c r="I147" s="82">
        <v>1.0292000000000001E-2</v>
      </c>
      <c r="J147" s="82">
        <v>0.153692</v>
      </c>
      <c r="K147" s="64">
        <f>311606.11*1449.57</f>
        <v>451694868.87269998</v>
      </c>
      <c r="L147" s="59">
        <f t="shared" si="86"/>
        <v>2.3760554656473043E-4</v>
      </c>
      <c r="M147" s="58">
        <f>1.3*1449.57</f>
        <v>1884.441</v>
      </c>
      <c r="N147" s="58">
        <f>1.3*1449.57</f>
        <v>1884.441</v>
      </c>
      <c r="O147" s="60">
        <v>2</v>
      </c>
      <c r="P147" s="82">
        <v>1.3627E-2</v>
      </c>
      <c r="Q147" s="82">
        <v>0.16941400000000001</v>
      </c>
      <c r="R147" s="88">
        <f t="shared" si="88"/>
        <v>7.7667412284689657E-3</v>
      </c>
      <c r="S147" s="88">
        <f t="shared" si="89"/>
        <v>9.7527649176954844E-3</v>
      </c>
      <c r="T147" s="88">
        <f t="shared" si="90"/>
        <v>0</v>
      </c>
      <c r="U147" s="88">
        <f t="shared" ref="U147" si="99">P147-I147</f>
        <v>3.3349999999999994E-3</v>
      </c>
      <c r="V147" s="89">
        <f t="shared" ref="V147" si="100">Q147-J147</f>
        <v>1.5722000000000014E-2</v>
      </c>
    </row>
    <row r="148" spans="1:24">
      <c r="A148" s="169">
        <v>131</v>
      </c>
      <c r="B148" s="167" t="s">
        <v>207</v>
      </c>
      <c r="C148" s="168" t="s">
        <v>111</v>
      </c>
      <c r="D148" s="64">
        <v>879217646.71472204</v>
      </c>
      <c r="E148" s="59">
        <f t="shared" si="87"/>
        <v>4.6141586695000301E-4</v>
      </c>
      <c r="F148" s="58">
        <v>1512.8088086499999</v>
      </c>
      <c r="G148" s="58">
        <v>1512.8088086499999</v>
      </c>
      <c r="H148" s="60">
        <v>9</v>
      </c>
      <c r="I148" s="82">
        <v>-0.29720000000000002</v>
      </c>
      <c r="J148" s="82">
        <v>5.5100000000000003E-2</v>
      </c>
      <c r="K148" s="64">
        <f>607282.8*W136</f>
        <v>878581593.36588001</v>
      </c>
      <c r="L148" s="59">
        <f t="shared" si="86"/>
        <v>4.6216123777187472E-4</v>
      </c>
      <c r="M148" s="58">
        <f>1.0449*W136</f>
        <v>1511.7008202899999</v>
      </c>
      <c r="N148" s="58">
        <f>1.0449*W136</f>
        <v>1511.7008202899999</v>
      </c>
      <c r="O148" s="60">
        <v>9</v>
      </c>
      <c r="P148" s="82">
        <v>0.3337</v>
      </c>
      <c r="Q148" s="82">
        <v>6.2600000000000003E-2</v>
      </c>
      <c r="R148" s="88">
        <f t="shared" ref="R148" si="101">((K148-D148)/D148)</f>
        <v>-7.2343105398156745E-4</v>
      </c>
      <c r="S148" s="88">
        <f t="shared" ref="S148" si="102">((N148-G148)/G148)</f>
        <v>-7.3240475178669949E-4</v>
      </c>
      <c r="T148" s="88">
        <f t="shared" si="90"/>
        <v>0</v>
      </c>
      <c r="U148" s="88">
        <f t="shared" si="91"/>
        <v>0.63090000000000002</v>
      </c>
      <c r="V148" s="89">
        <f t="shared" si="92"/>
        <v>7.4999999999999997E-3</v>
      </c>
    </row>
    <row r="149" spans="1:24">
      <c r="A149" s="169">
        <v>132</v>
      </c>
      <c r="B149" s="167" t="s">
        <v>208</v>
      </c>
      <c r="C149" s="168" t="s">
        <v>50</v>
      </c>
      <c r="D149" s="64">
        <v>1008194932396.4399</v>
      </c>
      <c r="E149" s="59">
        <f t="shared" si="87"/>
        <v>0.52910350528626804</v>
      </c>
      <c r="F149" s="58">
        <v>2428.0074</v>
      </c>
      <c r="G149" s="58">
        <v>2428.0074</v>
      </c>
      <c r="H149" s="60">
        <v>12626</v>
      </c>
      <c r="I149" s="82">
        <v>8.0000000000000004E-4</v>
      </c>
      <c r="J149" s="82">
        <v>5.7599999999999998E-2</v>
      </c>
      <c r="K149" s="64">
        <v>1009982970367.73</v>
      </c>
      <c r="L149" s="59">
        <f t="shared" si="86"/>
        <v>0.53128244802560887</v>
      </c>
      <c r="M149" s="58">
        <v>2412.4</v>
      </c>
      <c r="N149" s="58">
        <v>2412.4</v>
      </c>
      <c r="O149" s="60">
        <v>12674</v>
      </c>
      <c r="P149" s="82">
        <v>8.0000000000000004E-4</v>
      </c>
      <c r="Q149" s="82">
        <v>5.8400000000000001E-2</v>
      </c>
      <c r="R149" s="88">
        <f t="shared" si="88"/>
        <v>1.7735042240689929E-3</v>
      </c>
      <c r="S149" s="88">
        <f t="shared" si="89"/>
        <v>-6.4280693707934626E-3</v>
      </c>
      <c r="T149" s="88">
        <f t="shared" si="90"/>
        <v>3.8016790749247583E-3</v>
      </c>
      <c r="U149" s="88">
        <f t="shared" si="91"/>
        <v>0</v>
      </c>
      <c r="V149" s="89">
        <f t="shared" si="92"/>
        <v>8.000000000000021E-4</v>
      </c>
    </row>
    <row r="150" spans="1:24">
      <c r="A150" s="169">
        <v>133</v>
      </c>
      <c r="B150" s="167" t="s">
        <v>209</v>
      </c>
      <c r="C150" s="167" t="s">
        <v>117</v>
      </c>
      <c r="D150" s="64">
        <v>575446715.91422796</v>
      </c>
      <c r="E150" s="59">
        <f t="shared" si="87"/>
        <v>3.019960373853238E-4</v>
      </c>
      <c r="F150" s="58">
        <v>163182.32329799997</v>
      </c>
      <c r="G150" s="58">
        <v>163182.32329799997</v>
      </c>
      <c r="H150" s="60">
        <v>30</v>
      </c>
      <c r="I150" s="82">
        <v>0</v>
      </c>
      <c r="J150" s="82">
        <v>7.6499999999999999E-2</v>
      </c>
      <c r="K150" s="64">
        <f>393619.7*W136</f>
        <v>569466191.37936997</v>
      </c>
      <c r="L150" s="59">
        <f t="shared" si="86"/>
        <v>2.9955692432486803E-4</v>
      </c>
      <c r="M150" s="58">
        <f>111.63*W136</f>
        <v>161499.82062299998</v>
      </c>
      <c r="N150" s="58">
        <f>111.63*W136</f>
        <v>161499.82062299998</v>
      </c>
      <c r="O150" s="60">
        <v>30</v>
      </c>
      <c r="P150" s="82">
        <v>0</v>
      </c>
      <c r="Q150" s="82">
        <v>7.6499999999999999E-2</v>
      </c>
      <c r="R150" s="88">
        <f t="shared" ref="R150" si="103">((K150-D150)/D150)</f>
        <v>-1.0392838067303182E-2</v>
      </c>
      <c r="S150" s="88">
        <f t="shared" ref="S150" si="104">((N150-G150)/G150)</f>
        <v>-1.0310569435437235E-2</v>
      </c>
      <c r="T150" s="88">
        <f t="shared" ref="T150" si="105">((O150-H150)/H150)</f>
        <v>0</v>
      </c>
      <c r="U150" s="88">
        <f t="shared" ref="U150" si="106">P150-I150</f>
        <v>0</v>
      </c>
      <c r="V150" s="89">
        <f t="shared" ref="V150" si="107">Q150-J150</f>
        <v>0</v>
      </c>
    </row>
    <row r="151" spans="1:24" ht="16.5" customHeight="1">
      <c r="A151" s="169">
        <v>134</v>
      </c>
      <c r="B151" s="167" t="s">
        <v>210</v>
      </c>
      <c r="C151" s="168" t="s">
        <v>53</v>
      </c>
      <c r="D151" s="64">
        <v>167296692090.78</v>
      </c>
      <c r="E151" s="59">
        <f t="shared" si="87"/>
        <v>8.7797769423049052E-2</v>
      </c>
      <c r="F151" s="58">
        <v>1810.6902</v>
      </c>
      <c r="G151" s="58">
        <v>1810.6902</v>
      </c>
      <c r="H151" s="60">
        <v>889</v>
      </c>
      <c r="I151" s="82">
        <v>2.0999999999999999E-3</v>
      </c>
      <c r="J151" s="82">
        <v>9.3700000000000006E-2</v>
      </c>
      <c r="K151" s="64">
        <f>111898946.13 *1447.5</f>
        <v>161973724523.17499</v>
      </c>
      <c r="L151" s="59">
        <f t="shared" si="86"/>
        <v>8.5203215702900639E-2</v>
      </c>
      <c r="M151" s="58">
        <f>1.242*1447.5</f>
        <v>1797.7950000000001</v>
      </c>
      <c r="N151" s="58">
        <f>1.242*1447.5</f>
        <v>1797.7950000000001</v>
      </c>
      <c r="O151" s="60">
        <v>900</v>
      </c>
      <c r="P151" s="82">
        <v>1E-4</v>
      </c>
      <c r="Q151" s="82">
        <v>9.1700000000000004E-2</v>
      </c>
      <c r="R151" s="88">
        <f t="shared" si="88"/>
        <v>-3.1817530287548156E-2</v>
      </c>
      <c r="S151" s="88">
        <f t="shared" si="89"/>
        <v>-7.1217041987635052E-3</v>
      </c>
      <c r="T151" s="88">
        <f t="shared" si="90"/>
        <v>1.2373453318335208E-2</v>
      </c>
      <c r="U151" s="88">
        <f t="shared" si="91"/>
        <v>-2E-3</v>
      </c>
      <c r="V151" s="89">
        <f t="shared" si="92"/>
        <v>-2.0000000000000018E-3</v>
      </c>
    </row>
    <row r="152" spans="1:24" ht="16.5" customHeight="1">
      <c r="A152" s="169">
        <v>135</v>
      </c>
      <c r="B152" s="167" t="s">
        <v>211</v>
      </c>
      <c r="C152" s="168" t="s">
        <v>113</v>
      </c>
      <c r="D152" s="58">
        <v>1871986825.1601458</v>
      </c>
      <c r="E152" s="59">
        <f t="shared" si="87"/>
        <v>9.8242389364884553E-4</v>
      </c>
      <c r="F152" s="58">
        <v>159220.03156999999</v>
      </c>
      <c r="G152" s="58">
        <v>159220.03156999999</v>
      </c>
      <c r="H152" s="60">
        <v>31</v>
      </c>
      <c r="I152" s="82">
        <v>-1.6999999999999999E-3</v>
      </c>
      <c r="J152" s="82">
        <v>6.88E-2</v>
      </c>
      <c r="K152" s="58">
        <f>1296955.39695336*W136</f>
        <v>1876359974.5946374</v>
      </c>
      <c r="L152" s="59">
        <f t="shared" si="86"/>
        <v>9.8702369240636799E-4</v>
      </c>
      <c r="M152" s="58">
        <f>110.31*W136</f>
        <v>159590.12105099999</v>
      </c>
      <c r="N152" s="58">
        <f>110.31*W136</f>
        <v>159590.12105099999</v>
      </c>
      <c r="O152" s="60">
        <v>31</v>
      </c>
      <c r="P152" s="82">
        <v>9.1999999999999998E-3</v>
      </c>
      <c r="Q152" s="82">
        <v>7.8200000000000006E-2</v>
      </c>
      <c r="R152" s="88">
        <f t="shared" si="88"/>
        <v>2.33610054072764E-3</v>
      </c>
      <c r="S152" s="88">
        <f t="shared" si="89"/>
        <v>2.3243901998430106E-3</v>
      </c>
      <c r="T152" s="88">
        <f t="shared" si="90"/>
        <v>0</v>
      </c>
      <c r="U152" s="88">
        <f t="shared" si="91"/>
        <v>1.09E-2</v>
      </c>
      <c r="V152" s="89">
        <f t="shared" si="92"/>
        <v>9.4000000000000056E-3</v>
      </c>
    </row>
    <row r="153" spans="1:24" ht="16.5" customHeight="1">
      <c r="A153" s="169">
        <v>136</v>
      </c>
      <c r="B153" s="167" t="s">
        <v>212</v>
      </c>
      <c r="C153" s="168" t="s">
        <v>124</v>
      </c>
      <c r="D153" s="58">
        <v>3240073787.3299465</v>
      </c>
      <c r="E153" s="59">
        <f t="shared" si="87"/>
        <v>1.7003997373677756E-3</v>
      </c>
      <c r="F153" s="58">
        <v>1616.964639</v>
      </c>
      <c r="G153" s="58">
        <v>1616.964639</v>
      </c>
      <c r="H153" s="60">
        <v>41</v>
      </c>
      <c r="I153" s="82">
        <v>0.1171</v>
      </c>
      <c r="J153" s="82">
        <v>0.1171</v>
      </c>
      <c r="K153" s="58">
        <f>2258500.65*W136</f>
        <v>3267467973.2323647</v>
      </c>
      <c r="L153" s="59">
        <f t="shared" si="86"/>
        <v>1.7187897564570963E-3</v>
      </c>
      <c r="M153" s="58">
        <f>1.13*W136</f>
        <v>1634.8185729999998</v>
      </c>
      <c r="N153" s="58">
        <f>1.13*W136</f>
        <v>1634.8185729999998</v>
      </c>
      <c r="O153" s="60">
        <v>41</v>
      </c>
      <c r="P153" s="82">
        <v>0.12470000000000001</v>
      </c>
      <c r="Q153" s="82">
        <v>0.13439999999999999</v>
      </c>
      <c r="R153" s="88">
        <f t="shared" ref="R153" si="108">((K153-D153)/D153)</f>
        <v>8.4548031003309071E-3</v>
      </c>
      <c r="S153" s="88">
        <f t="shared" ref="S153" si="109">((N153-G153)/G153)</f>
        <v>1.1041635400908575E-2</v>
      </c>
      <c r="T153" s="88">
        <f t="shared" si="90"/>
        <v>0</v>
      </c>
      <c r="U153" s="88">
        <f t="shared" si="91"/>
        <v>7.6000000000000095E-3</v>
      </c>
      <c r="V153" s="89">
        <f t="shared" si="92"/>
        <v>1.7299999999999996E-2</v>
      </c>
    </row>
    <row r="154" spans="1:24">
      <c r="A154" s="169">
        <v>137</v>
      </c>
      <c r="B154" s="167" t="s">
        <v>213</v>
      </c>
      <c r="C154" s="168" t="s">
        <v>126</v>
      </c>
      <c r="D154" s="58">
        <v>1725478363.859093</v>
      </c>
      <c r="E154" s="59">
        <f t="shared" si="87"/>
        <v>9.0553584557640887E-4</v>
      </c>
      <c r="F154" s="58">
        <v>2112.2511049999998</v>
      </c>
      <c r="G154" s="58">
        <v>2112.2511049999998</v>
      </c>
      <c r="H154" s="60">
        <v>119</v>
      </c>
      <c r="I154" s="82">
        <v>3.8999999999999998E-3</v>
      </c>
      <c r="J154" s="82">
        <v>0.16270000000000001</v>
      </c>
      <c r="K154" s="58">
        <f>1197534.58*W136</f>
        <v>1732523693.0918181</v>
      </c>
      <c r="L154" s="59">
        <f t="shared" si="86"/>
        <v>9.1136133571940807E-4</v>
      </c>
      <c r="M154" s="58">
        <f>1.46*W136</f>
        <v>2112.2434659999999</v>
      </c>
      <c r="N154" s="58">
        <f>1.46*W136</f>
        <v>2112.2434659999999</v>
      </c>
      <c r="O154" s="60">
        <v>121</v>
      </c>
      <c r="P154" s="82">
        <v>1.1299999999999999E-2</v>
      </c>
      <c r="Q154" s="82">
        <v>0.1762</v>
      </c>
      <c r="R154" s="88">
        <f t="shared" si="88"/>
        <v>4.083116531793547E-3</v>
      </c>
      <c r="S154" s="88">
        <f t="shared" si="89"/>
        <v>-3.6165207734269146E-6</v>
      </c>
      <c r="T154" s="88">
        <f t="shared" si="90"/>
        <v>1.680672268907563E-2</v>
      </c>
      <c r="U154" s="88">
        <f t="shared" si="91"/>
        <v>7.3999999999999995E-3</v>
      </c>
      <c r="V154" s="89">
        <f t="shared" si="92"/>
        <v>1.3499999999999984E-2</v>
      </c>
    </row>
    <row r="155" spans="1:24">
      <c r="A155" s="67"/>
      <c r="B155" s="68"/>
      <c r="C155" s="103" t="s">
        <v>56</v>
      </c>
      <c r="D155" s="91">
        <f>SUM(D117:D154)</f>
        <v>1905477703934.2476</v>
      </c>
      <c r="E155" s="71">
        <f>(D155/$D$230)</f>
        <v>0.26246498772824112</v>
      </c>
      <c r="F155" s="72"/>
      <c r="G155" s="77"/>
      <c r="H155" s="74">
        <f>SUM(H117:H154)</f>
        <v>28135</v>
      </c>
      <c r="I155" s="107"/>
      <c r="J155" s="107"/>
      <c r="K155" s="91">
        <f>SUM(K117:K154)</f>
        <v>1901028302593.2881</v>
      </c>
      <c r="L155" s="71">
        <f>(K155/$K$230)</f>
        <v>0.25632276036222279</v>
      </c>
      <c r="M155" s="72"/>
      <c r="N155" s="77"/>
      <c r="O155" s="74">
        <f>SUM(O117:O154)</f>
        <v>28274</v>
      </c>
      <c r="P155" s="107"/>
      <c r="Q155" s="107"/>
      <c r="R155" s="88">
        <f t="shared" si="88"/>
        <v>-2.3350582018213991E-3</v>
      </c>
      <c r="S155" s="88" t="e">
        <f t="shared" si="89"/>
        <v>#DIV/0!</v>
      </c>
      <c r="T155" s="88">
        <f t="shared" si="90"/>
        <v>4.9404656122267639E-3</v>
      </c>
      <c r="U155" s="88">
        <f t="shared" si="91"/>
        <v>0</v>
      </c>
      <c r="V155" s="89">
        <f t="shared" si="92"/>
        <v>0</v>
      </c>
    </row>
    <row r="156" spans="1:24" ht="6" customHeight="1">
      <c r="A156" s="67"/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/>
      <c r="T156" s="187"/>
      <c r="U156" s="187"/>
      <c r="V156" s="187"/>
    </row>
    <row r="157" spans="1:24">
      <c r="A157" s="189" t="s">
        <v>214</v>
      </c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</row>
    <row r="158" spans="1:24">
      <c r="A158" s="169">
        <v>138</v>
      </c>
      <c r="B158" s="167" t="s">
        <v>215</v>
      </c>
      <c r="C158" s="168" t="s">
        <v>216</v>
      </c>
      <c r="D158" s="104">
        <v>2582087925.7817702</v>
      </c>
      <c r="E158" s="59">
        <f>(D158/$D$164)</f>
        <v>6.9240763477286561E-3</v>
      </c>
      <c r="F158" s="92">
        <v>121.68</v>
      </c>
      <c r="G158" s="92">
        <v>121.68</v>
      </c>
      <c r="H158" s="60">
        <v>8</v>
      </c>
      <c r="I158" s="82">
        <v>1.1999999999999999E-3</v>
      </c>
      <c r="J158" s="82">
        <v>0.15409999999999999</v>
      </c>
      <c r="K158" s="104">
        <v>2542573600.3452401</v>
      </c>
      <c r="L158" s="59">
        <f>(K158/$K$164)</f>
        <v>5.2957244074133963E-3</v>
      </c>
      <c r="M158" s="92">
        <v>119.819679563866</v>
      </c>
      <c r="N158" s="92">
        <v>119.819679563866</v>
      </c>
      <c r="O158" s="60">
        <v>8</v>
      </c>
      <c r="P158" s="82">
        <v>-1.41E-2</v>
      </c>
      <c r="Q158" s="82">
        <v>0.13639999999999999</v>
      </c>
      <c r="R158" s="88">
        <f t="shared" ref="R158:R164" si="110">((K158-D158)/D158)</f>
        <v>-1.5303245502209802E-2</v>
      </c>
      <c r="S158" s="88">
        <f t="shared" ref="S158:T164" si="111">((N158-G158)/G158)</f>
        <v>-1.5288629488280763E-2</v>
      </c>
      <c r="T158" s="88">
        <f t="shared" si="111"/>
        <v>0</v>
      </c>
      <c r="U158" s="88">
        <f t="shared" ref="U158:V164" si="112">P158-I158</f>
        <v>-1.5299999999999999E-2</v>
      </c>
      <c r="V158" s="89">
        <f t="shared" si="112"/>
        <v>-1.7699999999999994E-2</v>
      </c>
    </row>
    <row r="159" spans="1:24">
      <c r="A159" s="169">
        <v>139</v>
      </c>
      <c r="B159" s="167" t="s">
        <v>217</v>
      </c>
      <c r="C159" s="168" t="s">
        <v>24</v>
      </c>
      <c r="D159" s="104">
        <v>266567111703.14999</v>
      </c>
      <c r="E159" s="59">
        <v>0</v>
      </c>
      <c r="F159" s="92">
        <v>106.6268</v>
      </c>
      <c r="G159" s="92">
        <v>106.6268</v>
      </c>
      <c r="H159" s="60">
        <v>45</v>
      </c>
      <c r="I159" s="82">
        <v>0.12759999999999999</v>
      </c>
      <c r="J159" s="82">
        <v>9.7100000000000006E-2</v>
      </c>
      <c r="K159" s="104">
        <v>267137510362.04001</v>
      </c>
      <c r="L159" s="59">
        <f t="shared" ref="L159:L163" si="113">(K159/$K$164)</f>
        <v>0.55639948183518184</v>
      </c>
      <c r="M159" s="92">
        <v>106.855</v>
      </c>
      <c r="N159" s="92">
        <v>106.855</v>
      </c>
      <c r="O159" s="60">
        <v>45</v>
      </c>
      <c r="P159" s="82">
        <v>0.1116</v>
      </c>
      <c r="Q159" s="82">
        <v>9.7699999999999995E-2</v>
      </c>
      <c r="R159" s="88">
        <f t="shared" ref="R159" si="114">((K159-D159)/D159)</f>
        <v>2.1397938224472809E-3</v>
      </c>
      <c r="S159" s="88">
        <f t="shared" ref="S159" si="115">((N159-G159)/G159)</f>
        <v>2.140174890365284E-3</v>
      </c>
      <c r="T159" s="88">
        <f t="shared" ref="T159" si="116">((O159-H159)/H159)</f>
        <v>0</v>
      </c>
      <c r="U159" s="88">
        <f t="shared" ref="U159" si="117">P159-I159</f>
        <v>-1.5999999999999986E-2</v>
      </c>
      <c r="V159" s="89">
        <f t="shared" ref="V159" si="118">Q159-J159</f>
        <v>5.9999999999998943E-4</v>
      </c>
    </row>
    <row r="160" spans="1:24">
      <c r="A160" s="169">
        <v>140</v>
      </c>
      <c r="B160" s="167" t="s">
        <v>218</v>
      </c>
      <c r="C160" s="168" t="s">
        <v>48</v>
      </c>
      <c r="D160" s="64">
        <v>57062508820</v>
      </c>
      <c r="E160" s="59">
        <f>(D160/$D$164)</f>
        <v>0.15301770467130593</v>
      </c>
      <c r="F160" s="92">
        <v>102.5</v>
      </c>
      <c r="G160" s="92">
        <v>102.5</v>
      </c>
      <c r="H160" s="60">
        <v>645</v>
      </c>
      <c r="I160" s="82">
        <v>8.3900000000000002E-2</v>
      </c>
      <c r="J160" s="82">
        <v>8.3900000000000002E-2</v>
      </c>
      <c r="K160" s="64">
        <v>163627573866</v>
      </c>
      <c r="L160" s="59">
        <f t="shared" si="113"/>
        <v>0.34080686456052023</v>
      </c>
      <c r="M160" s="92">
        <v>103</v>
      </c>
      <c r="N160" s="92">
        <v>103</v>
      </c>
      <c r="O160" s="60">
        <v>851</v>
      </c>
      <c r="P160" s="82">
        <v>9.2999999999999999E-2</v>
      </c>
      <c r="Q160" s="82">
        <v>9.2999999999999999E-2</v>
      </c>
      <c r="R160" s="88">
        <f t="shared" si="110"/>
        <v>1.8675145423793513</v>
      </c>
      <c r="S160" s="88">
        <f t="shared" si="111"/>
        <v>4.8780487804878049E-3</v>
      </c>
      <c r="T160" s="88">
        <f t="shared" si="111"/>
        <v>0.31937984496124033</v>
      </c>
      <c r="U160" s="88">
        <f t="shared" si="112"/>
        <v>9.099999999999997E-3</v>
      </c>
      <c r="V160" s="89">
        <f t="shared" si="112"/>
        <v>9.099999999999997E-3</v>
      </c>
    </row>
    <row r="161" spans="1:22" ht="15.75" customHeight="1">
      <c r="A161" s="169">
        <v>141</v>
      </c>
      <c r="B161" s="167" t="s">
        <v>220</v>
      </c>
      <c r="C161" s="168" t="s">
        <v>162</v>
      </c>
      <c r="D161" s="64">
        <v>2896478945.2260399</v>
      </c>
      <c r="E161" s="59">
        <f>(D161/$D$164)</f>
        <v>7.7671411403473214E-3</v>
      </c>
      <c r="F161" s="92">
        <v>418.75</v>
      </c>
      <c r="G161" s="92">
        <v>418.75</v>
      </c>
      <c r="H161" s="60">
        <v>3871</v>
      </c>
      <c r="I161" s="82">
        <v>0.1183</v>
      </c>
      <c r="J161" s="82">
        <v>0.1963</v>
      </c>
      <c r="K161" s="64">
        <v>2948808026.5673499</v>
      </c>
      <c r="L161" s="59">
        <f t="shared" si="113"/>
        <v>6.1418377965337312E-3</v>
      </c>
      <c r="M161" s="92">
        <v>418.75</v>
      </c>
      <c r="N161" s="92">
        <v>418.75</v>
      </c>
      <c r="O161" s="60">
        <v>3871</v>
      </c>
      <c r="P161" s="82">
        <v>0.1183</v>
      </c>
      <c r="Q161" s="82">
        <v>0.21510000000000001</v>
      </c>
      <c r="R161" s="88">
        <f t="shared" si="110"/>
        <v>1.8066446306319098E-2</v>
      </c>
      <c r="S161" s="88">
        <f t="shared" si="111"/>
        <v>0</v>
      </c>
      <c r="T161" s="88">
        <f t="shared" si="111"/>
        <v>0</v>
      </c>
      <c r="U161" s="88">
        <f t="shared" si="112"/>
        <v>0</v>
      </c>
      <c r="V161" s="89">
        <f t="shared" si="112"/>
        <v>1.8800000000000011E-2</v>
      </c>
    </row>
    <row r="162" spans="1:22">
      <c r="A162" s="169">
        <v>142</v>
      </c>
      <c r="B162" s="167" t="s">
        <v>219</v>
      </c>
      <c r="C162" s="168" t="s">
        <v>162</v>
      </c>
      <c r="D162" s="64">
        <v>10767932945.5</v>
      </c>
      <c r="E162" s="59">
        <f>(D162/$D$164)</f>
        <v>2.8875077830392254E-2</v>
      </c>
      <c r="F162" s="92">
        <v>51.8</v>
      </c>
      <c r="G162" s="92">
        <v>51.8</v>
      </c>
      <c r="H162" s="60">
        <v>5970</v>
      </c>
      <c r="I162" s="82">
        <v>8.8200000000000001E-2</v>
      </c>
      <c r="J162" s="82">
        <v>0.20849999999999999</v>
      </c>
      <c r="K162" s="64">
        <v>10806181197.02</v>
      </c>
      <c r="L162" s="59">
        <f t="shared" si="113"/>
        <v>2.2507335680752798E-2</v>
      </c>
      <c r="M162" s="92">
        <v>51.8</v>
      </c>
      <c r="N162" s="92">
        <v>51.8</v>
      </c>
      <c r="O162" s="60">
        <v>5970</v>
      </c>
      <c r="P162" s="82">
        <v>8.3699999999999997E-2</v>
      </c>
      <c r="Q162" s="82">
        <v>0.21160000000000001</v>
      </c>
      <c r="R162" s="88">
        <f t="shared" si="110"/>
        <v>3.5520514209725542E-3</v>
      </c>
      <c r="S162" s="88">
        <f t="shared" si="111"/>
        <v>0</v>
      </c>
      <c r="T162" s="88">
        <f t="shared" si="111"/>
        <v>0</v>
      </c>
      <c r="U162" s="88">
        <f t="shared" si="112"/>
        <v>-4.500000000000004E-3</v>
      </c>
      <c r="V162" s="89">
        <f t="shared" si="112"/>
        <v>3.1000000000000194E-3</v>
      </c>
    </row>
    <row r="163" spans="1:22">
      <c r="A163" s="169">
        <v>143</v>
      </c>
      <c r="B163" s="167" t="s">
        <v>327</v>
      </c>
      <c r="C163" s="168" t="s">
        <v>50</v>
      </c>
      <c r="D163" s="64">
        <v>33038301181.529999</v>
      </c>
      <c r="E163" s="59">
        <f>(D163/$D$164)</f>
        <v>8.8594860576216336E-2</v>
      </c>
      <c r="F163" s="92">
        <v>6.7</v>
      </c>
      <c r="G163" s="92">
        <v>6.7</v>
      </c>
      <c r="H163" s="60">
        <v>210769</v>
      </c>
      <c r="I163" s="82">
        <v>-7.4000000000000003E-3</v>
      </c>
      <c r="J163" s="82">
        <v>0.34</v>
      </c>
      <c r="K163" s="64">
        <v>33055539760.380001</v>
      </c>
      <c r="L163" s="59">
        <f t="shared" si="113"/>
        <v>6.8848755719598045E-2</v>
      </c>
      <c r="M163" s="92">
        <v>6.6</v>
      </c>
      <c r="N163" s="92">
        <v>6.6</v>
      </c>
      <c r="O163" s="60">
        <v>210769</v>
      </c>
      <c r="P163" s="82">
        <v>-1.49E-2</v>
      </c>
      <c r="Q163" s="82">
        <v>0.32</v>
      </c>
      <c r="R163" s="88">
        <f t="shared" si="110"/>
        <v>5.217755826876318E-4</v>
      </c>
      <c r="S163" s="88">
        <f t="shared" si="111"/>
        <v>-1.4925373134328438E-2</v>
      </c>
      <c r="T163" s="88">
        <f t="shared" si="111"/>
        <v>0</v>
      </c>
      <c r="U163" s="88">
        <f t="shared" si="112"/>
        <v>-7.4999999999999997E-3</v>
      </c>
      <c r="V163" s="89">
        <f t="shared" si="112"/>
        <v>-2.0000000000000018E-2</v>
      </c>
    </row>
    <row r="164" spans="1:22">
      <c r="A164" s="67"/>
      <c r="B164" s="105"/>
      <c r="C164" s="69" t="s">
        <v>56</v>
      </c>
      <c r="D164" s="70">
        <f>SUM(D158:D163)</f>
        <v>372914421521.18774</v>
      </c>
      <c r="E164" s="71">
        <f>(D164/$D$230)</f>
        <v>5.1366110905499272E-2</v>
      </c>
      <c r="F164" s="72"/>
      <c r="G164" s="106"/>
      <c r="H164" s="74">
        <f>SUM(H158:H163)</f>
        <v>221308</v>
      </c>
      <c r="I164" s="108"/>
      <c r="J164" s="108"/>
      <c r="K164" s="70">
        <f>SUM(K158:K163)</f>
        <v>480118186812.3526</v>
      </c>
      <c r="L164" s="71">
        <f>(K164/$K$230)</f>
        <v>6.4736131900807639E-2</v>
      </c>
      <c r="M164" s="72"/>
      <c r="N164" s="106"/>
      <c r="O164" s="74">
        <f>SUM(O158:O163)</f>
        <v>221514</v>
      </c>
      <c r="P164" s="108"/>
      <c r="Q164" s="108"/>
      <c r="R164" s="88">
        <f t="shared" si="110"/>
        <v>0.2874755147678672</v>
      </c>
      <c r="S164" s="88" t="e">
        <f t="shared" si="111"/>
        <v>#DIV/0!</v>
      </c>
      <c r="T164" s="88">
        <f t="shared" si="111"/>
        <v>9.308294322844181E-4</v>
      </c>
      <c r="U164" s="88">
        <f t="shared" si="112"/>
        <v>0</v>
      </c>
      <c r="V164" s="89">
        <f t="shared" si="112"/>
        <v>0</v>
      </c>
    </row>
    <row r="165" spans="1:22" ht="5.25" customHeight="1">
      <c r="A165" s="67"/>
      <c r="B165" s="187"/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187"/>
      <c r="U165" s="187"/>
      <c r="V165" s="187"/>
    </row>
    <row r="166" spans="1:22" ht="15" customHeight="1">
      <c r="A166" s="189" t="s">
        <v>221</v>
      </c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</row>
    <row r="167" spans="1:22">
      <c r="A167" s="171">
        <v>144</v>
      </c>
      <c r="B167" s="167" t="s">
        <v>222</v>
      </c>
      <c r="C167" s="168" t="s">
        <v>60</v>
      </c>
      <c r="D167" s="58">
        <v>548435151.44000006</v>
      </c>
      <c r="E167" s="59">
        <f t="shared" ref="E167:E195" si="119">(D167/$D$196)</f>
        <v>6.8538936886694529E-3</v>
      </c>
      <c r="F167" s="58">
        <v>7.44</v>
      </c>
      <c r="G167" s="58">
        <v>7.55</v>
      </c>
      <c r="H167" s="62">
        <v>11929</v>
      </c>
      <c r="I167" s="83">
        <v>-1.2742E-2</v>
      </c>
      <c r="J167" s="83">
        <v>0.301653</v>
      </c>
      <c r="K167" s="58">
        <v>564026039.30999994</v>
      </c>
      <c r="L167" s="86">
        <f t="shared" ref="L167:L195" si="120">(K167/$K$196)</f>
        <v>7.0198120391705508E-3</v>
      </c>
      <c r="M167" s="58">
        <v>7.47</v>
      </c>
      <c r="N167" s="58">
        <v>7.58</v>
      </c>
      <c r="O167" s="62">
        <v>11933</v>
      </c>
      <c r="P167" s="83">
        <v>6.1440000000000002E-3</v>
      </c>
      <c r="Q167" s="83">
        <v>0.30779699999999999</v>
      </c>
      <c r="R167" s="88">
        <f>((K167-D167)/D167)</f>
        <v>2.8427951470768483E-2</v>
      </c>
      <c r="S167" s="88">
        <f>((N167-G167)/G167)</f>
        <v>3.9735099337748674E-3</v>
      </c>
      <c r="T167" s="88">
        <f>((O167-H167)/H167)</f>
        <v>3.3531729398943752E-4</v>
      </c>
      <c r="U167" s="88">
        <f>P167-I167</f>
        <v>1.8886E-2</v>
      </c>
      <c r="V167" s="89">
        <f>Q167-J167</f>
        <v>6.1439999999999828E-3</v>
      </c>
    </row>
    <row r="168" spans="1:22">
      <c r="A168" s="171">
        <v>145</v>
      </c>
      <c r="B168" s="167" t="s">
        <v>223</v>
      </c>
      <c r="C168" s="167" t="s">
        <v>224</v>
      </c>
      <c r="D168" s="58">
        <v>1378933030.9621899</v>
      </c>
      <c r="E168" s="59">
        <f t="shared" si="119"/>
        <v>1.7232776515499405E-2</v>
      </c>
      <c r="F168" s="58">
        <v>2145.77522750964</v>
      </c>
      <c r="G168" s="58">
        <v>2171.4327076837799</v>
      </c>
      <c r="H168" s="62">
        <v>164</v>
      </c>
      <c r="I168" s="83">
        <v>-5.1000000000000004E-3</v>
      </c>
      <c r="J168" s="83">
        <v>0.41510000000000002</v>
      </c>
      <c r="K168" s="58">
        <v>1397647546.64678</v>
      </c>
      <c r="L168" s="86">
        <f t="shared" si="120"/>
        <v>1.7394982484267553E-2</v>
      </c>
      <c r="M168" s="58">
        <v>2140.5100000000002</v>
      </c>
      <c r="N168" s="58">
        <v>2158.4499999999998</v>
      </c>
      <c r="O168" s="62">
        <v>170</v>
      </c>
      <c r="P168" s="83">
        <v>1.9E-3</v>
      </c>
      <c r="Q168" s="83">
        <v>0.41880000000000001</v>
      </c>
      <c r="R168" s="88">
        <f>((K168-D168)/D168)</f>
        <v>1.3571736454475613E-2</v>
      </c>
      <c r="S168" s="88">
        <f>((N168-G168)/G168)</f>
        <v>-5.9788671497116924E-3</v>
      </c>
      <c r="T168" s="88">
        <f>((O168-H168)/H168)</f>
        <v>3.6585365853658534E-2</v>
      </c>
      <c r="U168" s="88">
        <f>P168-I168</f>
        <v>7.0000000000000001E-3</v>
      </c>
      <c r="V168" s="89">
        <f>Q168-J168</f>
        <v>3.6999999999999811E-3</v>
      </c>
    </row>
    <row r="169" spans="1:22">
      <c r="A169" s="171">
        <v>146</v>
      </c>
      <c r="B169" s="167" t="s">
        <v>225</v>
      </c>
      <c r="C169" s="168" t="s">
        <v>24</v>
      </c>
      <c r="D169" s="58">
        <v>9507976318.9899998</v>
      </c>
      <c r="E169" s="59">
        <f t="shared" si="119"/>
        <v>0.11882290679880599</v>
      </c>
      <c r="F169" s="58">
        <v>1019.1982</v>
      </c>
      <c r="G169" s="58">
        <v>1049.9277999999999</v>
      </c>
      <c r="H169" s="62">
        <v>22189</v>
      </c>
      <c r="I169" s="83">
        <v>-0.47739999999999999</v>
      </c>
      <c r="J169" s="83">
        <v>0.31690000000000002</v>
      </c>
      <c r="K169" s="58">
        <v>9510989737.1700001</v>
      </c>
      <c r="L169" s="86">
        <f t="shared" si="120"/>
        <v>0.11837283318176371</v>
      </c>
      <c r="M169" s="58">
        <v>1019.5228</v>
      </c>
      <c r="N169" s="58">
        <v>1050.2621999999999</v>
      </c>
      <c r="O169" s="62">
        <v>22229</v>
      </c>
      <c r="P169" s="83">
        <v>1.66E-2</v>
      </c>
      <c r="Q169" s="83">
        <v>0.31069999999999998</v>
      </c>
      <c r="R169" s="88">
        <f t="shared" ref="R169:R195" si="121">((K169-D169)/D169)</f>
        <v>3.1693581040811959E-4</v>
      </c>
      <c r="S169" s="88">
        <f t="shared" ref="S169:T195" si="122">((N169-G169)/G169)</f>
        <v>3.1849809101155302E-4</v>
      </c>
      <c r="T169" s="88">
        <f t="shared" si="122"/>
        <v>1.8026950290684573E-3</v>
      </c>
      <c r="U169" s="88">
        <f t="shared" ref="U169:V195" si="123">P169-I169</f>
        <v>0.49399999999999999</v>
      </c>
      <c r="V169" s="89">
        <f t="shared" si="123"/>
        <v>-6.2000000000000388E-3</v>
      </c>
    </row>
    <row r="170" spans="1:22">
      <c r="A170" s="171">
        <v>147</v>
      </c>
      <c r="B170" s="167" t="s">
        <v>226</v>
      </c>
      <c r="C170" s="168" t="s">
        <v>128</v>
      </c>
      <c r="D170" s="58">
        <v>5596845137.6199999</v>
      </c>
      <c r="E170" s="59">
        <f t="shared" si="119"/>
        <v>6.9944790126004006E-2</v>
      </c>
      <c r="F170" s="58">
        <v>32.937899999999999</v>
      </c>
      <c r="G170" s="58">
        <v>33.322899999999997</v>
      </c>
      <c r="H170" s="60">
        <v>6172</v>
      </c>
      <c r="I170" s="82">
        <v>-9.5999999999999992E-3</v>
      </c>
      <c r="J170" s="82">
        <v>0.54869999999999997</v>
      </c>
      <c r="K170" s="58">
        <v>5617845234.8299999</v>
      </c>
      <c r="L170" s="86">
        <f t="shared" si="120"/>
        <v>6.9919143559224253E-2</v>
      </c>
      <c r="M170" s="58">
        <v>32.962299999999999</v>
      </c>
      <c r="N170" s="58">
        <v>33.347700000000003</v>
      </c>
      <c r="O170" s="60">
        <v>6177</v>
      </c>
      <c r="P170" s="82">
        <v>9.4000000000000004E-3</v>
      </c>
      <c r="Q170" s="82">
        <v>0.54969999999999997</v>
      </c>
      <c r="R170" s="88">
        <f t="shared" si="121"/>
        <v>3.7521311906318191E-3</v>
      </c>
      <c r="S170" s="88">
        <f t="shared" si="122"/>
        <v>7.4423294491194204E-4</v>
      </c>
      <c r="T170" s="88">
        <f t="shared" si="122"/>
        <v>8.101101749837978E-4</v>
      </c>
      <c r="U170" s="88">
        <f t="shared" si="123"/>
        <v>1.9E-2</v>
      </c>
      <c r="V170" s="89">
        <f t="shared" si="123"/>
        <v>1.0000000000000009E-3</v>
      </c>
    </row>
    <row r="171" spans="1:22">
      <c r="A171" s="171">
        <v>148</v>
      </c>
      <c r="B171" s="167" t="s">
        <v>227</v>
      </c>
      <c r="C171" s="168" t="s">
        <v>136</v>
      </c>
      <c r="D171" s="64">
        <v>2402221438</v>
      </c>
      <c r="E171" s="59">
        <f t="shared" si="119"/>
        <v>3.0020997577315054E-2</v>
      </c>
      <c r="F171" s="58">
        <v>5.7317999999999998</v>
      </c>
      <c r="G171" s="58">
        <v>5.8587999999999996</v>
      </c>
      <c r="H171" s="60">
        <v>2737</v>
      </c>
      <c r="I171" s="82">
        <v>0.372</v>
      </c>
      <c r="J171" s="82">
        <v>0.34770000000000001</v>
      </c>
      <c r="K171" s="64">
        <v>2398887019.4299998</v>
      </c>
      <c r="L171" s="86">
        <f t="shared" si="120"/>
        <v>2.9856309471466117E-2</v>
      </c>
      <c r="M171" s="58">
        <v>5.7241</v>
      </c>
      <c r="N171" s="58">
        <v>5.8503999999999996</v>
      </c>
      <c r="O171" s="60">
        <v>2737</v>
      </c>
      <c r="P171" s="82">
        <v>-7.4800000000000005E-2</v>
      </c>
      <c r="Q171" s="82">
        <v>0.33829999999999999</v>
      </c>
      <c r="R171" s="88">
        <f t="shared" si="121"/>
        <v>-1.3880562870907873E-3</v>
      </c>
      <c r="S171" s="88">
        <f t="shared" si="122"/>
        <v>-1.4337406977538E-3</v>
      </c>
      <c r="T171" s="88">
        <f t="shared" si="122"/>
        <v>0</v>
      </c>
      <c r="U171" s="88">
        <f t="shared" si="123"/>
        <v>-0.44679999999999997</v>
      </c>
      <c r="V171" s="89">
        <f t="shared" si="123"/>
        <v>-9.4000000000000195E-3</v>
      </c>
    </row>
    <row r="172" spans="1:22">
      <c r="A172" s="171">
        <v>149</v>
      </c>
      <c r="B172" s="167" t="s">
        <v>228</v>
      </c>
      <c r="C172" s="168" t="s">
        <v>28</v>
      </c>
      <c r="D172" s="64">
        <v>1036119702.45</v>
      </c>
      <c r="E172" s="59">
        <f t="shared" si="119"/>
        <v>1.2948576090869041E-2</v>
      </c>
      <c r="F172" s="58">
        <v>1.1496999999999999</v>
      </c>
      <c r="G172" s="58">
        <v>1.1581999999999999</v>
      </c>
      <c r="H172" s="60">
        <v>213</v>
      </c>
      <c r="I172" s="82">
        <v>7.4000000000000003E-3</v>
      </c>
      <c r="J172" s="82">
        <v>0.15390000000000001</v>
      </c>
      <c r="K172" s="64">
        <v>1045557094.22</v>
      </c>
      <c r="L172" s="86">
        <f t="shared" si="120"/>
        <v>1.3012899699851865E-2</v>
      </c>
      <c r="M172" s="58">
        <v>1.1534</v>
      </c>
      <c r="N172" s="58">
        <v>1.1617999999999999</v>
      </c>
      <c r="O172" s="60">
        <v>214</v>
      </c>
      <c r="P172" s="82">
        <v>3.5000000000000001E-3</v>
      </c>
      <c r="Q172" s="82">
        <v>0.15759999999999999</v>
      </c>
      <c r="R172" s="88">
        <f t="shared" ref="R172" si="124">((K172-D172)/D172)</f>
        <v>9.1083991045478648E-3</v>
      </c>
      <c r="S172" s="88">
        <f t="shared" ref="S172" si="125">((N172-G172)/G172)</f>
        <v>3.1082714557071731E-3</v>
      </c>
      <c r="T172" s="88">
        <f t="shared" ref="T172" si="126">((O172-H172)/H172)</f>
        <v>4.6948356807511738E-3</v>
      </c>
      <c r="U172" s="88">
        <f t="shared" ref="U172" si="127">P172-I172</f>
        <v>-3.9000000000000003E-3</v>
      </c>
      <c r="V172" s="89">
        <f t="shared" ref="V172" si="128">Q172-J172</f>
        <v>3.6999999999999811E-3</v>
      </c>
    </row>
    <row r="173" spans="1:22">
      <c r="A173" s="171">
        <v>150</v>
      </c>
      <c r="B173" s="167" t="s">
        <v>229</v>
      </c>
      <c r="C173" s="168" t="s">
        <v>71</v>
      </c>
      <c r="D173" s="58">
        <v>6247502265.6712904</v>
      </c>
      <c r="E173" s="59">
        <f t="shared" si="119"/>
        <v>7.807617042088362E-2</v>
      </c>
      <c r="F173" s="58">
        <v>11280.4212910565</v>
      </c>
      <c r="G173" s="58">
        <v>11362.608675380299</v>
      </c>
      <c r="H173" s="60">
        <v>1635</v>
      </c>
      <c r="I173" s="82">
        <v>-0.59489999999999998</v>
      </c>
      <c r="J173" s="82">
        <v>0.53480000000000005</v>
      </c>
      <c r="K173" s="58">
        <v>6243041732.34587</v>
      </c>
      <c r="L173" s="86">
        <f t="shared" si="120"/>
        <v>7.7700277042845226E-2</v>
      </c>
      <c r="M173" s="58">
        <v>11002.3576645707</v>
      </c>
      <c r="N173" s="58">
        <v>11082.9057785898</v>
      </c>
      <c r="O173" s="60">
        <v>1363</v>
      </c>
      <c r="P173" s="82">
        <v>-1.2853000000000001</v>
      </c>
      <c r="Q173" s="82">
        <v>0.48349999999999999</v>
      </c>
      <c r="R173" s="88">
        <f t="shared" si="121"/>
        <v>-7.1397066151221282E-4</v>
      </c>
      <c r="S173" s="88">
        <f t="shared" si="122"/>
        <v>-2.4616081111421138E-2</v>
      </c>
      <c r="T173" s="88">
        <f t="shared" si="122"/>
        <v>-0.16636085626911315</v>
      </c>
      <c r="U173" s="88">
        <f t="shared" si="123"/>
        <v>-0.69040000000000012</v>
      </c>
      <c r="V173" s="89">
        <f t="shared" si="123"/>
        <v>-5.1300000000000068E-2</v>
      </c>
    </row>
    <row r="174" spans="1:22">
      <c r="A174" s="171">
        <v>151</v>
      </c>
      <c r="B174" s="167" t="s">
        <v>230</v>
      </c>
      <c r="C174" s="168" t="s">
        <v>73</v>
      </c>
      <c r="D174" s="58">
        <v>1219693234.98</v>
      </c>
      <c r="E174" s="59">
        <f t="shared" si="119"/>
        <v>1.5242727865624077E-2</v>
      </c>
      <c r="F174" s="58">
        <v>223.59</v>
      </c>
      <c r="G174" s="58">
        <v>225.24</v>
      </c>
      <c r="H174" s="60">
        <v>508</v>
      </c>
      <c r="I174" s="82">
        <v>-1.44E-2</v>
      </c>
      <c r="J174" s="82">
        <v>0.21679999999999999</v>
      </c>
      <c r="K174" s="58">
        <v>1239131430.8599999</v>
      </c>
      <c r="L174" s="86">
        <f t="shared" si="120"/>
        <v>1.5422106658598445E-2</v>
      </c>
      <c r="M174" s="58">
        <v>224.54</v>
      </c>
      <c r="N174" s="58">
        <v>226.19</v>
      </c>
      <c r="O174" s="60">
        <v>508</v>
      </c>
      <c r="P174" s="82">
        <v>4.1999999999999997E-3</v>
      </c>
      <c r="Q174" s="82">
        <v>0.22140000000000001</v>
      </c>
      <c r="R174" s="88">
        <f t="shared" si="121"/>
        <v>1.5936954737900647E-2</v>
      </c>
      <c r="S174" s="88">
        <f t="shared" si="122"/>
        <v>4.2177233173503314E-3</v>
      </c>
      <c r="T174" s="88">
        <f t="shared" si="122"/>
        <v>0</v>
      </c>
      <c r="U174" s="88">
        <f t="shared" si="123"/>
        <v>1.8599999999999998E-2</v>
      </c>
      <c r="V174" s="89">
        <f t="shared" si="123"/>
        <v>4.6000000000000207E-3</v>
      </c>
    </row>
    <row r="175" spans="1:22">
      <c r="A175" s="171">
        <v>152</v>
      </c>
      <c r="B175" s="167" t="s">
        <v>231</v>
      </c>
      <c r="C175" s="168" t="s">
        <v>232</v>
      </c>
      <c r="D175" s="58">
        <v>1084142892.0599999</v>
      </c>
      <c r="E175" s="59">
        <f t="shared" si="119"/>
        <v>1.3548730612900557E-2</v>
      </c>
      <c r="F175" s="58">
        <v>2.0697999999999999</v>
      </c>
      <c r="G175" s="58">
        <v>2.1025</v>
      </c>
      <c r="H175" s="60">
        <v>3290</v>
      </c>
      <c r="I175" s="82">
        <v>-5.4999999999999997E-3</v>
      </c>
      <c r="J175" s="82">
        <v>0.41389999999999999</v>
      </c>
      <c r="K175" s="58">
        <v>1113207568.52</v>
      </c>
      <c r="L175" s="86">
        <f t="shared" si="120"/>
        <v>1.3854870780704262E-2</v>
      </c>
      <c r="M175" s="58">
        <v>2.0752000000000002</v>
      </c>
      <c r="N175" s="58">
        <v>2.1073</v>
      </c>
      <c r="O175" s="60">
        <v>3392</v>
      </c>
      <c r="P175" s="82">
        <v>2.5999999999999999E-3</v>
      </c>
      <c r="Q175" s="82">
        <v>0.41760000000000003</v>
      </c>
      <c r="R175" s="88">
        <f t="shared" si="121"/>
        <v>2.6808898229986739E-2</v>
      </c>
      <c r="S175" s="88">
        <f t="shared" si="122"/>
        <v>2.2829964328180334E-3</v>
      </c>
      <c r="T175" s="88">
        <f t="shared" si="122"/>
        <v>3.1003039513677812E-2</v>
      </c>
      <c r="U175" s="88">
        <f t="shared" si="123"/>
        <v>8.0999999999999996E-3</v>
      </c>
      <c r="V175" s="89">
        <f t="shared" si="123"/>
        <v>3.7000000000000366E-3</v>
      </c>
    </row>
    <row r="176" spans="1:22">
      <c r="A176" s="171">
        <v>153</v>
      </c>
      <c r="B176" s="167" t="s">
        <v>233</v>
      </c>
      <c r="C176" s="168" t="s">
        <v>30</v>
      </c>
      <c r="D176" s="76">
        <v>171638937.62</v>
      </c>
      <c r="E176" s="59">
        <f t="shared" si="119"/>
        <v>2.145002974726991E-3</v>
      </c>
      <c r="F176" s="58">
        <v>201.5402</v>
      </c>
      <c r="G176" s="58">
        <v>202.94069999999999</v>
      </c>
      <c r="H176" s="60">
        <v>157</v>
      </c>
      <c r="I176" s="82">
        <v>-2.1029999999999998E-3</v>
      </c>
      <c r="J176" s="82">
        <v>0.26090000000000002</v>
      </c>
      <c r="K176" s="76">
        <v>172681489.34999999</v>
      </c>
      <c r="L176" s="86">
        <f t="shared" si="120"/>
        <v>2.1491766574535517E-3</v>
      </c>
      <c r="M176" s="58">
        <v>202.20429999999999</v>
      </c>
      <c r="N176" s="58">
        <v>203.6027</v>
      </c>
      <c r="O176" s="60">
        <v>158</v>
      </c>
      <c r="P176" s="82">
        <v>3.1489999999999999E-3</v>
      </c>
      <c r="Q176" s="82">
        <v>0.26500000000000001</v>
      </c>
      <c r="R176" s="88">
        <f t="shared" si="121"/>
        <v>6.0740980132849955E-3</v>
      </c>
      <c r="S176" s="88">
        <f t="shared" si="122"/>
        <v>3.2620366442020067E-3</v>
      </c>
      <c r="T176" s="88">
        <f t="shared" si="122"/>
        <v>6.369426751592357E-3</v>
      </c>
      <c r="U176" s="88">
        <f t="shared" si="123"/>
        <v>5.2519999999999997E-3</v>
      </c>
      <c r="V176" s="89">
        <f t="shared" si="123"/>
        <v>4.0999999999999925E-3</v>
      </c>
    </row>
    <row r="177" spans="1:22">
      <c r="A177" s="171">
        <v>154</v>
      </c>
      <c r="B177" s="167" t="s">
        <v>234</v>
      </c>
      <c r="C177" s="168" t="s">
        <v>79</v>
      </c>
      <c r="D177" s="76">
        <v>353582406.86000001</v>
      </c>
      <c r="E177" s="59">
        <f t="shared" si="119"/>
        <v>4.4187835525116509E-3</v>
      </c>
      <c r="F177" s="58">
        <v>161.44</v>
      </c>
      <c r="G177" s="58">
        <v>162.34</v>
      </c>
      <c r="H177" s="60">
        <v>52</v>
      </c>
      <c r="I177" s="82">
        <v>-8.0000000000000002E-3</v>
      </c>
      <c r="J177" s="82">
        <v>0.40839999999999999</v>
      </c>
      <c r="K177" s="76">
        <v>366733565.47000003</v>
      </c>
      <c r="L177" s="86">
        <f t="shared" si="120"/>
        <v>4.5643295142962469E-3</v>
      </c>
      <c r="M177" s="58">
        <v>162</v>
      </c>
      <c r="N177" s="58">
        <v>162.94</v>
      </c>
      <c r="O177" s="60">
        <v>52</v>
      </c>
      <c r="P177" s="82">
        <v>4.8999999999999998E-3</v>
      </c>
      <c r="Q177" s="82">
        <v>0.4133</v>
      </c>
      <c r="R177" s="88">
        <f t="shared" si="121"/>
        <v>3.7194041204677869E-2</v>
      </c>
      <c r="S177" s="88">
        <f t="shared" si="122"/>
        <v>3.6959467783663565E-3</v>
      </c>
      <c r="T177" s="88">
        <f t="shared" si="122"/>
        <v>0</v>
      </c>
      <c r="U177" s="88">
        <f t="shared" si="123"/>
        <v>1.29E-2</v>
      </c>
      <c r="V177" s="89">
        <f t="shared" si="123"/>
        <v>4.9000000000000155E-3</v>
      </c>
    </row>
    <row r="178" spans="1:22" ht="15.75" customHeight="1">
      <c r="A178" s="171">
        <v>155</v>
      </c>
      <c r="B178" s="167" t="s">
        <v>235</v>
      </c>
      <c r="C178" s="168" t="s">
        <v>82</v>
      </c>
      <c r="D178" s="64">
        <v>515880991.5</v>
      </c>
      <c r="E178" s="59">
        <f t="shared" si="119"/>
        <v>6.4470584397492122E-3</v>
      </c>
      <c r="F178" s="58">
        <v>1.74</v>
      </c>
      <c r="G178" s="58">
        <v>1.76</v>
      </c>
      <c r="H178" s="60">
        <v>117</v>
      </c>
      <c r="I178" s="82">
        <v>0.43509999999999999</v>
      </c>
      <c r="J178" s="82">
        <v>0.44529999999999997</v>
      </c>
      <c r="K178" s="64">
        <v>522936345.73000002</v>
      </c>
      <c r="L178" s="86">
        <f t="shared" si="120"/>
        <v>6.5084137958703351E-3</v>
      </c>
      <c r="M178" s="58">
        <v>1.75</v>
      </c>
      <c r="N178" s="58">
        <v>1.77</v>
      </c>
      <c r="O178" s="60">
        <v>129</v>
      </c>
      <c r="P178" s="82">
        <v>0.43509999999999999</v>
      </c>
      <c r="Q178" s="82">
        <v>0.43940000000000001</v>
      </c>
      <c r="R178" s="88">
        <f t="shared" si="121"/>
        <v>1.367632137304679E-2</v>
      </c>
      <c r="S178" s="88">
        <f t="shared" si="122"/>
        <v>5.6818181818181872E-3</v>
      </c>
      <c r="T178" s="88">
        <f t="shared" si="122"/>
        <v>0.10256410256410256</v>
      </c>
      <c r="U178" s="88">
        <f t="shared" si="123"/>
        <v>0</v>
      </c>
      <c r="V178" s="89">
        <f t="shared" si="123"/>
        <v>-5.8999999999999608E-3</v>
      </c>
    </row>
    <row r="179" spans="1:22">
      <c r="A179" s="171">
        <v>156</v>
      </c>
      <c r="B179" s="167" t="s">
        <v>236</v>
      </c>
      <c r="C179" s="168" t="s">
        <v>32</v>
      </c>
      <c r="D179" s="58">
        <v>13724989335.629999</v>
      </c>
      <c r="E179" s="59">
        <f t="shared" si="119"/>
        <v>0.17152368431807458</v>
      </c>
      <c r="F179" s="58">
        <v>413.22</v>
      </c>
      <c r="G179" s="58">
        <v>417.13</v>
      </c>
      <c r="H179" s="60">
        <v>5538</v>
      </c>
      <c r="I179" s="82">
        <v>-1.34E-2</v>
      </c>
      <c r="J179" s="82">
        <v>0.40579999999999999</v>
      </c>
      <c r="K179" s="58">
        <v>13801674261.959999</v>
      </c>
      <c r="L179" s="86">
        <f t="shared" si="120"/>
        <v>0.17177426642099961</v>
      </c>
      <c r="M179" s="58">
        <v>413.97</v>
      </c>
      <c r="N179" s="58">
        <v>417.76</v>
      </c>
      <c r="O179" s="60">
        <v>5548</v>
      </c>
      <c r="P179" s="82">
        <v>1.6000000000000001E-3</v>
      </c>
      <c r="Q179" s="82">
        <v>0.40810000000000002</v>
      </c>
      <c r="R179" s="88">
        <f t="shared" si="121"/>
        <v>5.5872485183595926E-3</v>
      </c>
      <c r="S179" s="88">
        <f t="shared" si="122"/>
        <v>1.5103205235777707E-3</v>
      </c>
      <c r="T179" s="88">
        <f t="shared" si="122"/>
        <v>1.8057060310581437E-3</v>
      </c>
      <c r="U179" s="88">
        <f t="shared" si="123"/>
        <v>1.5000000000000001E-2</v>
      </c>
      <c r="V179" s="89">
        <f t="shared" si="123"/>
        <v>2.3000000000000242E-3</v>
      </c>
    </row>
    <row r="180" spans="1:22">
      <c r="A180" s="171">
        <v>157</v>
      </c>
      <c r="B180" s="167" t="s">
        <v>237</v>
      </c>
      <c r="C180" s="168" t="s">
        <v>92</v>
      </c>
      <c r="D180" s="58">
        <v>4298541418.1199999</v>
      </c>
      <c r="E180" s="59">
        <f t="shared" si="119"/>
        <v>5.3719652758909789E-2</v>
      </c>
      <c r="F180" s="58">
        <v>2.9657</v>
      </c>
      <c r="G180" s="58">
        <v>3.0225</v>
      </c>
      <c r="H180" s="60">
        <v>10207</v>
      </c>
      <c r="I180" s="82">
        <v>-1.0500000000000001E-2</v>
      </c>
      <c r="J180" s="82">
        <v>0.2802</v>
      </c>
      <c r="K180" s="58">
        <v>4312614641.0500002</v>
      </c>
      <c r="L180" s="86">
        <f t="shared" si="120"/>
        <v>5.3674373287058333E-2</v>
      </c>
      <c r="M180" s="58">
        <v>2.9739</v>
      </c>
      <c r="N180" s="58">
        <v>3.0306999999999999</v>
      </c>
      <c r="O180" s="60">
        <v>10207</v>
      </c>
      <c r="P180" s="82">
        <v>2.8E-3</v>
      </c>
      <c r="Q180" s="82">
        <v>0.28370000000000001</v>
      </c>
      <c r="R180" s="88">
        <f t="shared" si="121"/>
        <v>3.2739530834055186E-3</v>
      </c>
      <c r="S180" s="88">
        <f t="shared" si="122"/>
        <v>2.7129859387923856E-3</v>
      </c>
      <c r="T180" s="88">
        <f t="shared" si="122"/>
        <v>0</v>
      </c>
      <c r="U180" s="88">
        <f t="shared" si="123"/>
        <v>1.3300000000000001E-2</v>
      </c>
      <c r="V180" s="89">
        <f t="shared" si="123"/>
        <v>3.5000000000000031E-3</v>
      </c>
    </row>
    <row r="181" spans="1:22">
      <c r="A181" s="171">
        <v>158</v>
      </c>
      <c r="B181" s="167" t="s">
        <v>238</v>
      </c>
      <c r="C181" s="168" t="s">
        <v>94</v>
      </c>
      <c r="D181" s="58">
        <v>285320454.51999998</v>
      </c>
      <c r="E181" s="59">
        <f t="shared" si="119"/>
        <v>3.5657015370884181E-3</v>
      </c>
      <c r="F181" s="58">
        <v>325.24</v>
      </c>
      <c r="G181" s="58">
        <v>327.3</v>
      </c>
      <c r="H181" s="60">
        <v>32</v>
      </c>
      <c r="I181" s="82">
        <v>-2.58E-2</v>
      </c>
      <c r="J181" s="82">
        <v>0.1348</v>
      </c>
      <c r="K181" s="58">
        <v>285288472.04000002</v>
      </c>
      <c r="L181" s="86">
        <f t="shared" si="120"/>
        <v>3.550671974494169E-3</v>
      </c>
      <c r="M181" s="58">
        <v>325.37</v>
      </c>
      <c r="N181" s="58">
        <v>327.47000000000003</v>
      </c>
      <c r="O181" s="60">
        <v>32</v>
      </c>
      <c r="P181" s="82">
        <v>-5.0000000000000001E-4</v>
      </c>
      <c r="Q181" s="82">
        <v>0.1346</v>
      </c>
      <c r="R181" s="88">
        <f t="shared" si="121"/>
        <v>-1.1209319028235884E-4</v>
      </c>
      <c r="S181" s="88">
        <f t="shared" si="122"/>
        <v>5.1940116101440858E-4</v>
      </c>
      <c r="T181" s="88">
        <f t="shared" si="122"/>
        <v>0</v>
      </c>
      <c r="U181" s="88">
        <f t="shared" si="123"/>
        <v>2.53E-2</v>
      </c>
      <c r="V181" s="89">
        <f t="shared" si="123"/>
        <v>-2.0000000000000573E-4</v>
      </c>
    </row>
    <row r="182" spans="1:22">
      <c r="A182" s="171">
        <v>159</v>
      </c>
      <c r="B182" s="167" t="s">
        <v>239</v>
      </c>
      <c r="C182" s="167" t="s">
        <v>96</v>
      </c>
      <c r="D182" s="79">
        <v>69406972.724308401</v>
      </c>
      <c r="E182" s="59">
        <f t="shared" si="119"/>
        <v>8.6739154311270229E-4</v>
      </c>
      <c r="F182" s="58">
        <v>1.3420000000000001</v>
      </c>
      <c r="G182" s="58">
        <v>1.367</v>
      </c>
      <c r="H182" s="60">
        <v>30</v>
      </c>
      <c r="I182" s="82">
        <v>-1.4200000000000001E-2</v>
      </c>
      <c r="J182" s="82">
        <v>0.13589999999999999</v>
      </c>
      <c r="K182" s="79">
        <v>70762186.950000003</v>
      </c>
      <c r="L182" s="86">
        <f t="shared" si="120"/>
        <v>8.8069914728995441E-4</v>
      </c>
      <c r="M182" s="58">
        <v>1.401</v>
      </c>
      <c r="N182" s="58">
        <v>1.401</v>
      </c>
      <c r="O182" s="60">
        <v>23</v>
      </c>
      <c r="P182" s="82">
        <v>1.95E-2</v>
      </c>
      <c r="Q182" s="82">
        <v>0.15809999999999999</v>
      </c>
      <c r="R182" s="88">
        <f t="shared" si="121"/>
        <v>1.9525620733735951E-2</v>
      </c>
      <c r="S182" s="88">
        <f t="shared" si="122"/>
        <v>2.4871982443306531E-2</v>
      </c>
      <c r="T182" s="88">
        <f t="shared" si="122"/>
        <v>-0.23333333333333334</v>
      </c>
      <c r="U182" s="88">
        <f t="shared" si="123"/>
        <v>3.3700000000000001E-2</v>
      </c>
      <c r="V182" s="89">
        <f t="shared" si="123"/>
        <v>2.2199999999999998E-2</v>
      </c>
    </row>
    <row r="183" spans="1:22" ht="13.5" customHeight="1">
      <c r="A183" s="171">
        <v>160</v>
      </c>
      <c r="B183" s="167" t="s">
        <v>240</v>
      </c>
      <c r="C183" s="168" t="s">
        <v>38</v>
      </c>
      <c r="D183" s="64">
        <v>5089823012.4799995</v>
      </c>
      <c r="E183" s="59">
        <f t="shared" si="119"/>
        <v>6.3608442548011457E-2</v>
      </c>
      <c r="F183" s="58">
        <v>5.9655290000000001</v>
      </c>
      <c r="G183" s="58">
        <v>6.1052670000000004</v>
      </c>
      <c r="H183" s="60">
        <v>3447</v>
      </c>
      <c r="I183" s="82">
        <v>-2.9999999999999997E-4</v>
      </c>
      <c r="J183" s="82">
        <v>0.40720000000000001</v>
      </c>
      <c r="K183" s="64">
        <v>5171328073.3800001</v>
      </c>
      <c r="L183" s="86">
        <f t="shared" si="120"/>
        <v>6.4361835337289119E-2</v>
      </c>
      <c r="M183" s="58">
        <v>5.9671760000000003</v>
      </c>
      <c r="N183" s="58">
        <v>6.1077209999999997</v>
      </c>
      <c r="O183" s="60">
        <v>3542</v>
      </c>
      <c r="P183" s="82">
        <v>2.9999999999999997E-4</v>
      </c>
      <c r="Q183" s="82">
        <v>0.40760000000000002</v>
      </c>
      <c r="R183" s="88">
        <f t="shared" si="121"/>
        <v>1.6013338911815618E-2</v>
      </c>
      <c r="S183" s="88">
        <f t="shared" si="122"/>
        <v>4.0194802291190377E-4</v>
      </c>
      <c r="T183" s="88">
        <f t="shared" si="122"/>
        <v>2.7560197272991006E-2</v>
      </c>
      <c r="U183" s="88">
        <f t="shared" si="123"/>
        <v>5.9999999999999995E-4</v>
      </c>
      <c r="V183" s="89">
        <f t="shared" si="123"/>
        <v>4.0000000000001146E-4</v>
      </c>
    </row>
    <row r="184" spans="1:22" ht="13.5" customHeight="1">
      <c r="A184" s="171">
        <v>161</v>
      </c>
      <c r="B184" s="167" t="s">
        <v>241</v>
      </c>
      <c r="C184" s="168" t="s">
        <v>242</v>
      </c>
      <c r="D184" s="64">
        <v>98940348.25</v>
      </c>
      <c r="E184" s="59">
        <f t="shared" si="119"/>
        <v>1.2364755006036867E-3</v>
      </c>
      <c r="F184" s="58">
        <v>2.7557999999999998</v>
      </c>
      <c r="G184" s="58">
        <v>2.7684000000000002</v>
      </c>
      <c r="H184" s="60">
        <v>108</v>
      </c>
      <c r="I184" s="82">
        <v>-2E-3</v>
      </c>
      <c r="J184" s="82">
        <v>0.31</v>
      </c>
      <c r="K184" s="64">
        <v>99123358.170000002</v>
      </c>
      <c r="L184" s="86">
        <f t="shared" si="120"/>
        <v>1.2336794661041172E-3</v>
      </c>
      <c r="M184" s="58">
        <v>2.7601</v>
      </c>
      <c r="N184" s="58">
        <v>2.7726999999999999</v>
      </c>
      <c r="O184" s="60">
        <v>111</v>
      </c>
      <c r="P184" s="82">
        <v>1.5E-3</v>
      </c>
      <c r="Q184" s="82">
        <v>0.31190000000000001</v>
      </c>
      <c r="R184" s="88">
        <f t="shared" si="121"/>
        <v>1.849699573904641E-3</v>
      </c>
      <c r="S184" s="88">
        <f t="shared" si="122"/>
        <v>1.5532437509029578E-3</v>
      </c>
      <c r="T184" s="88">
        <f t="shared" si="122"/>
        <v>2.7777777777777776E-2</v>
      </c>
      <c r="U184" s="88">
        <f>P184-I184</f>
        <v>3.5000000000000001E-3</v>
      </c>
      <c r="V184" s="89">
        <f>Q184-J184</f>
        <v>1.9000000000000128E-3</v>
      </c>
    </row>
    <row r="185" spans="1:22">
      <c r="A185" s="171">
        <v>162</v>
      </c>
      <c r="B185" s="167" t="s">
        <v>243</v>
      </c>
      <c r="C185" s="168" t="s">
        <v>152</v>
      </c>
      <c r="D185" s="64">
        <v>987267748.63999999</v>
      </c>
      <c r="E185" s="59">
        <f t="shared" si="119"/>
        <v>1.2338064352118537E-2</v>
      </c>
      <c r="F185" s="58">
        <v>346.03</v>
      </c>
      <c r="G185" s="58">
        <v>349.66</v>
      </c>
      <c r="H185" s="60">
        <v>249</v>
      </c>
      <c r="I185" s="82">
        <v>1.37E-2</v>
      </c>
      <c r="J185" s="82">
        <v>0.44629999999999997</v>
      </c>
      <c r="K185" s="64">
        <v>937874449.92999995</v>
      </c>
      <c r="L185" s="86">
        <f t="shared" si="120"/>
        <v>1.1672692209216493E-2</v>
      </c>
      <c r="M185" s="58">
        <v>346.01</v>
      </c>
      <c r="N185" s="58">
        <v>349.8</v>
      </c>
      <c r="O185" s="60">
        <v>158</v>
      </c>
      <c r="P185" s="82">
        <v>1.37E-2</v>
      </c>
      <c r="Q185" s="82">
        <v>0.44629999999999997</v>
      </c>
      <c r="R185" s="88">
        <f t="shared" si="121"/>
        <v>-5.003029702736795E-2</v>
      </c>
      <c r="S185" s="88">
        <f t="shared" si="122"/>
        <v>4.0038894926496124E-4</v>
      </c>
      <c r="T185" s="88">
        <f t="shared" si="122"/>
        <v>-0.36546184738955823</v>
      </c>
      <c r="U185" s="88">
        <f t="shared" si="123"/>
        <v>0</v>
      </c>
      <c r="V185" s="89">
        <f t="shared" si="123"/>
        <v>0</v>
      </c>
    </row>
    <row r="186" spans="1:22">
      <c r="A186" s="171">
        <v>163</v>
      </c>
      <c r="B186" s="167" t="s">
        <v>244</v>
      </c>
      <c r="C186" s="168" t="s">
        <v>34</v>
      </c>
      <c r="D186" s="64">
        <v>2140374215.5899999</v>
      </c>
      <c r="E186" s="59">
        <f t="shared" si="119"/>
        <v>2.6748645284871111E-2</v>
      </c>
      <c r="F186" s="58">
        <v>552.22</v>
      </c>
      <c r="G186" s="58">
        <v>552.22</v>
      </c>
      <c r="H186" s="60">
        <v>823</v>
      </c>
      <c r="I186" s="82">
        <v>-1.9800000000000002E-2</v>
      </c>
      <c r="J186" s="82">
        <v>-2.1000000000000001E-2</v>
      </c>
      <c r="K186" s="64">
        <v>2153297909.5300002</v>
      </c>
      <c r="L186" s="86">
        <f t="shared" si="120"/>
        <v>2.6799731813324242E-2</v>
      </c>
      <c r="M186" s="58">
        <v>552.22</v>
      </c>
      <c r="N186" s="58">
        <v>552.22</v>
      </c>
      <c r="O186" s="60">
        <v>823</v>
      </c>
      <c r="P186" s="82">
        <v>6.0299999999999998E-3</v>
      </c>
      <c r="Q186" s="82">
        <v>-1.4999999999999999E-2</v>
      </c>
      <c r="R186" s="88">
        <f t="shared" si="121"/>
        <v>6.0380534608700867E-3</v>
      </c>
      <c r="S186" s="88">
        <f t="shared" si="122"/>
        <v>0</v>
      </c>
      <c r="T186" s="88">
        <f t="shared" si="122"/>
        <v>0</v>
      </c>
      <c r="U186" s="88">
        <f t="shared" si="123"/>
        <v>2.5830000000000002E-2</v>
      </c>
      <c r="V186" s="89">
        <f t="shared" si="123"/>
        <v>6.0000000000000019E-3</v>
      </c>
    </row>
    <row r="187" spans="1:22">
      <c r="A187" s="171">
        <v>164</v>
      </c>
      <c r="B187" s="167" t="s">
        <v>245</v>
      </c>
      <c r="C187" s="168" t="s">
        <v>106</v>
      </c>
      <c r="D187" s="58">
        <v>45489318.210000001</v>
      </c>
      <c r="E187" s="59">
        <f t="shared" si="119"/>
        <v>5.6848827097018175E-4</v>
      </c>
      <c r="F187" s="58">
        <v>2.5299999999999998</v>
      </c>
      <c r="G187" s="58">
        <v>2.5299999999999998</v>
      </c>
      <c r="H187" s="60">
        <v>8</v>
      </c>
      <c r="I187" s="82">
        <v>-1.6199999999999999E-2</v>
      </c>
      <c r="J187" s="82">
        <v>0.34944700000000001</v>
      </c>
      <c r="K187" s="58">
        <v>45697410.969999999</v>
      </c>
      <c r="L187" s="86">
        <f t="shared" si="120"/>
        <v>5.6874543607696691E-4</v>
      </c>
      <c r="M187" s="58">
        <v>2.54</v>
      </c>
      <c r="N187" s="58">
        <v>2.54</v>
      </c>
      <c r="O187" s="60">
        <v>8</v>
      </c>
      <c r="P187" s="82">
        <v>4.5750000000000001E-3</v>
      </c>
      <c r="Q187" s="82">
        <v>0.35561999999999999</v>
      </c>
      <c r="R187" s="88">
        <f t="shared" si="121"/>
        <v>4.5745411931509784E-3</v>
      </c>
      <c r="S187" s="88">
        <f t="shared" si="122"/>
        <v>3.952569169960566E-3</v>
      </c>
      <c r="T187" s="88">
        <f t="shared" si="122"/>
        <v>0</v>
      </c>
      <c r="U187" s="88">
        <f t="shared" si="123"/>
        <v>2.0774999999999998E-2</v>
      </c>
      <c r="V187" s="89">
        <f t="shared" si="123"/>
        <v>6.1729999999999841E-3</v>
      </c>
    </row>
    <row r="188" spans="1:22">
      <c r="A188" s="171">
        <v>165</v>
      </c>
      <c r="B188" s="167" t="s">
        <v>246</v>
      </c>
      <c r="C188" s="168" t="s">
        <v>46</v>
      </c>
      <c r="D188" s="58">
        <v>404884181.06999999</v>
      </c>
      <c r="E188" s="59">
        <f t="shared" si="119"/>
        <v>5.0599111417120157E-3</v>
      </c>
      <c r="F188" s="58">
        <v>3.39</v>
      </c>
      <c r="G188" s="58">
        <v>3.46</v>
      </c>
      <c r="H188" s="60">
        <v>139</v>
      </c>
      <c r="I188" s="82">
        <v>-2.69E-2</v>
      </c>
      <c r="J188" s="82">
        <v>0.29630000000000001</v>
      </c>
      <c r="K188" s="58">
        <v>405389895.44</v>
      </c>
      <c r="L188" s="86">
        <f t="shared" si="120"/>
        <v>5.0454423559046285E-3</v>
      </c>
      <c r="M188" s="58">
        <v>3.3970180000000001</v>
      </c>
      <c r="N188" s="58">
        <v>3.3970180000000001</v>
      </c>
      <c r="O188" s="60">
        <v>139</v>
      </c>
      <c r="P188" s="82">
        <v>3.3E-3</v>
      </c>
      <c r="Q188" s="82">
        <v>0.28570000000000001</v>
      </c>
      <c r="R188" s="88">
        <f t="shared" si="121"/>
        <v>1.2490346465587707E-3</v>
      </c>
      <c r="S188" s="88">
        <f t="shared" si="122"/>
        <v>-1.8202890173410369E-2</v>
      </c>
      <c r="T188" s="88">
        <f t="shared" si="122"/>
        <v>0</v>
      </c>
      <c r="U188" s="88">
        <f t="shared" si="123"/>
        <v>3.0200000000000001E-2</v>
      </c>
      <c r="V188" s="89">
        <f t="shared" si="123"/>
        <v>-1.0599999999999998E-2</v>
      </c>
    </row>
    <row r="189" spans="1:22">
      <c r="A189" s="171">
        <v>166</v>
      </c>
      <c r="B189" s="167" t="s">
        <v>329</v>
      </c>
      <c r="C189" s="168" t="s">
        <v>330</v>
      </c>
      <c r="D189" s="58">
        <v>202675807.95404199</v>
      </c>
      <c r="E189" s="59">
        <f t="shared" si="119"/>
        <v>2.5328763798871177E-3</v>
      </c>
      <c r="F189" s="58">
        <v>107.98</v>
      </c>
      <c r="G189" s="58">
        <v>108.48</v>
      </c>
      <c r="H189" s="60">
        <v>97</v>
      </c>
      <c r="I189" s="82">
        <v>-8.9999999999999993E-3</v>
      </c>
      <c r="J189" s="82">
        <v>7.9799999999999996E-2</v>
      </c>
      <c r="K189" s="58">
        <v>202434248.060096</v>
      </c>
      <c r="L189" s="59">
        <f t="shared" si="120"/>
        <v>2.5194765358903261E-3</v>
      </c>
      <c r="M189" s="58">
        <v>108.12</v>
      </c>
      <c r="N189" s="58">
        <v>108.59</v>
      </c>
      <c r="O189" s="60">
        <v>97</v>
      </c>
      <c r="P189" s="82">
        <v>1.1000000000000001E-3</v>
      </c>
      <c r="Q189" s="82">
        <v>8.1199999999999994E-2</v>
      </c>
      <c r="R189" s="88">
        <f t="shared" ref="R189" si="129">((K189-D189)/D189)</f>
        <v>-1.191853612843459E-3</v>
      </c>
      <c r="S189" s="88">
        <f t="shared" ref="S189" si="130">((N189-G189)/G189)</f>
        <v>1.0140117994100243E-3</v>
      </c>
      <c r="T189" s="88">
        <f t="shared" ref="T189" si="131">((O189-H189)/H189)</f>
        <v>0</v>
      </c>
      <c r="U189" s="88">
        <f t="shared" ref="U189" si="132">P189-I189</f>
        <v>1.01E-2</v>
      </c>
      <c r="V189" s="89">
        <f t="shared" ref="V189" si="133">Q189-J189</f>
        <v>1.3999999999999985E-3</v>
      </c>
    </row>
    <row r="190" spans="1:22">
      <c r="A190" s="171">
        <v>167</v>
      </c>
      <c r="B190" s="167" t="s">
        <v>247</v>
      </c>
      <c r="C190" s="168" t="s">
        <v>50</v>
      </c>
      <c r="D190" s="64">
        <v>4515764120.2799997</v>
      </c>
      <c r="E190" s="59">
        <f t="shared" si="119"/>
        <v>5.6434324317545331E-2</v>
      </c>
      <c r="F190" s="58">
        <v>9484.56</v>
      </c>
      <c r="G190" s="58">
        <v>9568.59</v>
      </c>
      <c r="H190" s="60">
        <v>3384</v>
      </c>
      <c r="I190" s="82">
        <v>4.5999999999999999E-3</v>
      </c>
      <c r="J190" s="82">
        <v>0.48659999999999998</v>
      </c>
      <c r="K190" s="64">
        <v>4520486553.7200003</v>
      </c>
      <c r="L190" s="59">
        <f t="shared" si="120"/>
        <v>5.6261526456354231E-2</v>
      </c>
      <c r="M190" s="58">
        <v>9491.75</v>
      </c>
      <c r="N190" s="58">
        <v>9578.1299999999992</v>
      </c>
      <c r="O190" s="60">
        <v>3424</v>
      </c>
      <c r="P190" s="82">
        <v>1E-3</v>
      </c>
      <c r="Q190" s="82">
        <v>0.48809999999999998</v>
      </c>
      <c r="R190" s="88">
        <f t="shared" si="121"/>
        <v>1.0457661902206973E-3</v>
      </c>
      <c r="S190" s="88">
        <f t="shared" si="122"/>
        <v>9.9701209896119018E-4</v>
      </c>
      <c r="T190" s="88">
        <f t="shared" si="122"/>
        <v>1.1820330969267139E-2</v>
      </c>
      <c r="U190" s="88">
        <f t="shared" si="123"/>
        <v>-3.5999999999999999E-3</v>
      </c>
      <c r="V190" s="89">
        <f t="shared" si="123"/>
        <v>1.5000000000000013E-3</v>
      </c>
    </row>
    <row r="191" spans="1:22">
      <c r="A191" s="171">
        <v>168</v>
      </c>
      <c r="B191" s="167" t="s">
        <v>248</v>
      </c>
      <c r="C191" s="167" t="s">
        <v>117</v>
      </c>
      <c r="D191" s="64">
        <v>153839043.78</v>
      </c>
      <c r="E191" s="59">
        <f t="shared" si="119"/>
        <v>1.9225544687757651E-3</v>
      </c>
      <c r="F191" s="58">
        <v>1389.26</v>
      </c>
      <c r="G191" s="58">
        <v>1409.22</v>
      </c>
      <c r="H191" s="60">
        <v>41</v>
      </c>
      <c r="I191" s="82">
        <v>-1.15E-2</v>
      </c>
      <c r="J191" s="82">
        <v>0.24629999999999999</v>
      </c>
      <c r="K191" s="64">
        <v>154445781.63</v>
      </c>
      <c r="L191" s="59">
        <f t="shared" si="120"/>
        <v>1.9222168512143688E-3</v>
      </c>
      <c r="M191" s="58">
        <v>1394.3</v>
      </c>
      <c r="N191" s="58">
        <v>1414.34</v>
      </c>
      <c r="O191" s="60">
        <v>46</v>
      </c>
      <c r="P191" s="82">
        <v>-1.15E-2</v>
      </c>
      <c r="Q191" s="82">
        <v>0.25030000000000002</v>
      </c>
      <c r="R191" s="88">
        <f t="shared" si="121"/>
        <v>3.9439782976528979E-3</v>
      </c>
      <c r="S191" s="88">
        <f t="shared" si="122"/>
        <v>3.6332155376732453E-3</v>
      </c>
      <c r="T191" s="88">
        <f t="shared" si="122"/>
        <v>0.12195121951219512</v>
      </c>
      <c r="U191" s="88">
        <f t="shared" si="123"/>
        <v>0</v>
      </c>
      <c r="V191" s="89">
        <f t="shared" si="123"/>
        <v>4.0000000000000313E-3</v>
      </c>
    </row>
    <row r="192" spans="1:22">
      <c r="A192" s="171">
        <v>169</v>
      </c>
      <c r="B192" s="167" t="s">
        <v>249</v>
      </c>
      <c r="C192" s="167" t="s">
        <v>96</v>
      </c>
      <c r="D192" s="64">
        <v>777200440.81545198</v>
      </c>
      <c r="E192" s="59">
        <f t="shared" si="119"/>
        <v>9.7128150559818941E-3</v>
      </c>
      <c r="F192" s="58">
        <v>1.4790000000000001</v>
      </c>
      <c r="G192" s="58">
        <v>1.4790000000000001</v>
      </c>
      <c r="H192" s="60">
        <v>48</v>
      </c>
      <c r="I192" s="82">
        <v>2.3999999999999998E-3</v>
      </c>
      <c r="J192" s="82">
        <v>0.1024</v>
      </c>
      <c r="K192" s="64">
        <v>779028897.08131504</v>
      </c>
      <c r="L192" s="59">
        <f t="shared" si="120"/>
        <v>9.6957162426103884E-3</v>
      </c>
      <c r="M192" s="58">
        <v>1.4830000000000001</v>
      </c>
      <c r="N192" s="58">
        <v>1.4830000000000001</v>
      </c>
      <c r="O192" s="60">
        <v>47</v>
      </c>
      <c r="P192" s="82">
        <v>2.3999999999999998E-3</v>
      </c>
      <c r="Q192" s="82">
        <v>0.105</v>
      </c>
      <c r="R192" s="88">
        <f t="shared" si="121"/>
        <v>2.3526186680293353E-3</v>
      </c>
      <c r="S192" s="88">
        <f t="shared" si="122"/>
        <v>2.70453008789723E-3</v>
      </c>
      <c r="T192" s="88">
        <f t="shared" si="122"/>
        <v>-2.0833333333333332E-2</v>
      </c>
      <c r="U192" s="88">
        <f t="shared" si="123"/>
        <v>0</v>
      </c>
      <c r="V192" s="89">
        <f t="shared" si="123"/>
        <v>2.5999999999999912E-3</v>
      </c>
    </row>
    <row r="193" spans="1:22">
      <c r="A193" s="171">
        <v>170</v>
      </c>
      <c r="B193" s="167" t="s">
        <v>250</v>
      </c>
      <c r="C193" s="168" t="s">
        <v>53</v>
      </c>
      <c r="D193" s="58">
        <v>3289832964.4499998</v>
      </c>
      <c r="E193" s="59">
        <f t="shared" si="119"/>
        <v>4.1113640022192095E-2</v>
      </c>
      <c r="F193" s="58">
        <v>2.1819000000000002</v>
      </c>
      <c r="G193" s="58">
        <v>2.1981999999999999</v>
      </c>
      <c r="H193" s="60">
        <v>2838</v>
      </c>
      <c r="I193" s="82">
        <v>-3.8E-3</v>
      </c>
      <c r="J193" s="82">
        <v>0.30399999999999999</v>
      </c>
      <c r="K193" s="58">
        <v>3294236253.73</v>
      </c>
      <c r="L193" s="86">
        <f t="shared" si="120"/>
        <v>4.0999737072592905E-2</v>
      </c>
      <c r="M193" s="58">
        <v>2.1886000000000001</v>
      </c>
      <c r="N193" s="58">
        <v>2.2050000000000001</v>
      </c>
      <c r="O193" s="60">
        <v>2858</v>
      </c>
      <c r="P193" s="82">
        <v>3.0999999999999999E-3</v>
      </c>
      <c r="Q193" s="82">
        <v>0.30740000000000001</v>
      </c>
      <c r="R193" s="88">
        <f t="shared" si="121"/>
        <v>1.3384537536045875E-3</v>
      </c>
      <c r="S193" s="88">
        <f t="shared" si="122"/>
        <v>3.093440087344254E-3</v>
      </c>
      <c r="T193" s="88">
        <f t="shared" si="122"/>
        <v>7.0472163495419312E-3</v>
      </c>
      <c r="U193" s="88">
        <f t="shared" si="123"/>
        <v>6.8999999999999999E-3</v>
      </c>
      <c r="V193" s="89">
        <f t="shared" si="123"/>
        <v>3.4000000000000141E-3</v>
      </c>
    </row>
    <row r="194" spans="1:22">
      <c r="A194" s="171">
        <v>171</v>
      </c>
      <c r="B194" s="167" t="s">
        <v>251</v>
      </c>
      <c r="C194" s="168" t="s">
        <v>53</v>
      </c>
      <c r="D194" s="58">
        <v>2115513820.6300001</v>
      </c>
      <c r="E194" s="59">
        <f t="shared" si="119"/>
        <v>2.6437960414168009E-2</v>
      </c>
      <c r="F194" s="58">
        <v>1.7435</v>
      </c>
      <c r="G194" s="58">
        <v>1.7479</v>
      </c>
      <c r="H194" s="60">
        <v>1390</v>
      </c>
      <c r="I194" s="82">
        <v>-4.1999999999999997E-3</v>
      </c>
      <c r="J194" s="82">
        <v>0.34239999999999998</v>
      </c>
      <c r="K194" s="58">
        <v>2122537376.05</v>
      </c>
      <c r="L194" s="86">
        <f t="shared" si="120"/>
        <v>2.6416889270241699E-2</v>
      </c>
      <c r="M194" s="58">
        <v>1.7398</v>
      </c>
      <c r="N194" s="58">
        <v>1.7516</v>
      </c>
      <c r="O194" s="60">
        <v>1408</v>
      </c>
      <c r="P194" s="82">
        <v>2.0999999999999999E-3</v>
      </c>
      <c r="Q194" s="82">
        <v>0.3448</v>
      </c>
      <c r="R194" s="88">
        <f t="shared" si="121"/>
        <v>3.3200234153555296E-3</v>
      </c>
      <c r="S194" s="88">
        <f t="shared" si="122"/>
        <v>2.1168259053721819E-3</v>
      </c>
      <c r="T194" s="88">
        <f t="shared" si="122"/>
        <v>1.2949640287769784E-2</v>
      </c>
      <c r="U194" s="88">
        <f t="shared" si="123"/>
        <v>6.3E-3</v>
      </c>
      <c r="V194" s="89">
        <f t="shared" si="123"/>
        <v>2.4000000000000132E-3</v>
      </c>
    </row>
    <row r="195" spans="1:22">
      <c r="A195" s="171">
        <v>172</v>
      </c>
      <c r="B195" s="167" t="s">
        <v>252</v>
      </c>
      <c r="C195" s="168" t="s">
        <v>122</v>
      </c>
      <c r="D195" s="64">
        <v>11755207054.75</v>
      </c>
      <c r="E195" s="59">
        <f t="shared" si="119"/>
        <v>0.14690695742241835</v>
      </c>
      <c r="F195" s="58">
        <v>676.28</v>
      </c>
      <c r="G195" s="58">
        <v>684.65</v>
      </c>
      <c r="H195" s="60">
        <v>38</v>
      </c>
      <c r="I195" s="82">
        <v>-1.52E-2</v>
      </c>
      <c r="J195" s="82">
        <v>0.30790000000000001</v>
      </c>
      <c r="K195" s="64">
        <v>11798836386.26</v>
      </c>
      <c r="L195" s="86">
        <f t="shared" si="120"/>
        <v>0.14684714523782633</v>
      </c>
      <c r="M195" s="58">
        <v>678.79</v>
      </c>
      <c r="N195" s="58">
        <v>687.19</v>
      </c>
      <c r="O195" s="60">
        <v>38</v>
      </c>
      <c r="P195" s="82">
        <v>3.7000000000000002E-3</v>
      </c>
      <c r="Q195" s="82">
        <v>0.31269999999999998</v>
      </c>
      <c r="R195" s="88">
        <f t="shared" si="121"/>
        <v>3.7114898365291364E-3</v>
      </c>
      <c r="S195" s="88">
        <f t="shared" si="122"/>
        <v>3.7099247790843165E-3</v>
      </c>
      <c r="T195" s="88">
        <f t="shared" si="122"/>
        <v>0</v>
      </c>
      <c r="U195" s="88">
        <f t="shared" si="123"/>
        <v>1.89E-2</v>
      </c>
      <c r="V195" s="89">
        <f t="shared" si="123"/>
        <v>4.799999999999971E-3</v>
      </c>
    </row>
    <row r="196" spans="1:22">
      <c r="A196" s="67"/>
      <c r="B196" s="68"/>
      <c r="C196" s="69" t="s">
        <v>56</v>
      </c>
      <c r="D196" s="111">
        <f>SUM(D167:D195)</f>
        <v>80018041766.047272</v>
      </c>
      <c r="E196" s="71">
        <f>(D196/$D$230)</f>
        <v>1.1021873573645443E-2</v>
      </c>
      <c r="F196" s="72"/>
      <c r="G196" s="112"/>
      <c r="H196" s="74">
        <f>SUM(H167:H195)</f>
        <v>77580</v>
      </c>
      <c r="I196" s="130"/>
      <c r="J196" s="130"/>
      <c r="K196" s="111">
        <f>SUM(K167:K195)</f>
        <v>80347740959.834061</v>
      </c>
      <c r="L196" s="71">
        <f>(K196/$K$230)</f>
        <v>1.0833586603418205E-2</v>
      </c>
      <c r="M196" s="72"/>
      <c r="N196" s="112"/>
      <c r="O196" s="74">
        <f>SUM(O167:O195)</f>
        <v>77571</v>
      </c>
      <c r="P196" s="130"/>
      <c r="Q196" s="130"/>
      <c r="R196" s="88">
        <f t="shared" ref="R196" si="134">((K196-D196)/D196)</f>
        <v>4.1203107013134226E-3</v>
      </c>
      <c r="S196" s="88" t="e">
        <f t="shared" ref="S196" si="135">((N196-G196)/G196)</f>
        <v>#DIV/0!</v>
      </c>
      <c r="T196" s="88">
        <f t="shared" ref="T196" si="136">((O196-H196)/H196)</f>
        <v>-1.160092807424594E-4</v>
      </c>
      <c r="U196" s="88">
        <f t="shared" ref="U196" si="137">P196-I196</f>
        <v>0</v>
      </c>
      <c r="V196" s="89">
        <f t="shared" ref="V196" si="138">Q196-J196</f>
        <v>0</v>
      </c>
    </row>
    <row r="197" spans="1:22" ht="5.25" customHeight="1">
      <c r="A197" s="67"/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/>
      <c r="U197" s="187"/>
      <c r="V197" s="187"/>
    </row>
    <row r="198" spans="1:22" ht="15" customHeight="1">
      <c r="A198" s="189" t="s">
        <v>253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</row>
    <row r="199" spans="1:22">
      <c r="A199" s="169">
        <v>173</v>
      </c>
      <c r="B199" s="167" t="s">
        <v>254</v>
      </c>
      <c r="C199" s="168" t="s">
        <v>255</v>
      </c>
      <c r="D199" s="113">
        <v>1399475368.3900001</v>
      </c>
      <c r="E199" s="59">
        <f>(D199/$D$201)</f>
        <v>0.17230142447637778</v>
      </c>
      <c r="F199" s="114">
        <v>39.155299999999997</v>
      </c>
      <c r="G199" s="114">
        <v>39.514800000000001</v>
      </c>
      <c r="H199" s="60">
        <v>1500</v>
      </c>
      <c r="I199" s="82">
        <v>-5.8999999999999999E-3</v>
      </c>
      <c r="J199" s="82">
        <v>0.46960000000000002</v>
      </c>
      <c r="K199" s="113">
        <v>1402772645.0599999</v>
      </c>
      <c r="L199" s="86">
        <f>(K199/$K$201)</f>
        <v>0.17238563952516567</v>
      </c>
      <c r="M199" s="114">
        <v>39.196599999999997</v>
      </c>
      <c r="N199" s="114">
        <v>39.5565</v>
      </c>
      <c r="O199" s="60">
        <v>1499</v>
      </c>
      <c r="P199" s="82">
        <v>7.4000000000000003E-3</v>
      </c>
      <c r="Q199" s="82">
        <v>0.47199999999999998</v>
      </c>
      <c r="R199" s="88">
        <f>((K199-D199)/D199)</f>
        <v>2.356080531658894E-3</v>
      </c>
      <c r="S199" s="88">
        <f t="shared" ref="S199:T201" si="139">((N199-G199)/G199)</f>
        <v>1.0553007986880546E-3</v>
      </c>
      <c r="T199" s="88">
        <f t="shared" si="139"/>
        <v>-6.6666666666666664E-4</v>
      </c>
      <c r="U199" s="88">
        <f t="shared" ref="U199:V201" si="140">P199-I199</f>
        <v>1.3299999999999999E-2</v>
      </c>
      <c r="V199" s="89">
        <f t="shared" si="140"/>
        <v>2.3999999999999577E-3</v>
      </c>
    </row>
    <row r="200" spans="1:22">
      <c r="A200" s="169">
        <v>174</v>
      </c>
      <c r="B200" s="167" t="s">
        <v>256</v>
      </c>
      <c r="C200" s="168" t="s">
        <v>50</v>
      </c>
      <c r="D200" s="76">
        <v>6722775348.0100002</v>
      </c>
      <c r="E200" s="59">
        <f>(D200/$D$201)</f>
        <v>0.82769857552362214</v>
      </c>
      <c r="F200" s="114">
        <v>4.3499999999999996</v>
      </c>
      <c r="G200" s="114">
        <v>4.41</v>
      </c>
      <c r="H200" s="60">
        <v>11518</v>
      </c>
      <c r="I200" s="82">
        <v>-2.4299999999999999E-2</v>
      </c>
      <c r="J200" s="82">
        <v>0.52070000000000005</v>
      </c>
      <c r="K200" s="76">
        <v>6734637460.1199999</v>
      </c>
      <c r="L200" s="86">
        <f>(K200/$K$201)</f>
        <v>0.82761436047483428</v>
      </c>
      <c r="M200" s="114">
        <v>4.37</v>
      </c>
      <c r="N200" s="114">
        <v>4.43</v>
      </c>
      <c r="O200" s="60">
        <v>11569</v>
      </c>
      <c r="P200" s="82">
        <v>4.4999999999999997E-3</v>
      </c>
      <c r="Q200" s="82">
        <v>0.52759999999999996</v>
      </c>
      <c r="R200" s="88">
        <f>((K200-D200)/D200)</f>
        <v>1.76446653293434E-3</v>
      </c>
      <c r="S200" s="88">
        <f t="shared" si="139"/>
        <v>4.5351473922901524E-3</v>
      </c>
      <c r="T200" s="88">
        <f t="shared" si="139"/>
        <v>4.4278520576488973E-3</v>
      </c>
      <c r="U200" s="88">
        <f t="shared" si="140"/>
        <v>2.8799999999999999E-2</v>
      </c>
      <c r="V200" s="89">
        <f t="shared" si="140"/>
        <v>6.8999999999999062E-3</v>
      </c>
    </row>
    <row r="201" spans="1:22">
      <c r="A201" s="67"/>
      <c r="B201" s="68"/>
      <c r="C201" s="103" t="s">
        <v>56</v>
      </c>
      <c r="D201" s="111">
        <f>SUM(D199:D200)</f>
        <v>8122250716.4000006</v>
      </c>
      <c r="E201" s="71">
        <f>(D201/$D$230)</f>
        <v>1.1187779474953049E-3</v>
      </c>
      <c r="F201" s="72"/>
      <c r="G201" s="112"/>
      <c r="H201" s="74">
        <f>SUM(H199:H200)</f>
        <v>13018</v>
      </c>
      <c r="I201" s="130"/>
      <c r="J201" s="130"/>
      <c r="K201" s="111">
        <f>SUM(K199:K200)</f>
        <v>8137410105.1800003</v>
      </c>
      <c r="L201" s="71">
        <f>(K201/$K$230)</f>
        <v>1.0971974575622225E-3</v>
      </c>
      <c r="M201" s="72"/>
      <c r="N201" s="112"/>
      <c r="O201" s="74">
        <f>SUM(O199:O200)</f>
        <v>13068</v>
      </c>
      <c r="P201" s="130"/>
      <c r="Q201" s="130"/>
      <c r="R201" s="88">
        <f>((K201-D201)/D201)</f>
        <v>1.8664024676547759E-3</v>
      </c>
      <c r="S201" s="88" t="e">
        <f t="shared" si="139"/>
        <v>#DIV/0!</v>
      </c>
      <c r="T201" s="88">
        <f t="shared" si="139"/>
        <v>3.8408357658626519E-3</v>
      </c>
      <c r="U201" s="88">
        <f t="shared" si="140"/>
        <v>0</v>
      </c>
      <c r="V201" s="89">
        <f t="shared" si="140"/>
        <v>0</v>
      </c>
    </row>
    <row r="202" spans="1:22" ht="6" customHeight="1">
      <c r="A202" s="67"/>
      <c r="B202" s="187"/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</row>
    <row r="203" spans="1:22" ht="15" customHeight="1">
      <c r="A203" s="190" t="s">
        <v>257</v>
      </c>
      <c r="B203" s="190"/>
      <c r="C203" s="190"/>
      <c r="D203" s="190"/>
      <c r="E203" s="190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</row>
    <row r="204" spans="1:22">
      <c r="A204" s="191" t="s">
        <v>258</v>
      </c>
      <c r="B204" s="191"/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</row>
    <row r="205" spans="1:22">
      <c r="A205" s="169">
        <v>175</v>
      </c>
      <c r="B205" s="167" t="s">
        <v>259</v>
      </c>
      <c r="C205" s="168" t="s">
        <v>260</v>
      </c>
      <c r="D205" s="80">
        <v>7974617738.29</v>
      </c>
      <c r="E205" s="59">
        <f>(D205/$D$229)</f>
        <v>0.10818592322115969</v>
      </c>
      <c r="F205" s="115">
        <v>2.85</v>
      </c>
      <c r="G205" s="115">
        <v>2.9</v>
      </c>
      <c r="H205" s="78">
        <v>15299</v>
      </c>
      <c r="I205" s="85">
        <v>8.9999999999999993E-3</v>
      </c>
      <c r="J205" s="85">
        <v>0.31929999999999997</v>
      </c>
      <c r="K205" s="80">
        <v>8146287444.8400002</v>
      </c>
      <c r="L205" s="59">
        <f>(K205/$K$229)</f>
        <v>0.10940636745477189</v>
      </c>
      <c r="M205" s="115">
        <v>2.9</v>
      </c>
      <c r="N205" s="115">
        <v>2.95</v>
      </c>
      <c r="O205" s="78">
        <v>15299</v>
      </c>
      <c r="P205" s="85">
        <v>1.7600000000000001E-2</v>
      </c>
      <c r="Q205" s="85">
        <v>0.34139999999999998</v>
      </c>
      <c r="R205" s="87">
        <f>((K205-D205)/D205)</f>
        <v>2.1527013856191605E-2</v>
      </c>
      <c r="S205" s="87">
        <f>((N205-G205)/G205)</f>
        <v>1.7241379310344921E-2</v>
      </c>
      <c r="T205" s="87">
        <f>((O205-H205)/H205)</f>
        <v>0</v>
      </c>
      <c r="U205" s="87">
        <f>P205-I205</f>
        <v>8.6000000000000017E-3</v>
      </c>
      <c r="V205" s="134">
        <f>Q205-J205</f>
        <v>2.2100000000000009E-2</v>
      </c>
    </row>
    <row r="206" spans="1:22">
      <c r="A206" s="169">
        <v>176</v>
      </c>
      <c r="B206" s="167" t="s">
        <v>261</v>
      </c>
      <c r="C206" s="168" t="s">
        <v>50</v>
      </c>
      <c r="D206" s="80">
        <v>3816072608.8800001</v>
      </c>
      <c r="E206" s="59">
        <f>(D206/$D$229)</f>
        <v>5.1769921997438441E-2</v>
      </c>
      <c r="F206" s="115">
        <v>892.24</v>
      </c>
      <c r="G206" s="115">
        <v>904.11</v>
      </c>
      <c r="H206" s="78">
        <v>2320</v>
      </c>
      <c r="I206" s="85">
        <v>-2.1299999999999999E-2</v>
      </c>
      <c r="J206" s="85">
        <v>0.79139999999999999</v>
      </c>
      <c r="K206" s="80">
        <v>3746313830.5</v>
      </c>
      <c r="L206" s="59">
        <f>(K206/$K$229)</f>
        <v>5.0313788988651041E-2</v>
      </c>
      <c r="M206" s="115">
        <v>892.95</v>
      </c>
      <c r="N206" s="115">
        <v>905.05</v>
      </c>
      <c r="O206" s="78">
        <v>2351</v>
      </c>
      <c r="P206" s="85">
        <v>1E-3</v>
      </c>
      <c r="Q206" s="85">
        <v>0.79330000000000001</v>
      </c>
      <c r="R206" s="87">
        <f>((K206-D206)/D206)</f>
        <v>-1.8280254473584032E-2</v>
      </c>
      <c r="S206" s="87">
        <f>((N206-G206)/G206)</f>
        <v>1.0396964971075874E-3</v>
      </c>
      <c r="T206" s="87">
        <f>((O206-H206)/H206)</f>
        <v>1.3362068965517242E-2</v>
      </c>
      <c r="U206" s="87">
        <f>P206-I206</f>
        <v>2.23E-2</v>
      </c>
      <c r="V206" s="134">
        <f>Q206-J206</f>
        <v>1.9000000000000128E-3</v>
      </c>
    </row>
    <row r="207" spans="1:22" ht="6" customHeight="1">
      <c r="A207" s="102"/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  <c r="R207" s="187"/>
      <c r="S207" s="187"/>
      <c r="T207" s="187"/>
      <c r="U207" s="187"/>
      <c r="V207" s="187"/>
    </row>
    <row r="208" spans="1:22" ht="15" customHeight="1">
      <c r="A208" s="191" t="s">
        <v>194</v>
      </c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</row>
    <row r="209" spans="1:24">
      <c r="A209" s="169">
        <v>177</v>
      </c>
      <c r="B209" s="167" t="s">
        <v>262</v>
      </c>
      <c r="C209" s="168" t="s">
        <v>24</v>
      </c>
      <c r="D209" s="64">
        <v>1255801401.3299999</v>
      </c>
      <c r="E209" s="59">
        <f>(D209/$D$229)</f>
        <v>1.7036557543439648E-2</v>
      </c>
      <c r="F209" s="114">
        <v>1.1329</v>
      </c>
      <c r="G209" s="114">
        <v>1.1329</v>
      </c>
      <c r="H209" s="60">
        <v>717</v>
      </c>
      <c r="I209" s="82">
        <v>0.1384</v>
      </c>
      <c r="J209" s="82">
        <v>0.1328</v>
      </c>
      <c r="K209" s="64">
        <v>1268207332.21</v>
      </c>
      <c r="L209" s="59">
        <f t="shared" ref="L209:L222" si="141">(K209/$K$229)</f>
        <v>1.703229334050689E-2</v>
      </c>
      <c r="M209" s="114">
        <v>1.1357999999999999</v>
      </c>
      <c r="N209" s="114">
        <v>1.1357999999999999</v>
      </c>
      <c r="O209" s="60">
        <v>723</v>
      </c>
      <c r="P209" s="82">
        <v>0.13350000000000001</v>
      </c>
      <c r="Q209" s="82">
        <v>0.13320000000000001</v>
      </c>
      <c r="R209" s="88">
        <f>((K209-D209)/D209)</f>
        <v>9.8788955537564976E-3</v>
      </c>
      <c r="S209" s="88">
        <f>((N209-G209)/G209)</f>
        <v>2.5598022773412506E-3</v>
      </c>
      <c r="T209" s="88">
        <f>((O209-H209)/H209)</f>
        <v>8.368200836820083E-3</v>
      </c>
      <c r="U209" s="88">
        <f>P209-I209</f>
        <v>-4.8999999999999877E-3</v>
      </c>
      <c r="V209" s="89">
        <f>Q209-J209</f>
        <v>4.0000000000001146E-4</v>
      </c>
      <c r="X209" s="135"/>
    </row>
    <row r="210" spans="1:24">
      <c r="A210" s="169">
        <v>178</v>
      </c>
      <c r="B210" s="167" t="s">
        <v>263</v>
      </c>
      <c r="C210" s="168" t="s">
        <v>264</v>
      </c>
      <c r="D210" s="64">
        <v>369127610.16000003</v>
      </c>
      <c r="E210" s="59">
        <f>(D210/$D$229)</f>
        <v>5.0076897228359283E-3</v>
      </c>
      <c r="F210" s="114">
        <v>1123.4000000000001</v>
      </c>
      <c r="G210" s="114">
        <v>1123.4000000000001</v>
      </c>
      <c r="H210" s="60">
        <v>17</v>
      </c>
      <c r="I210" s="82">
        <v>8.9999999999999998E-4</v>
      </c>
      <c r="J210" s="82">
        <v>7.6799999999999993E-2</v>
      </c>
      <c r="K210" s="64">
        <v>369299870.18000001</v>
      </c>
      <c r="L210" s="59">
        <f t="shared" si="141"/>
        <v>4.9597755507025569E-3</v>
      </c>
      <c r="M210" s="114">
        <v>1123.92</v>
      </c>
      <c r="N210" s="114">
        <v>1123.92</v>
      </c>
      <c r="O210" s="60">
        <v>17</v>
      </c>
      <c r="P210" s="82">
        <v>8.9999999999999998E-4</v>
      </c>
      <c r="Q210" s="82">
        <v>7.7700000000000005E-2</v>
      </c>
      <c r="R210" s="88">
        <f>((K210-D210)/D210)</f>
        <v>4.6666793612462111E-4</v>
      </c>
      <c r="S210" s="88">
        <f>((N210-G210)/G210)</f>
        <v>4.6288054121415502E-4</v>
      </c>
      <c r="T210" s="88">
        <f>((O210-H210)/H210)</f>
        <v>0</v>
      </c>
      <c r="U210" s="88">
        <f>P210-I210</f>
        <v>0</v>
      </c>
      <c r="V210" s="89">
        <f>Q210-J210</f>
        <v>9.000000000000119E-4</v>
      </c>
      <c r="X210" s="135"/>
    </row>
    <row r="211" spans="1:24">
      <c r="A211" s="169">
        <v>179</v>
      </c>
      <c r="B211" s="167" t="s">
        <v>265</v>
      </c>
      <c r="C211" s="168" t="s">
        <v>73</v>
      </c>
      <c r="D211" s="64">
        <v>313175606.00999999</v>
      </c>
      <c r="E211" s="59">
        <f>(D211/$D$229)</f>
        <v>4.2486289849177359E-3</v>
      </c>
      <c r="F211" s="114">
        <v>124.37</v>
      </c>
      <c r="G211" s="114">
        <v>124.37</v>
      </c>
      <c r="H211" s="60">
        <v>78</v>
      </c>
      <c r="I211" s="82">
        <v>5.3E-3</v>
      </c>
      <c r="J211" s="82">
        <v>0.13450000000000001</v>
      </c>
      <c r="K211" s="64">
        <v>314401354.22000003</v>
      </c>
      <c r="L211" s="59">
        <f t="shared" si="141"/>
        <v>4.2224768424859848E-3</v>
      </c>
      <c r="M211" s="114">
        <v>121.38</v>
      </c>
      <c r="N211" s="114">
        <v>121.38</v>
      </c>
      <c r="O211" s="60">
        <v>80</v>
      </c>
      <c r="P211" s="82">
        <v>2.3999999999999998E-3</v>
      </c>
      <c r="Q211" s="82">
        <v>0.13450000000000001</v>
      </c>
      <c r="R211" s="88">
        <f t="shared" ref="R211:R230" si="142">((K211-D211)/D211)</f>
        <v>3.9139325875876133E-3</v>
      </c>
      <c r="S211" s="88">
        <f t="shared" ref="S211:S229" si="143">((N211-G211)/G211)</f>
        <v>-2.4041167484120038E-2</v>
      </c>
      <c r="T211" s="88">
        <f t="shared" ref="T211:T229" si="144">((O211-H211)/H211)</f>
        <v>2.564102564102564E-2</v>
      </c>
      <c r="U211" s="88">
        <f t="shared" ref="U211:U229" si="145">P211-I211</f>
        <v>-2.9000000000000002E-3</v>
      </c>
      <c r="V211" s="89">
        <f t="shared" ref="V211:V229" si="146">Q211-J211</f>
        <v>0</v>
      </c>
    </row>
    <row r="212" spans="1:24">
      <c r="A212" s="169">
        <v>180</v>
      </c>
      <c r="B212" s="174" t="s">
        <v>266</v>
      </c>
      <c r="C212" s="168" t="s">
        <v>267</v>
      </c>
      <c r="D212" s="64">
        <v>53092218.211599901</v>
      </c>
      <c r="E212" s="59">
        <v>0</v>
      </c>
      <c r="F212" s="114">
        <v>104.31</v>
      </c>
      <c r="G212" s="114">
        <v>104.31</v>
      </c>
      <c r="H212" s="60">
        <v>12</v>
      </c>
      <c r="I212" s="82">
        <v>3.5000000000000001E-3</v>
      </c>
      <c r="J212" s="82">
        <v>4.3099999999999999E-2</v>
      </c>
      <c r="K212" s="64">
        <v>54428003.516763799</v>
      </c>
      <c r="L212" s="59">
        <f t="shared" si="141"/>
        <v>7.3097962635194414E-4</v>
      </c>
      <c r="M212" s="114">
        <v>104.51648267294701</v>
      </c>
      <c r="N212" s="114">
        <v>104.51648267294701</v>
      </c>
      <c r="O212" s="60">
        <v>13</v>
      </c>
      <c r="P212" s="82">
        <v>2.0999999999999999E-3</v>
      </c>
      <c r="Q212" s="82">
        <v>4.5199999999999997E-2</v>
      </c>
      <c r="R212" s="88">
        <f t="shared" si="142"/>
        <v>2.5159719261306873E-2</v>
      </c>
      <c r="S212" s="88">
        <f t="shared" si="143"/>
        <v>1.97950985473113E-3</v>
      </c>
      <c r="T212" s="88">
        <f t="shared" si="144"/>
        <v>8.3333333333333329E-2</v>
      </c>
      <c r="U212" s="88">
        <f t="shared" si="145"/>
        <v>-1.4000000000000002E-3</v>
      </c>
      <c r="V212" s="89">
        <f t="shared" si="146"/>
        <v>2.0999999999999977E-3</v>
      </c>
    </row>
    <row r="213" spans="1:24">
      <c r="A213" s="169">
        <v>181</v>
      </c>
      <c r="B213" s="174" t="s">
        <v>268</v>
      </c>
      <c r="C213" s="168" t="s">
        <v>79</v>
      </c>
      <c r="D213" s="76">
        <v>67164854.150000006</v>
      </c>
      <c r="E213" s="59">
        <f>(D213/$D$229)</f>
        <v>9.1117743730126464E-4</v>
      </c>
      <c r="F213" s="114">
        <v>102.45</v>
      </c>
      <c r="G213" s="114">
        <v>102.45</v>
      </c>
      <c r="H213" s="60">
        <v>17</v>
      </c>
      <c r="I213" s="82">
        <v>2.3E-3</v>
      </c>
      <c r="J213" s="82">
        <v>9.5000000000000001E-2</v>
      </c>
      <c r="K213" s="76">
        <v>67314118.930000007</v>
      </c>
      <c r="L213" s="59">
        <f t="shared" si="141"/>
        <v>9.0404288829933923E-4</v>
      </c>
      <c r="M213" s="114">
        <v>102.65</v>
      </c>
      <c r="N213" s="114">
        <v>102.65</v>
      </c>
      <c r="O213" s="60">
        <v>17</v>
      </c>
      <c r="P213" s="82">
        <v>2.0999999999999999E-3</v>
      </c>
      <c r="Q213" s="82">
        <v>9.7100000000000006E-2</v>
      </c>
      <c r="R213" s="88">
        <f t="shared" si="142"/>
        <v>2.2223643881760916E-3</v>
      </c>
      <c r="S213" s="88">
        <f t="shared" si="143"/>
        <v>1.9521717911176459E-3</v>
      </c>
      <c r="T213" s="88">
        <f t="shared" si="144"/>
        <v>0</v>
      </c>
      <c r="U213" s="88">
        <f t="shared" si="145"/>
        <v>-2.0000000000000009E-4</v>
      </c>
      <c r="V213" s="89">
        <f t="shared" si="146"/>
        <v>2.1000000000000046E-3</v>
      </c>
    </row>
    <row r="214" spans="1:24">
      <c r="A214" s="169">
        <v>182</v>
      </c>
      <c r="B214" s="167" t="s">
        <v>269</v>
      </c>
      <c r="C214" s="168" t="s">
        <v>82</v>
      </c>
      <c r="D214" s="76">
        <v>242367817.71000001</v>
      </c>
      <c r="E214" s="59">
        <v>0</v>
      </c>
      <c r="F214" s="114">
        <v>1.1399999999999999</v>
      </c>
      <c r="G214" s="114">
        <v>1.1399999999999999</v>
      </c>
      <c r="H214" s="60">
        <v>56</v>
      </c>
      <c r="I214" s="82">
        <v>1.8E-3</v>
      </c>
      <c r="J214" s="82">
        <v>0.1095</v>
      </c>
      <c r="K214" s="76">
        <v>263645100.53</v>
      </c>
      <c r="L214" s="59">
        <f t="shared" si="141"/>
        <v>3.5408095947444176E-3</v>
      </c>
      <c r="M214" s="114">
        <v>1.1499999999999999</v>
      </c>
      <c r="N214" s="114">
        <v>1.1499999999999999</v>
      </c>
      <c r="O214" s="60">
        <v>59</v>
      </c>
      <c r="P214" s="82">
        <v>1.8E-3</v>
      </c>
      <c r="Q214" s="82">
        <v>0.10920000000000001</v>
      </c>
      <c r="R214" s="88">
        <f t="shared" ref="R214:R215" si="147">((K214-D214)/D214)</f>
        <v>8.7789224745419239E-2</v>
      </c>
      <c r="S214" s="88">
        <f t="shared" ref="S214:S215" si="148">((N214-G214)/G214)</f>
        <v>8.7719298245614117E-3</v>
      </c>
      <c r="T214" s="88">
        <f t="shared" ref="T214" si="149">((O214-H214)/H214)</f>
        <v>5.3571428571428568E-2</v>
      </c>
      <c r="U214" s="88">
        <f t="shared" ref="U214" si="150">P214-I214</f>
        <v>0</v>
      </c>
      <c r="V214" s="89">
        <f t="shared" ref="V214" si="151">Q214-J214</f>
        <v>-2.9999999999999472E-4</v>
      </c>
    </row>
    <row r="215" spans="1:24">
      <c r="A215" s="169">
        <v>183</v>
      </c>
      <c r="B215" s="167" t="s">
        <v>270</v>
      </c>
      <c r="C215" s="168" t="s">
        <v>32</v>
      </c>
      <c r="D215" s="64">
        <v>4763355990.5799999</v>
      </c>
      <c r="E215" s="59">
        <f t="shared" ref="E215:E222" si="152">(D215/$D$229)</f>
        <v>6.4621036692153841E-2</v>
      </c>
      <c r="F215" s="114">
        <v>140</v>
      </c>
      <c r="G215" s="114">
        <v>140</v>
      </c>
      <c r="H215" s="60">
        <v>750</v>
      </c>
      <c r="I215" s="82">
        <v>2.7000000000000001E-3</v>
      </c>
      <c r="J215" s="82">
        <v>0.13980000000000001</v>
      </c>
      <c r="K215" s="64">
        <v>4771039769.7299995</v>
      </c>
      <c r="L215" s="59">
        <f t="shared" si="141"/>
        <v>6.4076075601658664E-2</v>
      </c>
      <c r="M215" s="114">
        <v>140.41999999999999</v>
      </c>
      <c r="N215" s="114">
        <v>140.41999999999999</v>
      </c>
      <c r="O215" s="60">
        <v>755</v>
      </c>
      <c r="P215" s="82">
        <v>3.0000000000000001E-3</v>
      </c>
      <c r="Q215" s="82">
        <v>0.14269999999999999</v>
      </c>
      <c r="R215" s="88">
        <f t="shared" si="147"/>
        <v>1.6131020157206474E-3</v>
      </c>
      <c r="S215" s="88">
        <f t="shared" si="148"/>
        <v>2.9999999999999107E-3</v>
      </c>
      <c r="T215" s="88">
        <f t="shared" si="144"/>
        <v>6.6666666666666671E-3</v>
      </c>
      <c r="U215" s="88">
        <f t="shared" si="145"/>
        <v>2.9999999999999992E-4</v>
      </c>
      <c r="V215" s="89">
        <f t="shared" si="146"/>
        <v>2.8999999999999859E-3</v>
      </c>
    </row>
    <row r="216" spans="1:24">
      <c r="A216" s="169">
        <v>184</v>
      </c>
      <c r="B216" s="167" t="s">
        <v>271</v>
      </c>
      <c r="C216" s="168" t="s">
        <v>71</v>
      </c>
      <c r="D216" s="64">
        <v>797032543.93019295</v>
      </c>
      <c r="E216" s="59">
        <f t="shared" si="152"/>
        <v>1.081276926772007E-2</v>
      </c>
      <c r="F216" s="63">
        <v>1321.68337351478</v>
      </c>
      <c r="G216" s="63">
        <v>1321.68337351478</v>
      </c>
      <c r="H216" s="60">
        <v>282</v>
      </c>
      <c r="I216" s="82">
        <v>0.1207</v>
      </c>
      <c r="J216" s="82">
        <v>0.12740000000000001</v>
      </c>
      <c r="K216" s="64">
        <v>859828363.98362696</v>
      </c>
      <c r="L216" s="59">
        <f t="shared" si="141"/>
        <v>1.1547677217996287E-2</v>
      </c>
      <c r="M216" s="63">
        <v>1310.9246106921701</v>
      </c>
      <c r="N216" s="63">
        <v>1310.9246106921701</v>
      </c>
      <c r="O216" s="60">
        <v>298</v>
      </c>
      <c r="P216" s="82">
        <v>-0.42449999999999999</v>
      </c>
      <c r="Q216" s="82">
        <v>0.1148</v>
      </c>
      <c r="R216" s="88">
        <f t="shared" si="142"/>
        <v>7.8787021347692804E-2</v>
      </c>
      <c r="S216" s="88">
        <f t="shared" si="143"/>
        <v>-8.1401968415467946E-3</v>
      </c>
      <c r="T216" s="88">
        <f t="shared" si="144"/>
        <v>5.6737588652482268E-2</v>
      </c>
      <c r="U216" s="88">
        <f t="shared" si="145"/>
        <v>-0.54520000000000002</v>
      </c>
      <c r="V216" s="89">
        <f t="shared" si="146"/>
        <v>-1.2600000000000014E-2</v>
      </c>
    </row>
    <row r="217" spans="1:24">
      <c r="A217" s="169">
        <v>185</v>
      </c>
      <c r="B217" s="167" t="s">
        <v>272</v>
      </c>
      <c r="C217" s="168" t="s">
        <v>260</v>
      </c>
      <c r="D217" s="64">
        <v>37156658274.889999</v>
      </c>
      <c r="E217" s="59">
        <f t="shared" si="152"/>
        <v>0.5040777515868855</v>
      </c>
      <c r="F217" s="63">
        <v>1280.8399999999999</v>
      </c>
      <c r="G217" s="63">
        <v>1280.8399999999999</v>
      </c>
      <c r="H217" s="60">
        <v>11367</v>
      </c>
      <c r="I217" s="82">
        <v>2.0999999999999999E-3</v>
      </c>
      <c r="J217" s="82">
        <v>0.13450000000000001</v>
      </c>
      <c r="K217" s="64">
        <v>37620193281.790001</v>
      </c>
      <c r="L217" s="59">
        <f t="shared" si="141"/>
        <v>0.50524717152156629</v>
      </c>
      <c r="M217" s="63">
        <v>1284.25</v>
      </c>
      <c r="N217" s="63">
        <v>1284.25</v>
      </c>
      <c r="O217" s="60">
        <v>11367</v>
      </c>
      <c r="P217" s="82">
        <v>2.7000000000000001E-3</v>
      </c>
      <c r="Q217" s="82">
        <v>0.13719999999999999</v>
      </c>
      <c r="R217" s="88">
        <f t="shared" si="142"/>
        <v>1.2475153267839822E-2</v>
      </c>
      <c r="S217" s="88">
        <f t="shared" si="143"/>
        <v>2.6623153555479858E-3</v>
      </c>
      <c r="T217" s="88">
        <f t="shared" si="144"/>
        <v>0</v>
      </c>
      <c r="U217" s="88">
        <f t="shared" si="145"/>
        <v>6.0000000000000027E-4</v>
      </c>
      <c r="V217" s="89">
        <f t="shared" si="146"/>
        <v>2.6999999999999802E-3</v>
      </c>
    </row>
    <row r="218" spans="1:24">
      <c r="A218" s="169">
        <v>186</v>
      </c>
      <c r="B218" s="167" t="s">
        <v>273</v>
      </c>
      <c r="C218" s="168" t="s">
        <v>274</v>
      </c>
      <c r="D218" s="64">
        <v>340644661.22000003</v>
      </c>
      <c r="E218" s="59">
        <f t="shared" si="152"/>
        <v>4.6212819691025427E-3</v>
      </c>
      <c r="F218" s="115">
        <v>118.09</v>
      </c>
      <c r="G218" s="115">
        <v>119.05</v>
      </c>
      <c r="H218" s="78">
        <v>131</v>
      </c>
      <c r="I218" s="82">
        <v>-1.1999999999999999E-3</v>
      </c>
      <c r="J218" s="82">
        <v>-4.8000000000000001E-2</v>
      </c>
      <c r="K218" s="64">
        <v>321884633.25999999</v>
      </c>
      <c r="L218" s="59">
        <f t="shared" si="141"/>
        <v>4.3229788665012821E-3</v>
      </c>
      <c r="M218" s="115">
        <v>118.24</v>
      </c>
      <c r="N218" s="115">
        <v>119.26</v>
      </c>
      <c r="O218" s="78">
        <v>131</v>
      </c>
      <c r="P218" s="82">
        <v>1.8E-3</v>
      </c>
      <c r="Q218" s="82">
        <v>-4.6199999999999998E-2</v>
      </c>
      <c r="R218" s="88">
        <f t="shared" si="142"/>
        <v>-5.5072132622927462E-2</v>
      </c>
      <c r="S218" s="88">
        <f t="shared" si="143"/>
        <v>1.7639647207056527E-3</v>
      </c>
      <c r="T218" s="88">
        <f t="shared" si="144"/>
        <v>0</v>
      </c>
      <c r="U218" s="88">
        <f t="shared" si="145"/>
        <v>3.0000000000000001E-3</v>
      </c>
      <c r="V218" s="89">
        <f t="shared" si="146"/>
        <v>1.800000000000003E-3</v>
      </c>
    </row>
    <row r="219" spans="1:24">
      <c r="A219" s="169">
        <v>187</v>
      </c>
      <c r="B219" s="167" t="s">
        <v>275</v>
      </c>
      <c r="C219" s="168" t="s">
        <v>274</v>
      </c>
      <c r="D219" s="64">
        <v>430189789.38</v>
      </c>
      <c r="E219" s="59">
        <f t="shared" si="152"/>
        <v>5.8360765433217157E-3</v>
      </c>
      <c r="F219" s="115">
        <v>132.65</v>
      </c>
      <c r="G219" s="115">
        <v>132.65</v>
      </c>
      <c r="H219" s="78">
        <v>136</v>
      </c>
      <c r="I219" s="82">
        <v>3.3E-3</v>
      </c>
      <c r="J219" s="82">
        <v>0.187</v>
      </c>
      <c r="K219" s="64">
        <v>428954893.85000002</v>
      </c>
      <c r="L219" s="59">
        <f t="shared" si="141"/>
        <v>5.760955165877716E-3</v>
      </c>
      <c r="M219" s="115">
        <v>133.02000000000001</v>
      </c>
      <c r="N219" s="115">
        <v>133.02000000000001</v>
      </c>
      <c r="O219" s="78">
        <v>136</v>
      </c>
      <c r="P219" s="82">
        <v>2.8E-3</v>
      </c>
      <c r="Q219" s="82">
        <v>0.19089999999999999</v>
      </c>
      <c r="R219" s="88">
        <f t="shared" si="142"/>
        <v>-2.8705830786447369E-3</v>
      </c>
      <c r="S219" s="88">
        <f t="shared" si="143"/>
        <v>2.789295137580132E-3</v>
      </c>
      <c r="T219" s="88">
        <f t="shared" si="144"/>
        <v>0</v>
      </c>
      <c r="U219" s="88">
        <f t="shared" si="145"/>
        <v>-5.0000000000000001E-4</v>
      </c>
      <c r="V219" s="89">
        <f t="shared" si="146"/>
        <v>3.8999999999999868E-3</v>
      </c>
    </row>
    <row r="220" spans="1:24" ht="13.5" customHeight="1">
      <c r="A220" s="169">
        <v>188</v>
      </c>
      <c r="B220" s="167" t="s">
        <v>276</v>
      </c>
      <c r="C220" s="168" t="s">
        <v>104</v>
      </c>
      <c r="D220" s="64">
        <v>2311210105</v>
      </c>
      <c r="E220" s="59">
        <f t="shared" si="152"/>
        <v>3.1354530984843754E-2</v>
      </c>
      <c r="F220" s="92">
        <v>106.32</v>
      </c>
      <c r="G220" s="92">
        <v>106.32</v>
      </c>
      <c r="H220" s="60">
        <v>725</v>
      </c>
      <c r="I220" s="82">
        <v>3.5999999999999999E-3</v>
      </c>
      <c r="J220" s="82">
        <v>0.15459999999999999</v>
      </c>
      <c r="K220" s="64">
        <v>2346222746</v>
      </c>
      <c r="L220" s="59">
        <f t="shared" si="141"/>
        <v>3.1510268894600929E-2</v>
      </c>
      <c r="M220" s="92">
        <v>106.66</v>
      </c>
      <c r="N220" s="92">
        <v>106.66</v>
      </c>
      <c r="O220" s="60">
        <v>737</v>
      </c>
      <c r="P220" s="82">
        <v>3.2000000000000002E-3</v>
      </c>
      <c r="Q220" s="82">
        <v>0.15490000000000001</v>
      </c>
      <c r="R220" s="88">
        <f t="shared" si="142"/>
        <v>1.5149051539820954E-2</v>
      </c>
      <c r="S220" s="88">
        <f t="shared" si="143"/>
        <v>3.1978931527464581E-3</v>
      </c>
      <c r="T220" s="88">
        <f t="shared" si="144"/>
        <v>1.6551724137931035E-2</v>
      </c>
      <c r="U220" s="88">
        <f t="shared" si="145"/>
        <v>-3.9999999999999975E-4</v>
      </c>
      <c r="V220" s="89">
        <f t="shared" si="146"/>
        <v>3.0000000000002247E-4</v>
      </c>
    </row>
    <row r="221" spans="1:24" ht="15.75" customHeight="1">
      <c r="A221" s="169">
        <v>189</v>
      </c>
      <c r="B221" s="167" t="s">
        <v>277</v>
      </c>
      <c r="C221" s="168" t="s">
        <v>50</v>
      </c>
      <c r="D221" s="64">
        <v>5265290038.1099997</v>
      </c>
      <c r="E221" s="59">
        <f t="shared" si="152"/>
        <v>7.1430416164656368E-2</v>
      </c>
      <c r="F221" s="92">
        <v>142.88999999999999</v>
      </c>
      <c r="G221" s="92">
        <v>142.88999999999999</v>
      </c>
      <c r="H221" s="60">
        <v>1717</v>
      </c>
      <c r="I221" s="82">
        <v>2E-3</v>
      </c>
      <c r="J221" s="82">
        <v>6.4000000000000001E-2</v>
      </c>
      <c r="K221" s="64">
        <v>5283580188.54</v>
      </c>
      <c r="L221" s="59">
        <f t="shared" si="141"/>
        <v>7.095960208847181E-2</v>
      </c>
      <c r="M221" s="92">
        <v>143.16</v>
      </c>
      <c r="N221" s="92">
        <v>143.16</v>
      </c>
      <c r="O221" s="60">
        <v>1744</v>
      </c>
      <c r="P221" s="82">
        <v>1.9E-3</v>
      </c>
      <c r="Q221" s="82">
        <v>6.6000000000000003E-2</v>
      </c>
      <c r="R221" s="88">
        <f t="shared" si="142"/>
        <v>3.473721352027483E-3</v>
      </c>
      <c r="S221" s="88">
        <f t="shared" si="143"/>
        <v>1.8895653999580814E-3</v>
      </c>
      <c r="T221" s="88">
        <f t="shared" si="144"/>
        <v>1.5725101921956901E-2</v>
      </c>
      <c r="U221" s="88">
        <f t="shared" si="145"/>
        <v>-1.0000000000000005E-4</v>
      </c>
      <c r="V221" s="89">
        <f t="shared" si="146"/>
        <v>2.0000000000000018E-3</v>
      </c>
    </row>
    <row r="222" spans="1:24">
      <c r="A222" s="169">
        <v>190</v>
      </c>
      <c r="B222" s="167" t="s">
        <v>278</v>
      </c>
      <c r="C222" s="168" t="s">
        <v>53</v>
      </c>
      <c r="D222" s="64">
        <v>3918403363.0799999</v>
      </c>
      <c r="E222" s="59">
        <f t="shared" si="152"/>
        <v>5.3158169996322266E-2</v>
      </c>
      <c r="F222" s="92">
        <v>1.2076</v>
      </c>
      <c r="G222" s="92">
        <v>1.2076</v>
      </c>
      <c r="H222" s="60">
        <v>1967</v>
      </c>
      <c r="I222" s="82">
        <v>2.2000000000000001E-3</v>
      </c>
      <c r="J222" s="82">
        <v>0.1062</v>
      </c>
      <c r="K222" s="64">
        <v>3923681882.1300001</v>
      </c>
      <c r="L222" s="59">
        <f t="shared" si="141"/>
        <v>5.2695879525323709E-2</v>
      </c>
      <c r="M222" s="92">
        <v>1.2092000000000001</v>
      </c>
      <c r="N222" s="92">
        <v>1.2092000000000001</v>
      </c>
      <c r="O222" s="60">
        <v>2002</v>
      </c>
      <c r="P222" s="82">
        <v>1.2999999999999999E-3</v>
      </c>
      <c r="Q222" s="82">
        <v>0.1053</v>
      </c>
      <c r="R222" s="88">
        <f t="shared" si="142"/>
        <v>1.3471096670994824E-3</v>
      </c>
      <c r="S222" s="88">
        <f t="shared" si="143"/>
        <v>1.3249420337860598E-3</v>
      </c>
      <c r="T222" s="88">
        <f t="shared" si="144"/>
        <v>1.7793594306049824E-2</v>
      </c>
      <c r="U222" s="88">
        <f t="shared" si="145"/>
        <v>-9.0000000000000019E-4</v>
      </c>
      <c r="V222" s="89">
        <f t="shared" si="146"/>
        <v>-8.9999999999999802E-4</v>
      </c>
    </row>
    <row r="223" spans="1:24" ht="6" customHeight="1">
      <c r="A223" s="67"/>
      <c r="B223" s="187"/>
      <c r="C223" s="187"/>
      <c r="D223" s="187"/>
      <c r="E223" s="187"/>
      <c r="F223" s="187"/>
      <c r="G223" s="187"/>
      <c r="H223" s="187"/>
      <c r="I223" s="187"/>
      <c r="J223" s="187"/>
      <c r="K223" s="187"/>
      <c r="L223" s="187"/>
      <c r="M223" s="187"/>
      <c r="N223" s="187"/>
      <c r="O223" s="187"/>
      <c r="P223" s="187"/>
      <c r="Q223" s="187"/>
      <c r="R223" s="187"/>
      <c r="S223" s="187"/>
      <c r="T223" s="187"/>
      <c r="U223" s="187"/>
      <c r="V223" s="187"/>
    </row>
    <row r="224" spans="1:24">
      <c r="A224" s="191" t="s">
        <v>279</v>
      </c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</row>
    <row r="225" spans="1:22">
      <c r="A225" s="169">
        <v>191</v>
      </c>
      <c r="B225" s="167" t="s">
        <v>280</v>
      </c>
      <c r="C225" s="168" t="s">
        <v>20</v>
      </c>
      <c r="D225" s="113">
        <v>390576236.06999999</v>
      </c>
      <c r="E225" s="59">
        <f>(D225/$D$201)</f>
        <v>4.8087192787754016E-2</v>
      </c>
      <c r="F225" s="114">
        <v>102.9539</v>
      </c>
      <c r="G225" s="114">
        <v>102.9539</v>
      </c>
      <c r="H225" s="62">
        <v>121</v>
      </c>
      <c r="I225" s="83">
        <v>-3.3999999999999998E-3</v>
      </c>
      <c r="J225" s="83">
        <v>2.9499999999999998E-2</v>
      </c>
      <c r="K225" s="113">
        <v>381219289.48000002</v>
      </c>
      <c r="L225" s="86">
        <f>(K225/$K$201)</f>
        <v>4.6847742039857213E-2</v>
      </c>
      <c r="M225" s="114">
        <v>103.2166</v>
      </c>
      <c r="N225" s="114">
        <v>103.2166</v>
      </c>
      <c r="O225" s="62">
        <v>121</v>
      </c>
      <c r="P225" s="83">
        <v>2.5999999999999999E-3</v>
      </c>
      <c r="Q225" s="83">
        <v>3.2199999999999999E-2</v>
      </c>
      <c r="R225" s="88">
        <f>((K225-D225)/D225)</f>
        <v>-2.3956773930104133E-2</v>
      </c>
      <c r="S225" s="88">
        <f t="shared" ref="S225" si="153">((N225-G225)/G225)</f>
        <v>2.551627475986779E-3</v>
      </c>
      <c r="T225" s="88">
        <f t="shared" ref="T225" si="154">((O225-H225)/H225)</f>
        <v>0</v>
      </c>
      <c r="U225" s="88">
        <f t="shared" ref="U225" si="155">P225-I225</f>
        <v>6.0000000000000001E-3</v>
      </c>
      <c r="V225" s="89">
        <f t="shared" ref="V225" si="156">Q225-J225</f>
        <v>2.700000000000001E-3</v>
      </c>
    </row>
    <row r="226" spans="1:22">
      <c r="A226" s="169">
        <v>192</v>
      </c>
      <c r="B226" s="167" t="s">
        <v>281</v>
      </c>
      <c r="C226" s="168" t="s">
        <v>24</v>
      </c>
      <c r="D226" s="113">
        <v>3833458680.7800002</v>
      </c>
      <c r="E226" s="59">
        <f>(D226/$D$201)</f>
        <v>0.47197000125096999</v>
      </c>
      <c r="F226" s="114">
        <v>100.5039</v>
      </c>
      <c r="G226" s="114">
        <v>103.5341</v>
      </c>
      <c r="H226" s="62">
        <v>3327</v>
      </c>
      <c r="I226" s="83">
        <v>-0.45850000000000002</v>
      </c>
      <c r="J226" s="83">
        <v>0.52310000000000001</v>
      </c>
      <c r="K226" s="113">
        <v>3871458456.52</v>
      </c>
      <c r="L226" s="86">
        <f>(K226/$K$201)</f>
        <v>0.47576051919216417</v>
      </c>
      <c r="M226" s="114">
        <v>100.8719</v>
      </c>
      <c r="N226" s="114">
        <v>103.91330000000001</v>
      </c>
      <c r="O226" s="62">
        <v>3385</v>
      </c>
      <c r="P226" s="83">
        <v>0.191</v>
      </c>
      <c r="Q226" s="83">
        <v>0.51790000000000003</v>
      </c>
      <c r="R226" s="88">
        <f>((K226-D226)/D226)</f>
        <v>9.9126608382453969E-3</v>
      </c>
      <c r="S226" s="88">
        <f t="shared" ref="S226" si="157">((N226-G226)/G226)</f>
        <v>3.6625614169632182E-3</v>
      </c>
      <c r="T226" s="88">
        <f t="shared" ref="T226" si="158">((O226-H226)/H226)</f>
        <v>1.743312293357379E-2</v>
      </c>
      <c r="U226" s="88">
        <f t="shared" ref="U226" si="159">P226-I226</f>
        <v>0.64949999999999997</v>
      </c>
      <c r="V226" s="89">
        <f t="shared" ref="V226" si="160">Q226-J226</f>
        <v>-5.1999999999999824E-3</v>
      </c>
    </row>
    <row r="227" spans="1:22">
      <c r="A227" s="169">
        <v>193</v>
      </c>
      <c r="B227" s="167" t="s">
        <v>282</v>
      </c>
      <c r="C227" s="168" t="s">
        <v>260</v>
      </c>
      <c r="D227" s="64">
        <v>273243829.81</v>
      </c>
      <c r="E227" s="59">
        <f t="shared" ref="E227" si="161">(D227/$D$229)</f>
        <v>3.7069031974464382E-3</v>
      </c>
      <c r="F227" s="63">
        <v>1205</v>
      </c>
      <c r="G227" s="63">
        <v>1205</v>
      </c>
      <c r="H227" s="60">
        <v>167</v>
      </c>
      <c r="I227" s="82">
        <v>-4.5999999999999999E-3</v>
      </c>
      <c r="J227" s="82">
        <v>9.06E-2</v>
      </c>
      <c r="K227" s="64">
        <v>276254407.67000002</v>
      </c>
      <c r="L227" s="59">
        <f t="shared" ref="L227" si="162">(K227/$K$229)</f>
        <v>3.7101552628969383E-3</v>
      </c>
      <c r="M227" s="63">
        <v>1218.28</v>
      </c>
      <c r="N227" s="63">
        <v>1218.28</v>
      </c>
      <c r="O227" s="60">
        <v>167</v>
      </c>
      <c r="P227" s="82">
        <v>1.0999999999999999E-2</v>
      </c>
      <c r="Q227" s="82">
        <v>0.10100000000000001</v>
      </c>
      <c r="R227" s="88">
        <f t="shared" ref="R227" si="163">((K227-D227)/D227)</f>
        <v>1.1017917081946256E-2</v>
      </c>
      <c r="S227" s="88">
        <f t="shared" ref="S227" si="164">((N227-G227)/G227)</f>
        <v>1.1020746887966783E-2</v>
      </c>
      <c r="T227" s="88">
        <f t="shared" ref="T227" si="165">((O227-H227)/H227)</f>
        <v>0</v>
      </c>
      <c r="U227" s="88">
        <f t="shared" ref="U227" si="166">P227-I227</f>
        <v>1.5599999999999999E-2</v>
      </c>
      <c r="V227" s="89">
        <f t="shared" ref="V227" si="167">Q227-J227</f>
        <v>1.0400000000000006E-2</v>
      </c>
    </row>
    <row r="228" spans="1:22">
      <c r="A228" s="169">
        <v>194</v>
      </c>
      <c r="B228" s="167" t="s">
        <v>283</v>
      </c>
      <c r="C228" s="168" t="s">
        <v>284</v>
      </c>
      <c r="D228" s="64">
        <v>140673453.28999999</v>
      </c>
      <c r="E228" s="59">
        <f t="shared" ref="E228" si="168">(D228/$D$229)</f>
        <v>1.908415916140292E-3</v>
      </c>
      <c r="F228" s="63">
        <v>111.31</v>
      </c>
      <c r="G228" s="63">
        <v>113.61</v>
      </c>
      <c r="H228" s="60">
        <v>316</v>
      </c>
      <c r="I228" s="82">
        <v>2.3999999999999998E-3</v>
      </c>
      <c r="J228" s="82">
        <v>5.8200000000000002E-2</v>
      </c>
      <c r="K228" s="64">
        <v>144773428.81999999</v>
      </c>
      <c r="L228" s="59">
        <f t="shared" ref="L228" si="169">(K228/$K$229)</f>
        <v>1.9443378420437357E-3</v>
      </c>
      <c r="M228" s="63">
        <v>111.58</v>
      </c>
      <c r="N228" s="63">
        <v>113.88</v>
      </c>
      <c r="O228" s="60">
        <v>314</v>
      </c>
      <c r="P228" s="82">
        <v>2.3999999999999998E-3</v>
      </c>
      <c r="Q228" s="82">
        <v>5.8700000000000002E-2</v>
      </c>
      <c r="R228" s="88">
        <f t="shared" ref="R228" si="170">((K228-D228)/D228)</f>
        <v>2.9145339323886882E-2</v>
      </c>
      <c r="S228" s="88">
        <f t="shared" ref="S228" si="171">((N228-G228)/G228)</f>
        <v>2.3765513599154652E-3</v>
      </c>
      <c r="T228" s="88">
        <f t="shared" ref="T228" si="172">((O228-H228)/H228)</f>
        <v>-6.3291139240506328E-3</v>
      </c>
      <c r="U228" s="88">
        <f t="shared" ref="U228" si="173">P228-I228</f>
        <v>0</v>
      </c>
      <c r="V228" s="89">
        <f t="shared" ref="V228" si="174">Q228-J228</f>
        <v>5.0000000000000044E-4</v>
      </c>
    </row>
    <row r="229" spans="1:22">
      <c r="A229" s="67"/>
      <c r="B229" s="68"/>
      <c r="C229" s="103" t="s">
        <v>56</v>
      </c>
      <c r="D229" s="91">
        <f>SUM(D205:D228)</f>
        <v>73712156820.88179</v>
      </c>
      <c r="E229" s="71">
        <f>(D229/$D$230)</f>
        <v>1.0153286126344791E-2</v>
      </c>
      <c r="F229" s="72"/>
      <c r="G229" s="106"/>
      <c r="H229" s="116">
        <f>SUM(H205:H228)</f>
        <v>39522</v>
      </c>
      <c r="I229" s="108"/>
      <c r="J229" s="108"/>
      <c r="K229" s="91">
        <f>SUM(K205:K228)</f>
        <v>74458988396.700394</v>
      </c>
      <c r="L229" s="71">
        <f>(K229/$K$230)</f>
        <v>1.0039584057525829E-2</v>
      </c>
      <c r="M229" s="72"/>
      <c r="N229" s="106"/>
      <c r="O229" s="74">
        <f>SUM(O205:O228)</f>
        <v>39716</v>
      </c>
      <c r="P229" s="108"/>
      <c r="Q229" s="108"/>
      <c r="R229" s="88">
        <f t="shared" si="142"/>
        <v>1.0131728713804708E-2</v>
      </c>
      <c r="S229" s="88" t="e">
        <f t="shared" si="143"/>
        <v>#DIV/0!</v>
      </c>
      <c r="T229" s="88">
        <f t="shared" si="144"/>
        <v>4.9086584687009762E-3</v>
      </c>
      <c r="U229" s="88">
        <f t="shared" si="145"/>
        <v>0</v>
      </c>
      <c r="V229" s="89">
        <f t="shared" si="146"/>
        <v>0</v>
      </c>
    </row>
    <row r="230" spans="1:22">
      <c r="A230" s="117"/>
      <c r="B230" s="117"/>
      <c r="C230" s="118" t="s">
        <v>285</v>
      </c>
      <c r="D230" s="119">
        <f>SUM(D25,D71,D113,D155,D164,D196,D201,D229)</f>
        <v>7259931011854.4209</v>
      </c>
      <c r="E230" s="120"/>
      <c r="F230" s="120"/>
      <c r="G230" s="121"/>
      <c r="H230" s="119">
        <f>SUM(H25,H71,H113,H155,H164,H196,H201,H229)</f>
        <v>1074220</v>
      </c>
      <c r="I230" s="131"/>
      <c r="J230" s="131"/>
      <c r="K230" s="119">
        <f>SUM(K25,K71,K113,K155,K164,K196,K201,K229)</f>
        <v>7416541160476.1436</v>
      </c>
      <c r="L230" s="120"/>
      <c r="M230" s="120"/>
      <c r="N230" s="121"/>
      <c r="O230" s="119">
        <f>SUM(O25,O71,O113,O155,O164,O196,O201,O229)</f>
        <v>1076864.01</v>
      </c>
      <c r="P230" s="132"/>
      <c r="Q230" s="119"/>
      <c r="R230" s="136">
        <f t="shared" si="142"/>
        <v>2.1571850802163388E-2</v>
      </c>
      <c r="S230" s="136"/>
      <c r="T230" s="136"/>
      <c r="U230" s="136"/>
      <c r="V230" s="136"/>
    </row>
    <row r="231" spans="1:22" ht="6.75" customHeight="1">
      <c r="A231" s="67"/>
      <c r="B231" s="187"/>
      <c r="C231" s="187"/>
      <c r="D231" s="187"/>
      <c r="E231" s="187"/>
      <c r="F231" s="187"/>
      <c r="G231" s="187"/>
      <c r="H231" s="187"/>
      <c r="I231" s="187"/>
      <c r="J231" s="187"/>
      <c r="K231" s="187"/>
      <c r="L231" s="187"/>
      <c r="M231" s="187"/>
      <c r="N231" s="187"/>
      <c r="O231" s="187"/>
      <c r="P231" s="187"/>
      <c r="Q231" s="187"/>
      <c r="R231" s="187"/>
      <c r="S231" s="187"/>
      <c r="T231" s="187"/>
      <c r="U231" s="187"/>
      <c r="V231" s="68"/>
    </row>
    <row r="232" spans="1:22" ht="14.4" customHeight="1">
      <c r="A232" s="190" t="s">
        <v>286</v>
      </c>
      <c r="B232" s="190"/>
      <c r="C232" s="190"/>
      <c r="D232" s="190"/>
      <c r="E232" s="190"/>
      <c r="F232" s="190"/>
      <c r="G232" s="190"/>
      <c r="H232" s="190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90"/>
    </row>
    <row r="233" spans="1:22" ht="14.4" customHeight="1">
      <c r="A233" s="169">
        <v>1</v>
      </c>
      <c r="B233" s="167" t="s">
        <v>287</v>
      </c>
      <c r="C233" s="168" t="s">
        <v>24</v>
      </c>
      <c r="D233" s="64">
        <v>1878664291.2793171</v>
      </c>
      <c r="E233" s="59">
        <f t="shared" ref="E233:E236" si="175">(D233/$D$229)</f>
        <v>2.5486491947921318E-2</v>
      </c>
      <c r="F233" s="63">
        <v>1498.3872321399999</v>
      </c>
      <c r="G233" s="63">
        <v>1498.3872321399999</v>
      </c>
      <c r="H233" s="60">
        <v>50</v>
      </c>
      <c r="I233" s="82">
        <v>6.0900000000000003E-2</v>
      </c>
      <c r="J233" s="82">
        <v>4.7699999999999999E-2</v>
      </c>
      <c r="K233" s="64">
        <f>1262269.3*W136</f>
        <v>1826178137.8475299</v>
      </c>
      <c r="L233" s="59">
        <f>(K233/$K$238)</f>
        <v>9.9648846431610857E-2</v>
      </c>
      <c r="M233" s="63">
        <f>1.0316*W136</f>
        <v>1492.45915036</v>
      </c>
      <c r="N233" s="63">
        <f>1.0316*W136</f>
        <v>1492.45915036</v>
      </c>
      <c r="O233" s="60">
        <v>49</v>
      </c>
      <c r="P233" s="82">
        <v>0.15210000000000001</v>
      </c>
      <c r="Q233" s="82">
        <v>5.0999999999999997E-2</v>
      </c>
      <c r="R233" s="88">
        <f t="shared" ref="R233" si="176">((K233-D233)/D233)</f>
        <v>-2.7938016214725445E-2</v>
      </c>
      <c r="S233" s="88">
        <f t="shared" ref="S233" si="177">((N233-G233)/G233)</f>
        <v>-3.956308257868333E-3</v>
      </c>
      <c r="T233" s="88">
        <f t="shared" ref="T233" si="178">((O233-H233)/H233)</f>
        <v>-0.02</v>
      </c>
      <c r="U233" s="88">
        <f t="shared" ref="U233" si="179">P233-I233</f>
        <v>9.1200000000000003E-2</v>
      </c>
      <c r="V233" s="89">
        <f t="shared" ref="V233" si="180">Q233-J233</f>
        <v>3.2999999999999974E-3</v>
      </c>
    </row>
    <row r="234" spans="1:22" ht="14.4" customHeight="1">
      <c r="A234" s="169">
        <v>2</v>
      </c>
      <c r="B234" s="167" t="s">
        <v>288</v>
      </c>
      <c r="C234" s="168" t="s">
        <v>216</v>
      </c>
      <c r="D234" s="64">
        <v>4062180659.0252299</v>
      </c>
      <c r="E234" s="59">
        <f t="shared" ref="E234" si="181">(D234/$D$229)</f>
        <v>5.510869352115419E-2</v>
      </c>
      <c r="F234" s="63">
        <v>123.2</v>
      </c>
      <c r="G234" s="63">
        <v>123.2</v>
      </c>
      <c r="H234" s="60">
        <v>9</v>
      </c>
      <c r="I234" s="82">
        <v>0.26369999999999999</v>
      </c>
      <c r="J234" s="82">
        <v>0.26879999999999998</v>
      </c>
      <c r="K234" s="64">
        <v>4082727507.5100498</v>
      </c>
      <c r="L234" s="59">
        <f>(K234/$K$238)</f>
        <v>0.22278170896159849</v>
      </c>
      <c r="M234" s="63">
        <v>123.2</v>
      </c>
      <c r="N234" s="63">
        <v>123.2</v>
      </c>
      <c r="O234" s="60">
        <v>9</v>
      </c>
      <c r="P234" s="82">
        <v>0.26240000000000002</v>
      </c>
      <c r="Q234" s="82">
        <v>0.26319999999999999</v>
      </c>
      <c r="R234" s="88">
        <f t="shared" ref="R234" si="182">((K234-D234)/D234)</f>
        <v>5.0580833816855301E-3</v>
      </c>
      <c r="S234" s="88">
        <f t="shared" ref="S234" si="183">((N234-G234)/G234)</f>
        <v>0</v>
      </c>
      <c r="T234" s="88">
        <f t="shared" ref="T234" si="184">((O234-H234)/H234)</f>
        <v>0</v>
      </c>
      <c r="U234" s="88">
        <f t="shared" ref="U234" si="185">P234-I234</f>
        <v>-1.2999999999999678E-3</v>
      </c>
      <c r="V234" s="89">
        <f t="shared" ref="V234" si="186">Q234-J234</f>
        <v>-5.5999999999999939E-3</v>
      </c>
    </row>
    <row r="235" spans="1:22" ht="14.4" customHeight="1">
      <c r="A235" s="169">
        <v>3</v>
      </c>
      <c r="B235" s="167" t="s">
        <v>289</v>
      </c>
      <c r="C235" s="168" t="s">
        <v>32</v>
      </c>
      <c r="D235" s="64">
        <v>659391041.83218992</v>
      </c>
      <c r="E235" s="59">
        <f>(D235/$D$229)</f>
        <v>8.945485660316374E-3</v>
      </c>
      <c r="F235" s="63">
        <v>158098.353397</v>
      </c>
      <c r="G235" s="63">
        <v>158098.353397</v>
      </c>
      <c r="H235" s="60">
        <v>5</v>
      </c>
      <c r="I235" s="82">
        <v>8.0000000000000004E-4</v>
      </c>
      <c r="J235" s="82">
        <v>8.5300000000000001E-2</v>
      </c>
      <c r="K235" s="64">
        <f xml:space="preserve"> 458114.95*W136</f>
        <v>662774184.80439496</v>
      </c>
      <c r="L235" s="59">
        <f>(K235/$K$238)</f>
        <v>3.6165520543496608E-2</v>
      </c>
      <c r="M235" s="63">
        <f>109.84*W136</f>
        <v>158910.152264</v>
      </c>
      <c r="N235" s="63">
        <f>109.84*W136</f>
        <v>158910.152264</v>
      </c>
      <c r="O235" s="60">
        <v>6</v>
      </c>
      <c r="P235" s="82">
        <v>1.21E-2</v>
      </c>
      <c r="Q235" s="82">
        <v>9.8400000000000001E-2</v>
      </c>
      <c r="R235" s="88">
        <f t="shared" ref="R235:R236" si="187">((K235-D235)/D235)</f>
        <v>5.1307081194257829E-3</v>
      </c>
      <c r="S235" s="88">
        <f t="shared" ref="S235:S236" si="188">((N235-G235)/G235)</f>
        <v>5.1347711697002996E-3</v>
      </c>
      <c r="T235" s="88">
        <f t="shared" ref="T235:T236" si="189">((O235-H235)/H235)</f>
        <v>0.2</v>
      </c>
      <c r="U235" s="88">
        <f t="shared" ref="U235:U236" si="190">P235-I235</f>
        <v>1.1299999999999999E-2</v>
      </c>
      <c r="V235" s="89">
        <f t="shared" ref="V235:V236" si="191">Q235-J235</f>
        <v>1.3100000000000001E-2</v>
      </c>
    </row>
    <row r="236" spans="1:22" ht="14.4" customHeight="1">
      <c r="A236" s="169">
        <v>4</v>
      </c>
      <c r="B236" s="167" t="s">
        <v>290</v>
      </c>
      <c r="C236" s="168" t="s">
        <v>42</v>
      </c>
      <c r="D236" s="64">
        <v>11532717954.51</v>
      </c>
      <c r="E236" s="59">
        <f t="shared" si="175"/>
        <v>0.15645611866349454</v>
      </c>
      <c r="F236" s="63">
        <v>1.2</v>
      </c>
      <c r="G236" s="63">
        <v>1.2</v>
      </c>
      <c r="H236" s="60">
        <v>16</v>
      </c>
      <c r="I236" s="82">
        <v>-4.02E-2</v>
      </c>
      <c r="J236" s="82">
        <v>0.1676</v>
      </c>
      <c r="K236" s="64">
        <v>11587576935.6</v>
      </c>
      <c r="L236" s="59">
        <f>(K236/$K$238)</f>
        <v>0.63229793996498218</v>
      </c>
      <c r="M236" s="63">
        <v>1.26</v>
      </c>
      <c r="N236" s="63">
        <v>1.26</v>
      </c>
      <c r="O236" s="60">
        <v>16</v>
      </c>
      <c r="P236" s="82">
        <v>8.6999999999999994E-3</v>
      </c>
      <c r="Q236" s="82">
        <v>0.22839999999999999</v>
      </c>
      <c r="R236" s="88">
        <f t="shared" si="187"/>
        <v>4.7568128611475257E-3</v>
      </c>
      <c r="S236" s="88">
        <f t="shared" si="188"/>
        <v>5.0000000000000044E-2</v>
      </c>
      <c r="T236" s="88">
        <f t="shared" si="189"/>
        <v>0</v>
      </c>
      <c r="U236" s="88">
        <f t="shared" si="190"/>
        <v>4.8899999999999999E-2</v>
      </c>
      <c r="V236" s="89">
        <f t="shared" si="191"/>
        <v>6.0799999999999993E-2</v>
      </c>
    </row>
    <row r="237" spans="1:22" ht="14.4" customHeight="1">
      <c r="A237" s="169">
        <v>5</v>
      </c>
      <c r="B237" s="167" t="s">
        <v>291</v>
      </c>
      <c r="C237" s="168" t="s">
        <v>53</v>
      </c>
      <c r="D237" s="64">
        <v>166725531.62</v>
      </c>
      <c r="E237" s="59">
        <f t="shared" ref="E237" si="192">(D237/$D$229)</f>
        <v>2.2618457905815696E-3</v>
      </c>
      <c r="F237" s="63">
        <v>1.0972</v>
      </c>
      <c r="G237" s="63">
        <v>1.0972</v>
      </c>
      <c r="H237" s="60">
        <v>15</v>
      </c>
      <c r="I237" s="82">
        <v>-8.2000000000000007E-3</v>
      </c>
      <c r="J237" s="82">
        <v>9.7199999999999995E-2</v>
      </c>
      <c r="K237" s="64">
        <v>166877487.09</v>
      </c>
      <c r="L237" s="59">
        <f>(K237/$K$238)</f>
        <v>9.1059840983119481E-3</v>
      </c>
      <c r="M237" s="63">
        <v>1.0982000000000001</v>
      </c>
      <c r="N237" s="63">
        <v>1.0982000000000001</v>
      </c>
      <c r="O237" s="60">
        <v>15</v>
      </c>
      <c r="P237" s="82">
        <v>5.0000000000000001E-4</v>
      </c>
      <c r="Q237" s="82">
        <v>9.8199999999999996E-2</v>
      </c>
      <c r="R237" s="88">
        <f t="shared" ref="R237:R238" si="193">((K237-D237)/D237)</f>
        <v>9.1141091903269476E-4</v>
      </c>
      <c r="S237" s="88">
        <f t="shared" ref="S237" si="194">((N237-G237)/G237)</f>
        <v>9.1141086401760115E-4</v>
      </c>
      <c r="T237" s="88">
        <f t="shared" ref="T237" si="195">((O237-H237)/H237)</f>
        <v>0</v>
      </c>
      <c r="U237" s="88">
        <f t="shared" ref="U237" si="196">P237-I237</f>
        <v>8.7000000000000011E-3</v>
      </c>
      <c r="V237" s="89">
        <f t="shared" ref="V237" si="197">Q237-J237</f>
        <v>1.0000000000000009E-3</v>
      </c>
    </row>
    <row r="238" spans="1:22" ht="14.4" customHeight="1">
      <c r="A238" s="122"/>
      <c r="B238" s="122"/>
      <c r="C238" s="122" t="s">
        <v>56</v>
      </c>
      <c r="D238" s="122">
        <f>SUM(D233:D237)</f>
        <v>18299679478.266735</v>
      </c>
      <c r="E238" s="122"/>
      <c r="F238" s="122"/>
      <c r="G238" s="122"/>
      <c r="H238" s="122">
        <f>SUM(H233:H237)</f>
        <v>95</v>
      </c>
      <c r="I238" s="122"/>
      <c r="J238" s="122"/>
      <c r="K238" s="122">
        <f>SUM(K233:K237)</f>
        <v>18326134252.851974</v>
      </c>
      <c r="L238" s="71"/>
      <c r="M238" s="122"/>
      <c r="N238" s="122"/>
      <c r="O238" s="122">
        <f>SUM(O233:O237)</f>
        <v>95</v>
      </c>
      <c r="P238" s="122"/>
      <c r="Q238" s="122"/>
      <c r="R238" s="136">
        <f t="shared" si="193"/>
        <v>1.4456414177449347E-3</v>
      </c>
      <c r="S238" s="122"/>
      <c r="T238" s="122"/>
      <c r="U238" s="122"/>
      <c r="V238" s="122"/>
    </row>
    <row r="239" spans="1:22" ht="6" customHeight="1">
      <c r="A239" s="67"/>
      <c r="B239" s="75"/>
      <c r="C239" s="103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68"/>
    </row>
    <row r="240" spans="1:22" ht="15.6">
      <c r="A240" s="190" t="s">
        <v>292</v>
      </c>
      <c r="B240" s="190"/>
      <c r="C240" s="190"/>
      <c r="D240" s="190"/>
      <c r="E240" s="190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</row>
    <row r="241" spans="1:22">
      <c r="A241" s="169">
        <v>1</v>
      </c>
      <c r="B241" s="167" t="s">
        <v>293</v>
      </c>
      <c r="C241" s="168" t="s">
        <v>294</v>
      </c>
      <c r="D241" s="64">
        <v>114390469985</v>
      </c>
      <c r="E241" s="59">
        <f>(D241/$D$243)</f>
        <v>0.88364462564835655</v>
      </c>
      <c r="F241" s="92">
        <v>108.35</v>
      </c>
      <c r="G241" s="92">
        <v>108.35</v>
      </c>
      <c r="H241" s="60">
        <v>0</v>
      </c>
      <c r="I241" s="82">
        <v>0.23899999999999999</v>
      </c>
      <c r="J241" s="82">
        <v>0.23899999999999999</v>
      </c>
      <c r="K241" s="64">
        <v>131430219149</v>
      </c>
      <c r="L241" s="59">
        <f>(K241/$K$243)</f>
        <v>0.89695454940990071</v>
      </c>
      <c r="M241" s="92">
        <v>108.35</v>
      </c>
      <c r="N241" s="92">
        <v>108.35</v>
      </c>
      <c r="O241" s="60">
        <v>0</v>
      </c>
      <c r="P241" s="82">
        <v>0.15</v>
      </c>
      <c r="Q241" s="82">
        <v>0.15</v>
      </c>
      <c r="R241" s="88">
        <f>((K241-D241)/D241)</f>
        <v>0.14896126544662697</v>
      </c>
      <c r="S241" s="88">
        <f>((N241-G241)/G241)</f>
        <v>0</v>
      </c>
      <c r="T241" s="88" t="e">
        <f>((O241-H241)/H241)</f>
        <v>#DIV/0!</v>
      </c>
      <c r="U241" s="88">
        <f>P241-I241</f>
        <v>-8.8999999999999996E-2</v>
      </c>
      <c r="V241" s="89">
        <f>Q241-J241</f>
        <v>-8.8999999999999996E-2</v>
      </c>
    </row>
    <row r="242" spans="1:22" ht="14.4" customHeight="1">
      <c r="A242" s="169">
        <v>2</v>
      </c>
      <c r="B242" s="167" t="s">
        <v>295</v>
      </c>
      <c r="C242" s="168" t="s">
        <v>53</v>
      </c>
      <c r="D242" s="64">
        <v>15062555207.190001</v>
      </c>
      <c r="E242" s="59">
        <f>(D242/$D$243)</f>
        <v>0.11635537435164348</v>
      </c>
      <c r="F242" s="123">
        <v>1000000</v>
      </c>
      <c r="G242" s="123">
        <v>1000000</v>
      </c>
      <c r="H242" s="60">
        <v>26</v>
      </c>
      <c r="I242" s="82">
        <v>0.20949999999999999</v>
      </c>
      <c r="J242" s="82">
        <v>0.2094</v>
      </c>
      <c r="K242" s="64">
        <v>15099188874.48</v>
      </c>
      <c r="L242" s="59">
        <f>(K242/$K$243)</f>
        <v>0.10304545059009923</v>
      </c>
      <c r="M242" s="123">
        <v>1000000</v>
      </c>
      <c r="N242" s="123">
        <v>1000000</v>
      </c>
      <c r="O242" s="60">
        <v>26</v>
      </c>
      <c r="P242" s="82">
        <v>0.2082</v>
      </c>
      <c r="Q242" s="82">
        <v>0.2082</v>
      </c>
      <c r="R242" s="88">
        <f>((K242-D242)/D242)</f>
        <v>2.4321017772942133E-3</v>
      </c>
      <c r="S242" s="88">
        <f>((N242-G242)/G242)</f>
        <v>0</v>
      </c>
      <c r="T242" s="88">
        <f>((O242-H242)/H242)</f>
        <v>0</v>
      </c>
      <c r="U242" s="88">
        <f>P242-I242</f>
        <v>-1.2999999999999956E-3</v>
      </c>
      <c r="V242" s="89">
        <f>Q242-J242</f>
        <v>-1.2000000000000066E-3</v>
      </c>
    </row>
    <row r="243" spans="1:22" ht="15" customHeight="1">
      <c r="A243" s="117"/>
      <c r="B243" s="117"/>
      <c r="C243" s="118" t="s">
        <v>296</v>
      </c>
      <c r="D243" s="122">
        <f>SUM(D241:D242)</f>
        <v>129453025192.19</v>
      </c>
      <c r="E243" s="124"/>
      <c r="F243" s="125"/>
      <c r="G243" s="125"/>
      <c r="H243" s="122">
        <f>SUM(H241:H242)</f>
        <v>26</v>
      </c>
      <c r="I243" s="133"/>
      <c r="J243" s="133"/>
      <c r="K243" s="122">
        <f>SUM(K241:K242)</f>
        <v>146529408023.48001</v>
      </c>
      <c r="L243" s="124"/>
      <c r="M243" s="125"/>
      <c r="N243" s="125"/>
      <c r="O243" s="122">
        <f>SUM(O241:O242)</f>
        <v>26</v>
      </c>
      <c r="P243" s="133"/>
      <c r="Q243" s="122"/>
      <c r="R243" s="136">
        <f>((K243-D243)/D243)</f>
        <v>0.13191180975444861</v>
      </c>
      <c r="S243" s="137"/>
      <c r="T243" s="137"/>
      <c r="U243" s="136"/>
      <c r="V243" s="138"/>
    </row>
    <row r="244" spans="1:22" ht="4.5" customHeight="1">
      <c r="A244" s="67"/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</row>
    <row r="245" spans="1:22" ht="15.6">
      <c r="A245" s="190" t="s">
        <v>297</v>
      </c>
      <c r="B245" s="190"/>
      <c r="C245" s="190"/>
      <c r="D245" s="190"/>
      <c r="E245" s="190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</row>
    <row r="246" spans="1:22">
      <c r="A246" s="169">
        <v>1</v>
      </c>
      <c r="B246" s="167" t="s">
        <v>298</v>
      </c>
      <c r="C246" s="168" t="s">
        <v>94</v>
      </c>
      <c r="D246" s="126">
        <v>1368428257.0699999</v>
      </c>
      <c r="E246" s="127">
        <f t="shared" ref="E246:E257" si="198">(D246/$D$258)</f>
        <v>8.0896385600336157E-2</v>
      </c>
      <c r="F246" s="123">
        <v>334.36509135</v>
      </c>
      <c r="G246" s="123">
        <v>334.36509135</v>
      </c>
      <c r="H246" s="128">
        <v>266</v>
      </c>
      <c r="I246" s="84">
        <v>-2.0299999999999999E-2</v>
      </c>
      <c r="J246" s="84">
        <v>0.37130000000000002</v>
      </c>
      <c r="K246" s="126">
        <v>1359464958.3800001</v>
      </c>
      <c r="L246" s="127">
        <f t="shared" ref="L246:L257" si="199">(K246/$K$258)</f>
        <v>8.0096082289399184E-2</v>
      </c>
      <c r="M246" s="123">
        <v>332.17</v>
      </c>
      <c r="N246" s="123">
        <v>332.17</v>
      </c>
      <c r="O246" s="128">
        <v>266</v>
      </c>
      <c r="P246" s="84">
        <v>-6.4000000000000003E-3</v>
      </c>
      <c r="Q246" s="84">
        <v>0.36230000000000001</v>
      </c>
      <c r="R246" s="88">
        <f>((K246-D246)/D246)</f>
        <v>-6.5500684041642923E-3</v>
      </c>
      <c r="S246" s="88">
        <f>((N246-G246)/G246)</f>
        <v>-6.5649537191137287E-3</v>
      </c>
      <c r="T246" s="88">
        <f>((O246-H246)/H246)</f>
        <v>0</v>
      </c>
      <c r="U246" s="88">
        <f>P246-I246</f>
        <v>1.3899999999999999E-2</v>
      </c>
      <c r="V246" s="89">
        <f>Q246-J246</f>
        <v>-9.000000000000008E-3</v>
      </c>
    </row>
    <row r="247" spans="1:22">
      <c r="A247" s="169">
        <v>2</v>
      </c>
      <c r="B247" s="167" t="s">
        <v>299</v>
      </c>
      <c r="C247" s="168" t="s">
        <v>260</v>
      </c>
      <c r="D247" s="126">
        <v>1940370352.8800001</v>
      </c>
      <c r="E247" s="127">
        <f t="shared" si="198"/>
        <v>0.11470747367504215</v>
      </c>
      <c r="F247" s="123">
        <v>55.19</v>
      </c>
      <c r="G247" s="123">
        <v>60.99</v>
      </c>
      <c r="H247" s="128">
        <v>238</v>
      </c>
      <c r="I247" s="84">
        <v>-2.5700000000000001E-2</v>
      </c>
      <c r="J247" s="84">
        <v>0.80030000000000001</v>
      </c>
      <c r="K247" s="126">
        <v>1948526493.6700001</v>
      </c>
      <c r="L247" s="127">
        <f t="shared" si="199"/>
        <v>0.11480203106231297</v>
      </c>
      <c r="M247" s="123">
        <v>55.42</v>
      </c>
      <c r="N247" s="123">
        <v>61.26</v>
      </c>
      <c r="O247" s="128">
        <v>238</v>
      </c>
      <c r="P247" s="84">
        <v>2.7000000000000001E-3</v>
      </c>
      <c r="Q247" s="84">
        <v>0.80779999999999996</v>
      </c>
      <c r="R247" s="88">
        <f t="shared" ref="R247:R258" si="200">((K247-D247)/D247)</f>
        <v>4.2033938407140614E-3</v>
      </c>
      <c r="S247" s="88">
        <f t="shared" ref="S247:S258" si="201">((N247-G247)/G247)</f>
        <v>4.4269552385636339E-3</v>
      </c>
      <c r="T247" s="88">
        <f t="shared" ref="T247:T258" si="202">((O247-H247)/H247)</f>
        <v>0</v>
      </c>
      <c r="U247" s="88">
        <f t="shared" ref="U247:U258" si="203">P247-I247</f>
        <v>2.8400000000000002E-2</v>
      </c>
      <c r="V247" s="89">
        <f t="shared" ref="V247:V258" si="204">Q247-J247</f>
        <v>7.4999999999999512E-3</v>
      </c>
    </row>
    <row r="248" spans="1:22">
      <c r="A248" s="169">
        <v>3</v>
      </c>
      <c r="B248" s="167" t="s">
        <v>300</v>
      </c>
      <c r="C248" s="168" t="s">
        <v>44</v>
      </c>
      <c r="D248" s="126">
        <v>472736285.10000002</v>
      </c>
      <c r="E248" s="127">
        <f t="shared" si="198"/>
        <v>2.7946409765465551E-2</v>
      </c>
      <c r="F248" s="123">
        <v>39.386485</v>
      </c>
      <c r="G248" s="123">
        <v>39.661856</v>
      </c>
      <c r="H248" s="128">
        <v>218</v>
      </c>
      <c r="I248" s="84">
        <v>-2.1700000000000001E-2</v>
      </c>
      <c r="J248" s="84">
        <v>0.37490000000000001</v>
      </c>
      <c r="K248" s="126">
        <v>475127537.70999998</v>
      </c>
      <c r="L248" s="127">
        <f t="shared" si="199"/>
        <v>2.7993258762424336E-2</v>
      </c>
      <c r="M248" s="123">
        <v>39.72</v>
      </c>
      <c r="N248" s="123">
        <v>40.020000000000003</v>
      </c>
      <c r="O248" s="128">
        <v>218</v>
      </c>
      <c r="P248" s="84">
        <v>5.1000000000000004E-3</v>
      </c>
      <c r="Q248" s="84">
        <v>0.38700000000000001</v>
      </c>
      <c r="R248" s="88">
        <f t="shared" si="200"/>
        <v>5.0583225476210749E-3</v>
      </c>
      <c r="S248" s="88">
        <f t="shared" si="201"/>
        <v>9.0299354624252311E-3</v>
      </c>
      <c r="T248" s="88">
        <f t="shared" si="202"/>
        <v>0</v>
      </c>
      <c r="U248" s="88">
        <f t="shared" si="203"/>
        <v>2.6800000000000001E-2</v>
      </c>
      <c r="V248" s="89">
        <f t="shared" si="204"/>
        <v>1.21E-2</v>
      </c>
    </row>
    <row r="249" spans="1:22">
      <c r="A249" s="169">
        <v>4</v>
      </c>
      <c r="B249" s="167" t="s">
        <v>301</v>
      </c>
      <c r="C249" s="168" t="s">
        <v>44</v>
      </c>
      <c r="D249" s="126">
        <v>912522758.73000002</v>
      </c>
      <c r="E249" s="127">
        <f t="shared" si="198"/>
        <v>5.3944949308020941E-2</v>
      </c>
      <c r="F249" s="123">
        <v>77.489385999999996</v>
      </c>
      <c r="G249" s="123">
        <v>77.822964999999996</v>
      </c>
      <c r="H249" s="128">
        <v>261</v>
      </c>
      <c r="I249" s="84">
        <v>-4.3700000000000003E-2</v>
      </c>
      <c r="J249" s="84">
        <v>0.16700000000000001</v>
      </c>
      <c r="K249" s="126">
        <v>912870014.09000003</v>
      </c>
      <c r="L249" s="127">
        <f t="shared" si="199"/>
        <v>5.3783888519794973E-2</v>
      </c>
      <c r="M249" s="123">
        <v>77.518873999999997</v>
      </c>
      <c r="N249" s="123">
        <v>77.879357999999996</v>
      </c>
      <c r="O249" s="128">
        <v>261</v>
      </c>
      <c r="P249" s="84">
        <v>4.0000000000000002E-4</v>
      </c>
      <c r="Q249" s="84">
        <v>0.1676</v>
      </c>
      <c r="R249" s="88">
        <f t="shared" si="200"/>
        <v>3.8054432799386354E-4</v>
      </c>
      <c r="S249" s="88">
        <f t="shared" si="201"/>
        <v>7.2463186155911582E-4</v>
      </c>
      <c r="T249" s="88">
        <f t="shared" si="202"/>
        <v>0</v>
      </c>
      <c r="U249" s="88">
        <f t="shared" si="203"/>
        <v>4.41E-2</v>
      </c>
      <c r="V249" s="89">
        <f t="shared" si="204"/>
        <v>5.9999999999998943E-4</v>
      </c>
    </row>
    <row r="250" spans="1:22">
      <c r="A250" s="169">
        <v>5</v>
      </c>
      <c r="B250" s="167" t="s">
        <v>302</v>
      </c>
      <c r="C250" s="168" t="s">
        <v>303</v>
      </c>
      <c r="D250" s="126">
        <v>1848565971.5599999</v>
      </c>
      <c r="E250" s="127">
        <f t="shared" si="198"/>
        <v>0.1092803403250158</v>
      </c>
      <c r="F250" s="123">
        <v>52810</v>
      </c>
      <c r="G250" s="123">
        <v>56210</v>
      </c>
      <c r="H250" s="128">
        <v>313</v>
      </c>
      <c r="I250" s="84">
        <v>0.01</v>
      </c>
      <c r="J250" s="84">
        <v>0.47</v>
      </c>
      <c r="K250" s="126">
        <v>1890547365.71</v>
      </c>
      <c r="L250" s="127">
        <f t="shared" si="199"/>
        <v>0.11138605408142363</v>
      </c>
      <c r="M250" s="123">
        <v>55200</v>
      </c>
      <c r="N250" s="123">
        <v>58750</v>
      </c>
      <c r="O250" s="128">
        <v>313</v>
      </c>
      <c r="P250" s="84">
        <v>2.3E-2</v>
      </c>
      <c r="Q250" s="84">
        <v>0.5</v>
      </c>
      <c r="R250" s="88">
        <f t="shared" si="200"/>
        <v>2.2710249347807753E-2</v>
      </c>
      <c r="S250" s="88">
        <f t="shared" si="201"/>
        <v>4.5187689023305465E-2</v>
      </c>
      <c r="T250" s="88">
        <f t="shared" si="202"/>
        <v>0</v>
      </c>
      <c r="U250" s="88">
        <f t="shared" si="203"/>
        <v>1.2999999999999999E-2</v>
      </c>
      <c r="V250" s="89">
        <f t="shared" si="204"/>
        <v>3.0000000000000027E-2</v>
      </c>
    </row>
    <row r="251" spans="1:22">
      <c r="A251" s="169">
        <v>6</v>
      </c>
      <c r="B251" s="167" t="s">
        <v>304</v>
      </c>
      <c r="C251" s="168" t="s">
        <v>305</v>
      </c>
      <c r="D251" s="126">
        <v>897978875.88</v>
      </c>
      <c r="E251" s="127">
        <f t="shared" si="198"/>
        <v>5.3085169082728846E-2</v>
      </c>
      <c r="F251" s="123">
        <v>600</v>
      </c>
      <c r="G251" s="123">
        <v>600</v>
      </c>
      <c r="H251" s="128">
        <v>162</v>
      </c>
      <c r="I251" s="84">
        <v>-2.4400000000000002E-2</v>
      </c>
      <c r="J251" s="84">
        <v>0.39029999999999998</v>
      </c>
      <c r="K251" s="126">
        <v>901776266.44000006</v>
      </c>
      <c r="L251" s="127">
        <f t="shared" si="199"/>
        <v>5.3130274228970528E-2</v>
      </c>
      <c r="M251" s="123">
        <v>700</v>
      </c>
      <c r="N251" s="123">
        <v>700</v>
      </c>
      <c r="O251" s="128">
        <v>162</v>
      </c>
      <c r="P251" s="84">
        <v>4.1999999999999997E-3</v>
      </c>
      <c r="Q251" s="84">
        <v>0.39600000000000002</v>
      </c>
      <c r="R251" s="88">
        <f t="shared" si="200"/>
        <v>4.2288194767150849E-3</v>
      </c>
      <c r="S251" s="88">
        <f t="shared" si="201"/>
        <v>0.16666666666666666</v>
      </c>
      <c r="T251" s="88">
        <f t="shared" si="202"/>
        <v>0</v>
      </c>
      <c r="U251" s="88">
        <f t="shared" si="203"/>
        <v>2.86E-2</v>
      </c>
      <c r="V251" s="89">
        <f t="shared" si="204"/>
        <v>5.7000000000000384E-3</v>
      </c>
    </row>
    <row r="252" spans="1:22">
      <c r="A252" s="169">
        <v>7</v>
      </c>
      <c r="B252" s="167" t="s">
        <v>306</v>
      </c>
      <c r="C252" s="168" t="s">
        <v>305</v>
      </c>
      <c r="D252" s="126">
        <v>996550612.95000005</v>
      </c>
      <c r="E252" s="127">
        <f t="shared" si="198"/>
        <v>5.8912363318240582E-2</v>
      </c>
      <c r="F252" s="123">
        <v>804.99</v>
      </c>
      <c r="G252" s="123">
        <v>804.99</v>
      </c>
      <c r="H252" s="128">
        <v>1316</v>
      </c>
      <c r="I252" s="84">
        <v>-2.2599999999999999E-2</v>
      </c>
      <c r="J252" s="84">
        <v>0.376</v>
      </c>
      <c r="K252" s="126">
        <v>993994675.99000001</v>
      </c>
      <c r="L252" s="127">
        <f t="shared" si="199"/>
        <v>5.8563539186911186E-2</v>
      </c>
      <c r="M252" s="123">
        <v>1048</v>
      </c>
      <c r="N252" s="123">
        <v>1048</v>
      </c>
      <c r="O252" s="128">
        <v>1316</v>
      </c>
      <c r="P252" s="84">
        <v>-2.5999999999999999E-3</v>
      </c>
      <c r="Q252" s="84">
        <v>0.3725</v>
      </c>
      <c r="R252" s="88">
        <f t="shared" si="200"/>
        <v>-2.5647838923443392E-3</v>
      </c>
      <c r="S252" s="88">
        <f t="shared" si="201"/>
        <v>0.30187952645374477</v>
      </c>
      <c r="T252" s="88">
        <f t="shared" si="202"/>
        <v>0</v>
      </c>
      <c r="U252" s="88">
        <f t="shared" si="203"/>
        <v>1.9999999999999997E-2</v>
      </c>
      <c r="V252" s="89">
        <f t="shared" si="204"/>
        <v>-3.5000000000000031E-3</v>
      </c>
    </row>
    <row r="253" spans="1:22">
      <c r="A253" s="169">
        <v>8</v>
      </c>
      <c r="B253" s="167" t="s">
        <v>307</v>
      </c>
      <c r="C253" s="168" t="s">
        <v>308</v>
      </c>
      <c r="D253" s="126">
        <v>155232800.43000001</v>
      </c>
      <c r="E253" s="127">
        <f t="shared" si="198"/>
        <v>9.1767854226375671E-3</v>
      </c>
      <c r="F253" s="123">
        <v>34.4</v>
      </c>
      <c r="G253" s="123">
        <v>34.5</v>
      </c>
      <c r="H253" s="128">
        <v>134</v>
      </c>
      <c r="I253" s="84">
        <v>7.3599999999999999E-2</v>
      </c>
      <c r="J253" s="84">
        <v>1.0348999999999999</v>
      </c>
      <c r="K253" s="126">
        <v>153986726.88</v>
      </c>
      <c r="L253" s="127">
        <f t="shared" si="199"/>
        <v>9.0724909617038978E-3</v>
      </c>
      <c r="M253" s="123">
        <v>34.159999999999997</v>
      </c>
      <c r="N253" s="123">
        <v>34.26</v>
      </c>
      <c r="O253" s="128">
        <v>209</v>
      </c>
      <c r="P253" s="84">
        <v>8.5699999999999998E-2</v>
      </c>
      <c r="Q253" s="84">
        <v>1.2093</v>
      </c>
      <c r="R253" s="88">
        <f t="shared" si="200"/>
        <v>-8.0271279429885104E-3</v>
      </c>
      <c r="S253" s="88">
        <f t="shared" si="201"/>
        <v>-6.9565217391304923E-3</v>
      </c>
      <c r="T253" s="88">
        <f t="shared" si="202"/>
        <v>0.55970149253731338</v>
      </c>
      <c r="U253" s="88">
        <f t="shared" si="203"/>
        <v>1.21E-2</v>
      </c>
      <c r="V253" s="89">
        <f t="shared" si="204"/>
        <v>0.17440000000000011</v>
      </c>
    </row>
    <row r="254" spans="1:22">
      <c r="A254" s="169">
        <v>9</v>
      </c>
      <c r="B254" s="167" t="s">
        <v>309</v>
      </c>
      <c r="C254" s="168" t="s">
        <v>308</v>
      </c>
      <c r="D254" s="129">
        <v>840660525.89999998</v>
      </c>
      <c r="E254" s="127">
        <f t="shared" si="198"/>
        <v>4.9696721556889784E-2</v>
      </c>
      <c r="F254" s="123">
        <v>13.68</v>
      </c>
      <c r="G254" s="123">
        <v>13.78</v>
      </c>
      <c r="H254" s="128">
        <v>334</v>
      </c>
      <c r="I254" s="84">
        <v>-5.11E-2</v>
      </c>
      <c r="J254" s="84">
        <v>0.19270000000000001</v>
      </c>
      <c r="K254" s="129">
        <v>855828592.63999999</v>
      </c>
      <c r="L254" s="127">
        <f t="shared" si="199"/>
        <v>5.0423158728121718E-2</v>
      </c>
      <c r="M254" s="123">
        <v>13.77</v>
      </c>
      <c r="N254" s="123">
        <v>13.87</v>
      </c>
      <c r="O254" s="128">
        <v>354</v>
      </c>
      <c r="P254" s="84">
        <v>3.85E-2</v>
      </c>
      <c r="Q254" s="84">
        <v>0.23849999999999999</v>
      </c>
      <c r="R254" s="88">
        <f t="shared" si="200"/>
        <v>1.8043034343454247E-2</v>
      </c>
      <c r="S254" s="88">
        <f t="shared" si="201"/>
        <v>6.5312046444121813E-3</v>
      </c>
      <c r="T254" s="88">
        <f t="shared" si="202"/>
        <v>5.9880239520958084E-2</v>
      </c>
      <c r="U254" s="88">
        <f t="shared" si="203"/>
        <v>8.9599999999999999E-2</v>
      </c>
      <c r="V254" s="89">
        <f t="shared" si="204"/>
        <v>4.579999999999998E-2</v>
      </c>
    </row>
    <row r="255" spans="1:22" ht="15" customHeight="1">
      <c r="A255" s="169">
        <v>10</v>
      </c>
      <c r="B255" s="167" t="s">
        <v>310</v>
      </c>
      <c r="C255" s="168" t="s">
        <v>308</v>
      </c>
      <c r="D255" s="126">
        <v>150233362.74000001</v>
      </c>
      <c r="E255" s="127">
        <f t="shared" si="198"/>
        <v>8.8812372730977078E-3</v>
      </c>
      <c r="F255" s="123">
        <v>145.41</v>
      </c>
      <c r="G255" s="123">
        <v>147.41</v>
      </c>
      <c r="H255" s="128">
        <v>405</v>
      </c>
      <c r="I255" s="84">
        <v>-2.7900000000000001E-2</v>
      </c>
      <c r="J255" s="84">
        <v>1.95E-2</v>
      </c>
      <c r="K255" s="126">
        <v>149984571.19</v>
      </c>
      <c r="L255" s="127">
        <f t="shared" si="199"/>
        <v>8.8366945261244053E-3</v>
      </c>
      <c r="M255" s="123">
        <v>145.16999999999999</v>
      </c>
      <c r="N255" s="123">
        <v>145.16999999999999</v>
      </c>
      <c r="O255" s="128">
        <v>409</v>
      </c>
      <c r="P255" s="84">
        <v>-5.0000000000000001E-4</v>
      </c>
      <c r="Q255" s="84">
        <v>1.9E-2</v>
      </c>
      <c r="R255" s="88">
        <f t="shared" si="200"/>
        <v>-1.6560339558569339E-3</v>
      </c>
      <c r="S255" s="88">
        <f t="shared" si="201"/>
        <v>-1.5195712638219993E-2</v>
      </c>
      <c r="T255" s="88">
        <f t="shared" si="202"/>
        <v>9.876543209876543E-3</v>
      </c>
      <c r="U255" s="88">
        <f t="shared" si="203"/>
        <v>2.7400000000000001E-2</v>
      </c>
      <c r="V255" s="89">
        <f t="shared" si="204"/>
        <v>-5.0000000000000044E-4</v>
      </c>
    </row>
    <row r="256" spans="1:22">
      <c r="A256" s="169">
        <v>11</v>
      </c>
      <c r="B256" s="167" t="s">
        <v>311</v>
      </c>
      <c r="C256" s="168" t="s">
        <v>308</v>
      </c>
      <c r="D256" s="126">
        <v>7241563253.8999996</v>
      </c>
      <c r="E256" s="127">
        <f t="shared" si="198"/>
        <v>0.42809426823079172</v>
      </c>
      <c r="F256" s="123">
        <v>52.86</v>
      </c>
      <c r="G256" s="123">
        <v>53.06</v>
      </c>
      <c r="H256" s="128">
        <v>648</v>
      </c>
      <c r="I256" s="84">
        <v>0.1636</v>
      </c>
      <c r="J256" s="84">
        <v>0.70209999999999995</v>
      </c>
      <c r="K256" s="126">
        <v>7241764355.7299995</v>
      </c>
      <c r="L256" s="127">
        <f t="shared" si="199"/>
        <v>0.42666561589655549</v>
      </c>
      <c r="M256" s="123">
        <v>52.74</v>
      </c>
      <c r="N256" s="123">
        <v>52.94</v>
      </c>
      <c r="O256" s="128">
        <v>661</v>
      </c>
      <c r="P256" s="84">
        <v>-9.2200000000000004E-2</v>
      </c>
      <c r="Q256" s="84">
        <v>0.54520000000000002</v>
      </c>
      <c r="R256" s="88">
        <f t="shared" si="200"/>
        <v>2.777049967651926E-5</v>
      </c>
      <c r="S256" s="88">
        <f t="shared" si="201"/>
        <v>-2.261590652092057E-3</v>
      </c>
      <c r="T256" s="88">
        <f t="shared" si="202"/>
        <v>2.0061728395061727E-2</v>
      </c>
      <c r="U256" s="88">
        <f t="shared" si="203"/>
        <v>-0.25580000000000003</v>
      </c>
      <c r="V256" s="89">
        <f t="shared" si="204"/>
        <v>-0.15689999999999993</v>
      </c>
    </row>
    <row r="257" spans="1:26">
      <c r="A257" s="169">
        <v>12</v>
      </c>
      <c r="B257" s="167" t="s">
        <v>312</v>
      </c>
      <c r="C257" s="168" t="s">
        <v>308</v>
      </c>
      <c r="D257" s="129">
        <v>90971498.909999996</v>
      </c>
      <c r="E257" s="127">
        <f t="shared" si="198"/>
        <v>5.3778964417332022E-3</v>
      </c>
      <c r="F257" s="123">
        <v>52.24</v>
      </c>
      <c r="G257" s="123">
        <v>52.44</v>
      </c>
      <c r="H257" s="128">
        <v>185</v>
      </c>
      <c r="I257" s="84">
        <v>-6.6699999999999995E-2</v>
      </c>
      <c r="J257" s="84">
        <v>0.33810000000000001</v>
      </c>
      <c r="K257" s="129">
        <v>89055450.260000005</v>
      </c>
      <c r="L257" s="127">
        <f t="shared" si="199"/>
        <v>5.2469117562577361E-3</v>
      </c>
      <c r="M257" s="123">
        <v>51.24</v>
      </c>
      <c r="N257" s="123">
        <v>51.44</v>
      </c>
      <c r="O257" s="128">
        <v>206</v>
      </c>
      <c r="P257" s="84">
        <v>-7.1400000000000005E-2</v>
      </c>
      <c r="Q257" s="84">
        <v>0.24249999999999999</v>
      </c>
      <c r="R257" s="88">
        <f t="shared" si="200"/>
        <v>-2.106207628716306E-2</v>
      </c>
      <c r="S257" s="88">
        <f t="shared" si="201"/>
        <v>-1.9069412662090009E-2</v>
      </c>
      <c r="T257" s="88">
        <f t="shared" si="202"/>
        <v>0.11351351351351352</v>
      </c>
      <c r="U257" s="88">
        <f t="shared" si="203"/>
        <v>-4.7000000000000097E-3</v>
      </c>
      <c r="V257" s="89">
        <f t="shared" si="204"/>
        <v>-9.5600000000000018E-2</v>
      </c>
    </row>
    <row r="258" spans="1:26">
      <c r="A258" s="139"/>
      <c r="B258" s="139"/>
      <c r="C258" s="140" t="s">
        <v>313</v>
      </c>
      <c r="D258" s="122">
        <f>SUM(D246:D257)</f>
        <v>16915814556.049999</v>
      </c>
      <c r="E258" s="124"/>
      <c r="F258" s="124"/>
      <c r="G258" s="125"/>
      <c r="H258" s="122">
        <f>SUM(H246:H257)</f>
        <v>4480</v>
      </c>
      <c r="I258" s="133"/>
      <c r="J258" s="133"/>
      <c r="K258" s="122">
        <f>SUM(K246:K257)</f>
        <v>16972927008.689999</v>
      </c>
      <c r="L258" s="124"/>
      <c r="M258" s="124"/>
      <c r="N258" s="125"/>
      <c r="O258" s="122">
        <f>SUM(O246:O257)</f>
        <v>4613</v>
      </c>
      <c r="P258" s="133"/>
      <c r="Q258" s="133"/>
      <c r="R258" s="88">
        <f t="shared" si="200"/>
        <v>3.3762756413981214E-3</v>
      </c>
      <c r="S258" s="88" t="e">
        <f t="shared" si="201"/>
        <v>#DIV/0!</v>
      </c>
      <c r="T258" s="88">
        <f t="shared" si="202"/>
        <v>2.9687499999999999E-2</v>
      </c>
      <c r="U258" s="88">
        <f t="shared" si="203"/>
        <v>0</v>
      </c>
      <c r="V258" s="89">
        <f t="shared" si="204"/>
        <v>0</v>
      </c>
      <c r="Z258" s="97"/>
    </row>
    <row r="259" spans="1:26">
      <c r="A259" s="141"/>
      <c r="B259" s="141"/>
      <c r="C259" s="142" t="s">
        <v>314</v>
      </c>
      <c r="D259" s="143">
        <f>SUM(D230,D238,D243,D258)</f>
        <v>7424599531080.9277</v>
      </c>
      <c r="E259" s="144"/>
      <c r="F259" s="144"/>
      <c r="G259" s="145"/>
      <c r="H259" s="143">
        <f>SUM(H230,H238,H243,H258)</f>
        <v>1078821</v>
      </c>
      <c r="I259" s="156"/>
      <c r="J259" s="156"/>
      <c r="K259" s="143">
        <f>SUM(K230,K238,K243,K258)</f>
        <v>7598369629761.166</v>
      </c>
      <c r="L259" s="144"/>
      <c r="M259" s="144"/>
      <c r="N259" s="143"/>
      <c r="O259" s="143">
        <f>SUM(O230,O238,O243,O258)</f>
        <v>1081598.01</v>
      </c>
      <c r="P259" s="157"/>
      <c r="Q259" s="143"/>
      <c r="R259" s="161"/>
      <c r="S259" s="162"/>
      <c r="T259" s="162"/>
      <c r="U259" s="163"/>
      <c r="V259" s="163"/>
      <c r="Z259" s="97"/>
    </row>
    <row r="260" spans="1:26">
      <c r="A260" s="146" t="s">
        <v>315</v>
      </c>
      <c r="B260" s="147" t="s">
        <v>334</v>
      </c>
      <c r="C260" s="148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148"/>
      <c r="O260" s="148"/>
      <c r="P260" s="148"/>
      <c r="Q260" s="148"/>
      <c r="R260" s="148"/>
      <c r="S260" s="148"/>
      <c r="T260" s="148"/>
      <c r="U260" s="148"/>
      <c r="V260" s="148"/>
    </row>
    <row r="261" spans="1:26">
      <c r="B261" s="149"/>
    </row>
    <row r="262" spans="1:26">
      <c r="B262" s="149"/>
      <c r="C262" s="150"/>
      <c r="D262" s="151"/>
      <c r="K262" s="151"/>
    </row>
    <row r="263" spans="1:26" ht="15">
      <c r="B263" s="152"/>
      <c r="C263" s="153"/>
      <c r="D263" s="154"/>
      <c r="F263" s="155"/>
      <c r="G263" s="155"/>
      <c r="I263" s="158"/>
      <c r="J263" s="159"/>
    </row>
    <row r="264" spans="1:26">
      <c r="C264" s="149"/>
    </row>
    <row r="265" spans="1:26">
      <c r="K265" s="135"/>
    </row>
    <row r="266" spans="1:26">
      <c r="B266" s="150"/>
    </row>
    <row r="267" spans="1:26">
      <c r="K267" s="160"/>
    </row>
  </sheetData>
  <sheetProtection algorithmName="SHA-512" hashValue="MPLDrJ74lv58gMM1aPcL2Zn5jwLtKgZwKsQzxmEkdWvMqC2fR5mUvqbOxSCxr8EM5B51Cgvc4Vsp8qylL9WPTw==" saltValue="/T6ye3EYFPc/3DtXnULGbQ==" spinCount="100000" sheet="1" objects="1" scenarios="1"/>
  <sortState ref="A150:C177">
    <sortCondition descending="1" ref="A149"/>
  </sortState>
  <mergeCells count="34">
    <mergeCell ref="A232:V232"/>
    <mergeCell ref="A240:V240"/>
    <mergeCell ref="B244:V244"/>
    <mergeCell ref="A245:V245"/>
    <mergeCell ref="B207:V207"/>
    <mergeCell ref="A208:V208"/>
    <mergeCell ref="B223:V223"/>
    <mergeCell ref="A224:V224"/>
    <mergeCell ref="B231:U231"/>
    <mergeCell ref="B197:V197"/>
    <mergeCell ref="A198:V198"/>
    <mergeCell ref="B202:V202"/>
    <mergeCell ref="A203:V203"/>
    <mergeCell ref="A204:V204"/>
    <mergeCell ref="A135:V135"/>
    <mergeCell ref="B156:V156"/>
    <mergeCell ref="A157:V157"/>
    <mergeCell ref="B165:V165"/>
    <mergeCell ref="A166:V166"/>
    <mergeCell ref="A73:V73"/>
    <mergeCell ref="B114:V114"/>
    <mergeCell ref="A115:V115"/>
    <mergeCell ref="A116:V116"/>
    <mergeCell ref="B134:V134"/>
    <mergeCell ref="B4:V4"/>
    <mergeCell ref="A5:V5"/>
    <mergeCell ref="B26:V26"/>
    <mergeCell ref="A27:V27"/>
    <mergeCell ref="B72:V72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8 E78 L50 E50 L34 E34 L140 E140" formula="1"/>
    <ignoredError sqref="S164 S25 S71 S113 S155 S196 S201 S229 S258 T241:T242 R51:T51 R140 R128:T128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C8" sqref="C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36" t="s">
        <v>316</v>
      </c>
      <c r="B2" s="37" t="s">
        <v>331</v>
      </c>
      <c r="C2" s="37" t="s">
        <v>335</v>
      </c>
      <c r="D2" s="38"/>
      <c r="F2" s="15"/>
      <c r="G2" s="15"/>
    </row>
    <row r="3" spans="1:7">
      <c r="A3" s="39" t="s">
        <v>18</v>
      </c>
      <c r="B3" s="40">
        <f t="shared" ref="B3:C10" si="0">B13</f>
        <v>76.470658139095391</v>
      </c>
      <c r="C3" s="40">
        <f t="shared" si="0"/>
        <v>76.454466515944091</v>
      </c>
      <c r="D3" s="38"/>
      <c r="F3" s="15"/>
      <c r="G3" s="15"/>
    </row>
    <row r="4" spans="1:7" ht="15.6" customHeight="1">
      <c r="A4" s="36" t="s">
        <v>57</v>
      </c>
      <c r="B4" s="41">
        <f t="shared" si="0"/>
        <v>4500.5629984870648</v>
      </c>
      <c r="C4" s="41">
        <f t="shared" si="0"/>
        <v>4552.3300924383484</v>
      </c>
      <c r="D4" s="38"/>
      <c r="F4" s="15"/>
      <c r="G4" s="15"/>
    </row>
    <row r="5" spans="1:7" ht="16.2" customHeight="1">
      <c r="A5" s="36" t="s">
        <v>317</v>
      </c>
      <c r="B5" s="40">
        <f t="shared" si="0"/>
        <v>242.65278046949624</v>
      </c>
      <c r="C5" s="40">
        <f t="shared" si="0"/>
        <v>243.66597265449658</v>
      </c>
      <c r="D5" s="38"/>
      <c r="F5" s="15"/>
      <c r="G5" s="15"/>
    </row>
    <row r="6" spans="1:7">
      <c r="A6" s="36" t="s">
        <v>175</v>
      </c>
      <c r="B6" s="41">
        <f t="shared" si="0"/>
        <v>1905.4777039342475</v>
      </c>
      <c r="C6" s="41">
        <f t="shared" si="0"/>
        <v>1901.0283025932881</v>
      </c>
      <c r="D6" s="38"/>
      <c r="F6" s="15"/>
      <c r="G6" s="15"/>
    </row>
    <row r="7" spans="1:7">
      <c r="A7" s="36" t="s">
        <v>318</v>
      </c>
      <c r="B7" s="40">
        <f t="shared" si="0"/>
        <v>372.91442152118776</v>
      </c>
      <c r="C7" s="40">
        <f t="shared" si="0"/>
        <v>480.11818681235258</v>
      </c>
      <c r="D7" s="38"/>
      <c r="F7" s="15"/>
      <c r="G7" s="15"/>
    </row>
    <row r="8" spans="1:7">
      <c r="A8" s="36" t="s">
        <v>221</v>
      </c>
      <c r="B8" s="42">
        <f t="shared" si="0"/>
        <v>80.018041766047276</v>
      </c>
      <c r="C8" s="42">
        <f t="shared" si="0"/>
        <v>80.347740959834056</v>
      </c>
      <c r="D8" s="38"/>
      <c r="F8" s="15"/>
      <c r="G8" s="15"/>
    </row>
    <row r="9" spans="1:7">
      <c r="A9" s="36" t="s">
        <v>253</v>
      </c>
      <c r="B9" s="40">
        <f t="shared" si="0"/>
        <v>8.1222507164</v>
      </c>
      <c r="C9" s="40">
        <f t="shared" si="0"/>
        <v>8.1374101051800007</v>
      </c>
      <c r="D9" s="38"/>
      <c r="F9" s="15"/>
      <c r="G9" s="15"/>
    </row>
    <row r="10" spans="1:7">
      <c r="A10" s="36" t="s">
        <v>319</v>
      </c>
      <c r="B10" s="40">
        <f t="shared" si="0"/>
        <v>73.712156820881788</v>
      </c>
      <c r="C10" s="40">
        <f t="shared" si="0"/>
        <v>74.458988396700391</v>
      </c>
      <c r="D10" s="38"/>
      <c r="F10" s="15"/>
      <c r="G10" s="15"/>
    </row>
    <row r="11" spans="1:7">
      <c r="A11" s="36"/>
      <c r="B11" s="40"/>
      <c r="C11" s="40"/>
      <c r="D11" s="38"/>
      <c r="F11" s="15"/>
      <c r="G11" s="15"/>
    </row>
    <row r="12" spans="1:7">
      <c r="F12" s="15"/>
      <c r="G12" s="15"/>
    </row>
    <row r="13" spans="1:7">
      <c r="A13" s="43" t="s">
        <v>18</v>
      </c>
      <c r="B13" s="44">
        <f>'Weekly Valuation'!D25/1000000000</f>
        <v>76.470658139095391</v>
      </c>
      <c r="C13" s="45">
        <f>'Weekly Valuation'!K25/1000000000</f>
        <v>76.454466515944091</v>
      </c>
      <c r="F13" s="15"/>
      <c r="G13" s="15"/>
    </row>
    <row r="14" spans="1:7">
      <c r="A14" s="46" t="s">
        <v>57</v>
      </c>
      <c r="B14" s="44">
        <f>'Weekly Valuation'!D71/1000000000</f>
        <v>4500.5629984870648</v>
      </c>
      <c r="C14" s="47">
        <f>'Weekly Valuation'!K71/1000000000</f>
        <v>4552.3300924383484</v>
      </c>
      <c r="F14" s="15"/>
      <c r="G14" s="15"/>
    </row>
    <row r="15" spans="1:7">
      <c r="A15" s="46" t="s">
        <v>317</v>
      </c>
      <c r="B15" s="44">
        <f>'Weekly Valuation'!D113/1000000000</f>
        <v>242.65278046949624</v>
      </c>
      <c r="C15" s="45">
        <f>'Weekly Valuation'!K113/1000000000</f>
        <v>243.66597265449658</v>
      </c>
      <c r="F15" s="15"/>
      <c r="G15" s="15"/>
    </row>
    <row r="16" spans="1:7">
      <c r="A16" s="46" t="s">
        <v>175</v>
      </c>
      <c r="B16" s="44">
        <f>'Weekly Valuation'!D155/1000000000</f>
        <v>1905.4777039342475</v>
      </c>
      <c r="C16" s="47">
        <f>'Weekly Valuation'!K155/1000000000</f>
        <v>1901.0283025932881</v>
      </c>
      <c r="F16" s="15"/>
      <c r="G16" s="15"/>
    </row>
    <row r="17" spans="1:7">
      <c r="A17" s="46" t="s">
        <v>318</v>
      </c>
      <c r="B17" s="44">
        <f>'Weekly Valuation'!D164/1000000000</f>
        <v>372.91442152118776</v>
      </c>
      <c r="C17" s="45">
        <f>'Weekly Valuation'!K164/1000000000</f>
        <v>480.11818681235258</v>
      </c>
      <c r="F17" s="15"/>
      <c r="G17" s="15"/>
    </row>
    <row r="18" spans="1:7">
      <c r="A18" s="46" t="s">
        <v>221</v>
      </c>
      <c r="B18" s="44">
        <f>'Weekly Valuation'!D196/1000000000</f>
        <v>80.018041766047276</v>
      </c>
      <c r="C18" s="48">
        <f>'Weekly Valuation'!K196/1000000000</f>
        <v>80.347740959834056</v>
      </c>
      <c r="F18" s="15"/>
      <c r="G18" s="15"/>
    </row>
    <row r="19" spans="1:7">
      <c r="A19" s="46" t="s">
        <v>253</v>
      </c>
      <c r="B19" s="44">
        <f>'Weekly Valuation'!D201/1000000000</f>
        <v>8.1222507164</v>
      </c>
      <c r="C19" s="45">
        <f>'Weekly Valuation'!K201/1000000000</f>
        <v>8.1374101051800007</v>
      </c>
      <c r="F19" s="15"/>
      <c r="G19" s="15"/>
    </row>
    <row r="20" spans="1:7">
      <c r="A20" s="46" t="s">
        <v>319</v>
      </c>
      <c r="B20" s="44">
        <f>'Weekly Valuation'!D229/1000000000</f>
        <v>73.712156820881788</v>
      </c>
      <c r="C20" s="45">
        <f>'Weekly Valuation'!K229/1000000000</f>
        <v>74.458988396700391</v>
      </c>
      <c r="F20" s="15"/>
      <c r="G20" s="15"/>
    </row>
    <row r="21" spans="1:7">
      <c r="A21" s="34"/>
      <c r="C21" s="32"/>
      <c r="F21" s="15"/>
      <c r="G21" s="15"/>
    </row>
    <row r="22" spans="1:7">
      <c r="A22" s="34"/>
      <c r="C22" s="30"/>
      <c r="F22" s="15"/>
      <c r="G22" s="15"/>
    </row>
    <row r="23" spans="1:7">
      <c r="A23" s="34"/>
      <c r="B23" s="30"/>
      <c r="C23" s="31"/>
      <c r="F23" s="15"/>
      <c r="G23" s="15"/>
    </row>
    <row r="24" spans="1:7">
      <c r="A24" s="34"/>
      <c r="B24" s="30"/>
      <c r="C24" s="30"/>
      <c r="F24" s="15"/>
      <c r="G24" s="15"/>
    </row>
    <row r="25" spans="1:7">
      <c r="A25" s="34"/>
      <c r="B25" s="30"/>
      <c r="C25" s="30"/>
      <c r="F25" s="15"/>
      <c r="G25" s="15"/>
    </row>
    <row r="26" spans="1:7">
      <c r="A26" s="181"/>
      <c r="B26" s="178"/>
      <c r="C26" s="178"/>
      <c r="D26" s="15"/>
      <c r="E26" s="15"/>
      <c r="F26" s="15"/>
      <c r="G26" s="15"/>
    </row>
    <row r="27" spans="1:7">
      <c r="A27" s="181"/>
      <c r="B27" s="178"/>
      <c r="C27" s="178"/>
      <c r="D27" s="15"/>
      <c r="E27" s="15"/>
      <c r="F27" s="15"/>
      <c r="G27" s="15"/>
    </row>
    <row r="28" spans="1:7">
      <c r="F28" s="15"/>
      <c r="G28" s="15"/>
    </row>
    <row r="29" spans="1:7">
      <c r="F29" s="15"/>
      <c r="G29" s="15"/>
    </row>
  </sheetData>
  <sheetProtection algorithmName="SHA-512" hashValue="MaPjiZ5Xzwi+J1s887Q1O2jV6gM4jCFew/1YL/ZP123udhHGtfJ4slD9MBZLmsEyUexAnTaOOhoGTJKZVQcL0Q==" saltValue="Ek0dqoaNCwGwZA/9J6P+y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H13" sqref="H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26" t="s">
        <v>316</v>
      </c>
      <c r="B1" s="27">
        <v>45989</v>
      </c>
      <c r="C1" s="28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9" t="s">
        <v>253</v>
      </c>
      <c r="B2" s="30">
        <f>'Weekly Valuation'!K201</f>
        <v>8137410105.1800003</v>
      </c>
      <c r="C2" s="28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9" t="s">
        <v>18</v>
      </c>
      <c r="B3" s="30">
        <f>'Weekly Valuation'!K25</f>
        <v>76454466515.944092</v>
      </c>
      <c r="C3" s="28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9" t="s">
        <v>319</v>
      </c>
      <c r="B4" s="31">
        <f>'Weekly Valuation'!K229</f>
        <v>74458988396.700394</v>
      </c>
      <c r="C4" s="28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9" t="s">
        <v>221</v>
      </c>
      <c r="B5" s="30">
        <f>'Weekly Valuation'!K196</f>
        <v>80347740959.834061</v>
      </c>
      <c r="C5" s="28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9" t="s">
        <v>318</v>
      </c>
      <c r="B6" s="30">
        <f>'Weekly Valuation'!K164</f>
        <v>480118186812.3526</v>
      </c>
      <c r="C6" s="28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9" t="s">
        <v>317</v>
      </c>
      <c r="B7" s="30">
        <f>'Weekly Valuation'!K113</f>
        <v>243665972654.49658</v>
      </c>
      <c r="C7" s="28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9" t="s">
        <v>175</v>
      </c>
      <c r="B8" s="32">
        <f>'Weekly Valuation'!K155</f>
        <v>1901028302593.2881</v>
      </c>
      <c r="C8" s="28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9" t="s">
        <v>57</v>
      </c>
      <c r="B9" s="32">
        <f>'Weekly Valuation'!K71</f>
        <v>4552330092438.3486</v>
      </c>
      <c r="C9" s="28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8"/>
      <c r="B10" s="28"/>
      <c r="C10" s="28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9"/>
      <c r="B11" s="33"/>
      <c r="C11" s="28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29"/>
      <c r="B12" s="28"/>
      <c r="C12" s="28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8"/>
      <c r="B13" s="178"/>
      <c r="C13" s="177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78"/>
      <c r="B14" s="178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81"/>
      <c r="B15" s="179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78"/>
      <c r="B16" s="17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78"/>
      <c r="B17" s="17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80"/>
      <c r="B18" s="17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80"/>
      <c r="B19" s="18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80"/>
      <c r="B20" s="18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81"/>
      <c r="B21" s="18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20"/>
      <c r="B22" s="32"/>
      <c r="C22" s="20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20"/>
      <c r="B23" s="20"/>
      <c r="C23" s="2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35"/>
    </row>
    <row r="33" spans="1:17" ht="15" customHeight="1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35"/>
    </row>
  </sheetData>
  <sheetProtection algorithmName="SHA-512" hashValue="VQdIjZACuko88Wdt6BqH/Eo7XrBc+FnWR+Qsbgbkwum9hLlygRERKwHGTrFc90d/ZyMDVeqcFwXrYlUY3/v9Vg==" saltValue="fUly9LPXcXzWRk74GsJB4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zoomScale="110" zoomScaleNormal="110" workbookViewId="0">
      <selection activeCell="C8" sqref="C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</row>
    <row r="2" spans="1:14">
      <c r="A2" s="21" t="s">
        <v>320</v>
      </c>
      <c r="B2" s="22">
        <v>45940</v>
      </c>
      <c r="C2" s="22">
        <v>45947</v>
      </c>
      <c r="D2" s="22">
        <v>45954</v>
      </c>
      <c r="E2" s="22">
        <v>45961</v>
      </c>
      <c r="F2" s="22">
        <v>45968</v>
      </c>
      <c r="G2" s="22">
        <v>45975</v>
      </c>
      <c r="H2" s="22">
        <v>45982</v>
      </c>
      <c r="I2" s="22">
        <v>45989</v>
      </c>
      <c r="J2" s="20"/>
      <c r="K2" s="20"/>
      <c r="L2" s="15"/>
      <c r="M2" s="15"/>
      <c r="N2" s="15"/>
    </row>
    <row r="3" spans="1:14">
      <c r="A3" s="21" t="s">
        <v>321</v>
      </c>
      <c r="B3" s="23">
        <f t="shared" ref="B3:I3" si="0">B4</f>
        <v>6925.6615260417648</v>
      </c>
      <c r="C3" s="23">
        <f t="shared" si="0"/>
        <v>7020.2119881351573</v>
      </c>
      <c r="D3" s="23">
        <f t="shared" si="0"/>
        <v>7084.74766079442</v>
      </c>
      <c r="E3" s="23">
        <f t="shared" si="0"/>
        <v>7104.7215850315024</v>
      </c>
      <c r="F3" s="23">
        <f t="shared" si="0"/>
        <v>7157.322477516268</v>
      </c>
      <c r="G3" s="23">
        <f t="shared" si="0"/>
        <v>7224.9660672128502</v>
      </c>
      <c r="H3" s="23">
        <f t="shared" si="0"/>
        <v>7259.9310118544208</v>
      </c>
      <c r="I3" s="23">
        <f t="shared" si="0"/>
        <v>7416.5411604761439</v>
      </c>
      <c r="J3" s="20"/>
      <c r="K3" s="20"/>
      <c r="L3" s="15"/>
      <c r="M3" s="15"/>
      <c r="N3" s="15"/>
    </row>
    <row r="4" spans="1:14">
      <c r="A4" s="20"/>
      <c r="B4" s="24">
        <f>'NAV Trend'!C10/1000000000</f>
        <v>6925.6615260417648</v>
      </c>
      <c r="C4" s="24">
        <f>'NAV Trend'!D10/1000000000</f>
        <v>7020.2119881351573</v>
      </c>
      <c r="D4" s="24">
        <f>'NAV Trend'!E10/1000000000</f>
        <v>7084.74766079442</v>
      </c>
      <c r="E4" s="24">
        <f>'NAV Trend'!F10/1000000000</f>
        <v>7104.7215850315024</v>
      </c>
      <c r="F4" s="24">
        <f>'NAV Trend'!G10/1000000000</f>
        <v>7157.322477516268</v>
      </c>
      <c r="G4" s="24">
        <f>'NAV Trend'!H10/1000000000</f>
        <v>7224.9660672128502</v>
      </c>
      <c r="H4" s="25">
        <f>'NAV Trend'!I10/1000000000</f>
        <v>7259.9310118544208</v>
      </c>
      <c r="I4" s="25">
        <f>'NAV Trend'!J10/1000000000</f>
        <v>7416.5411604761439</v>
      </c>
      <c r="J4" s="20"/>
      <c r="K4" s="20"/>
      <c r="L4" s="15"/>
      <c r="M4" s="15"/>
      <c r="N4" s="15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</row>
    <row r="6" spans="1:1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/5jC2YhYYVNzJFXdiODdn9n7Wn1qlQDW//oSm76Lm43kAwN0ZCe4jOWAtueYX96Zy+zQjAZMFvflTcW7Fzs22w==" saltValue="XOoN6rc2/NyI6kTeV1yLQ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30" sqref="F30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5"/>
      <c r="P1" s="182"/>
    </row>
    <row r="2" spans="1:16">
      <c r="A2" s="21" t="s">
        <v>320</v>
      </c>
      <c r="B2" s="22">
        <v>45940</v>
      </c>
      <c r="C2" s="22">
        <v>45947</v>
      </c>
      <c r="D2" s="22">
        <v>45954</v>
      </c>
      <c r="E2" s="22">
        <v>45961</v>
      </c>
      <c r="F2" s="22">
        <v>45968</v>
      </c>
      <c r="G2" s="22">
        <v>45975</v>
      </c>
      <c r="H2" s="22">
        <v>45982</v>
      </c>
      <c r="I2" s="22">
        <v>45989</v>
      </c>
      <c r="J2" s="20"/>
      <c r="K2" s="20"/>
      <c r="L2" s="15"/>
      <c r="M2" s="15"/>
      <c r="N2" s="15"/>
      <c r="O2" s="15"/>
      <c r="P2" s="182"/>
    </row>
    <row r="3" spans="1:16">
      <c r="A3" s="21" t="s">
        <v>322</v>
      </c>
      <c r="B3" s="23">
        <f t="shared" ref="B3:I3" si="0">B4</f>
        <v>17.54959499956</v>
      </c>
      <c r="C3" s="23">
        <f t="shared" si="0"/>
        <v>17.680301749159998</v>
      </c>
      <c r="D3" s="23">
        <f t="shared" si="0"/>
        <v>18.29339423531</v>
      </c>
      <c r="E3" s="23">
        <f t="shared" si="0"/>
        <v>17.97007204989</v>
      </c>
      <c r="F3" s="23">
        <f t="shared" si="0"/>
        <v>17.390304867240001</v>
      </c>
      <c r="G3" s="23">
        <f t="shared" si="0"/>
        <v>17.29912062779</v>
      </c>
      <c r="H3" s="23">
        <f t="shared" si="0"/>
        <v>16.915814556049998</v>
      </c>
      <c r="I3" s="23">
        <f t="shared" si="0"/>
        <v>16.97292700869</v>
      </c>
      <c r="J3" s="20"/>
      <c r="K3" s="20"/>
      <c r="L3" s="15"/>
      <c r="M3" s="15"/>
      <c r="N3" s="15"/>
      <c r="O3" s="15"/>
      <c r="P3" s="182"/>
    </row>
    <row r="4" spans="1:16">
      <c r="A4" s="20"/>
      <c r="B4" s="24">
        <f>'NAV Trend'!C16/1000000000</f>
        <v>17.54959499956</v>
      </c>
      <c r="C4" s="24">
        <f>'NAV Trend'!D16/1000000000</f>
        <v>17.680301749159998</v>
      </c>
      <c r="D4" s="24">
        <f>'NAV Trend'!E16/1000000000</f>
        <v>18.29339423531</v>
      </c>
      <c r="E4" s="24">
        <f>'NAV Trend'!F16/1000000000</f>
        <v>17.97007204989</v>
      </c>
      <c r="F4" s="24">
        <f>'NAV Trend'!G16/1000000000</f>
        <v>17.390304867240001</v>
      </c>
      <c r="G4" s="24">
        <f>'NAV Trend'!H16/1000000000</f>
        <v>17.29912062779</v>
      </c>
      <c r="H4" s="24">
        <f>'NAV Trend'!I16/1000000000</f>
        <v>16.915814556049998</v>
      </c>
      <c r="I4" s="25">
        <f>'NAV Trend'!J16/1000000000</f>
        <v>16.97292700869</v>
      </c>
      <c r="J4" s="20"/>
      <c r="K4" s="20"/>
      <c r="L4" s="15"/>
      <c r="M4" s="15"/>
      <c r="N4" s="15"/>
      <c r="O4" s="15"/>
      <c r="P4" s="18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5"/>
      <c r="P5" s="18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  <c r="O6" s="165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20"/>
      <c r="M7" s="15"/>
      <c r="N7" s="15"/>
      <c r="O7" s="165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20"/>
      <c r="M8" s="15"/>
      <c r="N8" s="15"/>
      <c r="O8" s="165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65"/>
    </row>
    <row r="10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65"/>
    </row>
    <row r="1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5"/>
      <c r="M11" s="15"/>
      <c r="N11" s="15"/>
      <c r="O11" s="165"/>
    </row>
    <row r="12" spans="1:1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5"/>
      <c r="M12" s="15"/>
      <c r="N12" s="15"/>
      <c r="O12" s="165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5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5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5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5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5"/>
    </row>
    <row r="18" spans="1:1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</row>
    <row r="19" spans="1:15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</row>
    <row r="20" spans="1:1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</sheetData>
  <sheetProtection algorithmName="SHA-512" hashValue="AL3fGw/VG7aXARPh9zIdq4PqOztyeGHNU8Jd0Cxekpu7FlA6H6dYa2ElCXSfCR/iGZaT6P9yuKsnamabNJx5hw==" saltValue="dZVna7O1FEJiJoY3txbO9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316</v>
      </c>
      <c r="B1" s="2">
        <v>45933</v>
      </c>
      <c r="C1" s="2">
        <v>45940</v>
      </c>
      <c r="D1" s="2">
        <v>45947</v>
      </c>
      <c r="E1" s="2">
        <v>45954</v>
      </c>
      <c r="F1" s="2">
        <v>45961</v>
      </c>
      <c r="G1" s="2">
        <v>45968</v>
      </c>
      <c r="H1" s="2">
        <v>45975</v>
      </c>
      <c r="I1" s="2">
        <v>45982</v>
      </c>
      <c r="J1" s="2">
        <v>45989</v>
      </c>
    </row>
    <row r="2" spans="1:11">
      <c r="A2" s="3" t="s">
        <v>18</v>
      </c>
      <c r="B2" s="4">
        <v>72157008607.625702</v>
      </c>
      <c r="C2" s="4">
        <v>73550112013.645493</v>
      </c>
      <c r="D2" s="4">
        <v>75813884318.519104</v>
      </c>
      <c r="E2" s="4">
        <v>80081718489.454102</v>
      </c>
      <c r="F2" s="4">
        <v>79941489021.128601</v>
      </c>
      <c r="G2" s="4">
        <v>77622970040.713501</v>
      </c>
      <c r="H2" s="4">
        <v>77103229577.115402</v>
      </c>
      <c r="I2" s="4">
        <v>76470658139.095398</v>
      </c>
      <c r="J2" s="4">
        <v>76454466515.944092</v>
      </c>
    </row>
    <row r="3" spans="1:11">
      <c r="A3" s="3" t="s">
        <v>57</v>
      </c>
      <c r="B3" s="4">
        <v>4086864116266.48</v>
      </c>
      <c r="C3" s="4">
        <v>4172759122177.9399</v>
      </c>
      <c r="D3" s="4">
        <v>4226381970103.9399</v>
      </c>
      <c r="E3" s="4">
        <v>4294338110534.8901</v>
      </c>
      <c r="F3" s="4">
        <v>4345978196238.9199</v>
      </c>
      <c r="G3" s="4">
        <v>4392378656476.5811</v>
      </c>
      <c r="H3" s="4">
        <v>4459546758095.3066</v>
      </c>
      <c r="I3" s="4">
        <v>4500562998487.0645</v>
      </c>
      <c r="J3" s="4">
        <v>4552330092438.3486</v>
      </c>
    </row>
    <row r="4" spans="1:11">
      <c r="A4" s="3" t="s">
        <v>317</v>
      </c>
      <c r="B4" s="5">
        <v>236138171866.332</v>
      </c>
      <c r="C4" s="5">
        <v>239780265974</v>
      </c>
      <c r="D4" s="5">
        <v>240267484599.51099</v>
      </c>
      <c r="E4" s="5">
        <v>241861922293.56699</v>
      </c>
      <c r="F4" s="5">
        <v>242068020164.47501</v>
      </c>
      <c r="G4" s="5">
        <v>243268463507.48514</v>
      </c>
      <c r="H4" s="5">
        <v>244019694006.9003</v>
      </c>
      <c r="I4" s="5">
        <v>242652780469.49625</v>
      </c>
      <c r="J4" s="5">
        <v>243665972654.49658</v>
      </c>
    </row>
    <row r="5" spans="1:11">
      <c r="A5" s="3" t="s">
        <v>175</v>
      </c>
      <c r="B5" s="4">
        <v>1897887333536.4199</v>
      </c>
      <c r="C5" s="4">
        <v>1916747972369.52</v>
      </c>
      <c r="D5" s="4">
        <v>1951335729434.6101</v>
      </c>
      <c r="E5" s="4">
        <v>1937928770896.0901</v>
      </c>
      <c r="F5" s="4">
        <v>1904125830062.55</v>
      </c>
      <c r="G5" s="4">
        <v>1911276570182.48</v>
      </c>
      <c r="H5" s="4">
        <v>1910381884325.9756</v>
      </c>
      <c r="I5" s="4">
        <v>1905477703934.2476</v>
      </c>
      <c r="J5" s="4">
        <v>1901028302593.2881</v>
      </c>
    </row>
    <row r="6" spans="1:11">
      <c r="A6" s="3" t="s">
        <v>318</v>
      </c>
      <c r="B6" s="6">
        <v>367818478282.37299</v>
      </c>
      <c r="C6" s="6">
        <v>367969019601.867</v>
      </c>
      <c r="D6" s="6">
        <v>368375144772.14203</v>
      </c>
      <c r="E6" s="6">
        <v>368809278173.31897</v>
      </c>
      <c r="F6" s="5">
        <v>370267322852.34497</v>
      </c>
      <c r="G6" s="5">
        <v>371321637298.57227</v>
      </c>
      <c r="H6" s="5">
        <v>372265278550.55267</v>
      </c>
      <c r="I6" s="5">
        <v>372914421521.18774</v>
      </c>
      <c r="J6" s="5">
        <v>480118186812.3526</v>
      </c>
    </row>
    <row r="7" spans="1:11">
      <c r="A7" s="3" t="s">
        <v>221</v>
      </c>
      <c r="B7" s="7">
        <v>77203925561.305695</v>
      </c>
      <c r="C7" s="7">
        <v>77988718310.700806</v>
      </c>
      <c r="D7" s="7">
        <v>79052496329.9478</v>
      </c>
      <c r="E7" s="7">
        <v>81009282305.293594</v>
      </c>
      <c r="F7" s="7">
        <v>80975307014.121796</v>
      </c>
      <c r="G7" s="7">
        <v>79917304669.356689</v>
      </c>
      <c r="H7" s="7">
        <v>79959427590.508118</v>
      </c>
      <c r="I7" s="7">
        <v>80018041766.047272</v>
      </c>
      <c r="J7" s="7">
        <v>80347740959.834061</v>
      </c>
    </row>
    <row r="8" spans="1:11">
      <c r="A8" s="3" t="s">
        <v>253</v>
      </c>
      <c r="B8" s="6">
        <v>8220876623.29</v>
      </c>
      <c r="C8" s="6">
        <v>8300396287.1099997</v>
      </c>
      <c r="D8" s="6">
        <v>8424376747.5200005</v>
      </c>
      <c r="E8" s="6">
        <v>8704335367.2000008</v>
      </c>
      <c r="F8" s="6">
        <v>8593567206.5699997</v>
      </c>
      <c r="G8" s="6">
        <v>8328680558.7600002</v>
      </c>
      <c r="H8" s="6">
        <v>8317694966.6799994</v>
      </c>
      <c r="I8" s="6">
        <v>8122250716.4000006</v>
      </c>
      <c r="J8" s="6">
        <v>8137410105.1800003</v>
      </c>
    </row>
    <row r="9" spans="1:11">
      <c r="A9" s="3" t="s">
        <v>319</v>
      </c>
      <c r="B9" s="6">
        <v>65919902571.82</v>
      </c>
      <c r="C9" s="6">
        <v>68565919306.980003</v>
      </c>
      <c r="D9" s="6">
        <v>70560901828.968002</v>
      </c>
      <c r="E9" s="6">
        <v>72014242734.605301</v>
      </c>
      <c r="F9" s="6">
        <v>72771852471.391907</v>
      </c>
      <c r="G9" s="6">
        <v>73208194782.318939</v>
      </c>
      <c r="H9" s="6">
        <v>73372100099.812561</v>
      </c>
      <c r="I9" s="6">
        <v>73712156820.88179</v>
      </c>
      <c r="J9" s="6">
        <v>74458988396.700394</v>
      </c>
    </row>
    <row r="10" spans="1:11" ht="15.6">
      <c r="A10" s="8" t="s">
        <v>323</v>
      </c>
      <c r="B10" s="9">
        <f t="shared" ref="B10:J10" si="0">SUM(B2:B9)</f>
        <v>6812209813315.6465</v>
      </c>
      <c r="C10" s="9">
        <f t="shared" si="0"/>
        <v>6925661526041.7646</v>
      </c>
      <c r="D10" s="9">
        <f t="shared" si="0"/>
        <v>7020211988135.1572</v>
      </c>
      <c r="E10" s="9">
        <f t="shared" si="0"/>
        <v>7084747660794.4199</v>
      </c>
      <c r="F10" s="9">
        <f t="shared" si="0"/>
        <v>7104721585031.502</v>
      </c>
      <c r="G10" s="9">
        <f t="shared" si="0"/>
        <v>7157322477516.2676</v>
      </c>
      <c r="H10" s="9">
        <f t="shared" si="0"/>
        <v>7224966067212.8506</v>
      </c>
      <c r="I10" s="9">
        <f t="shared" si="0"/>
        <v>7259931011854.4209</v>
      </c>
      <c r="J10" s="9">
        <f t="shared" si="0"/>
        <v>7416541160476.1436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324</v>
      </c>
      <c r="B12" s="164" t="s">
        <v>325</v>
      </c>
      <c r="C12" s="13">
        <f>(B10+C10)/2</f>
        <v>6868935669678.7051</v>
      </c>
      <c r="D12" s="14">
        <f t="shared" ref="D12:J12" si="1">(C10+D10)/2</f>
        <v>6972936757088.4609</v>
      </c>
      <c r="E12" s="14">
        <f t="shared" si="1"/>
        <v>7052479824464.7891</v>
      </c>
      <c r="F12" s="14">
        <f t="shared" si="1"/>
        <v>7094734622912.9609</v>
      </c>
      <c r="G12" s="14">
        <f t="shared" si="1"/>
        <v>7131022031273.8848</v>
      </c>
      <c r="H12" s="14">
        <f t="shared" si="1"/>
        <v>7191144272364.5586</v>
      </c>
      <c r="I12" s="14">
        <f t="shared" si="1"/>
        <v>7242448539533.6357</v>
      </c>
      <c r="J12" s="14">
        <f t="shared" si="1"/>
        <v>7338236086165.2822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45933</v>
      </c>
      <c r="C15" s="2">
        <v>45940</v>
      </c>
      <c r="D15" s="2">
        <v>45947</v>
      </c>
      <c r="E15" s="2">
        <v>45954</v>
      </c>
      <c r="F15" s="2">
        <v>45961</v>
      </c>
      <c r="G15" s="2">
        <v>45968</v>
      </c>
      <c r="H15" s="2">
        <v>45975</v>
      </c>
      <c r="I15" s="2">
        <v>45982</v>
      </c>
      <c r="J15" s="2">
        <v>45989</v>
      </c>
      <c r="K15" s="15"/>
    </row>
    <row r="16" spans="1:11">
      <c r="A16" s="16" t="s">
        <v>326</v>
      </c>
      <c r="B16" s="17">
        <v>17235315862.970001</v>
      </c>
      <c r="C16" s="17">
        <v>17549594999.560001</v>
      </c>
      <c r="D16" s="17">
        <v>17680301749.16</v>
      </c>
      <c r="E16" s="17">
        <v>18293394235.310001</v>
      </c>
      <c r="F16" s="17">
        <v>17970072049.889999</v>
      </c>
      <c r="G16" s="17">
        <v>17390304867.240002</v>
      </c>
      <c r="H16" s="17">
        <v>17299120627.790001</v>
      </c>
      <c r="I16" s="17">
        <v>16915814556.049999</v>
      </c>
      <c r="J16" s="17">
        <v>16972927008.689999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oHj9IQmt5TqJprFdwgKt3BnnhwxoDeLzIo/sV6nQeeReQM3+GECgOpMOSo4UT7oiK8/0BJXUJqXjza4P+Wy9Aw==" saltValue="1B7Y8fG3G51WpM/+xnhmH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2025-12-09T11:07:27Z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