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0188" windowHeight="7680"/>
  </bookViews>
  <sheets>
    <sheet name="September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September!$K$63</definedName>
    <definedName name="Component">"Group"</definedName>
    <definedName name="FX_RATE">September!$C$239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6" i="7" l="1"/>
  <c r="J236" i="7"/>
  <c r="L227" i="7"/>
  <c r="J227" i="7"/>
  <c r="L199" i="7"/>
  <c r="J199" i="7"/>
  <c r="L194" i="7"/>
  <c r="J194" i="7"/>
  <c r="L162" i="7"/>
  <c r="J162" i="7"/>
  <c r="L153" i="7"/>
  <c r="J153" i="7"/>
  <c r="L111" i="7"/>
  <c r="J111" i="7"/>
  <c r="L69" i="7"/>
  <c r="J69" i="7"/>
  <c r="L24" i="7"/>
  <c r="J24" i="7"/>
  <c r="L232" i="7"/>
  <c r="L233" i="7"/>
  <c r="L234" i="7"/>
  <c r="L235" i="7"/>
  <c r="J232" i="7"/>
  <c r="J233" i="7"/>
  <c r="J234" i="7"/>
  <c r="J235" i="7"/>
  <c r="L231" i="7"/>
  <c r="J231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J224" i="7"/>
  <c r="J225" i="7"/>
  <c r="J226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L204" i="7"/>
  <c r="M204" i="7"/>
  <c r="N204" i="7"/>
  <c r="O204" i="7"/>
  <c r="P204" i="7"/>
  <c r="Q204" i="7"/>
  <c r="J204" i="7"/>
  <c r="L198" i="7"/>
  <c r="M198" i="7"/>
  <c r="N198" i="7"/>
  <c r="O198" i="7"/>
  <c r="P198" i="7"/>
  <c r="Q198" i="7"/>
  <c r="J198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J157" i="7"/>
  <c r="J158" i="7"/>
  <c r="J159" i="7"/>
  <c r="J160" i="7"/>
  <c r="J161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B14" i="6"/>
  <c r="D13" i="2"/>
  <c r="D12" i="2"/>
  <c r="D11" i="2"/>
  <c r="D10" i="2"/>
  <c r="D9" i="2"/>
  <c r="D8" i="2"/>
  <c r="D7" i="2"/>
  <c r="D6" i="2"/>
  <c r="D5" i="2"/>
  <c r="C13" i="2"/>
  <c r="B13" i="2"/>
  <c r="C12" i="2"/>
  <c r="C11" i="2"/>
  <c r="C10" i="2"/>
  <c r="C9" i="2"/>
  <c r="C8" i="2"/>
  <c r="C7" i="2"/>
  <c r="C6" i="2"/>
  <c r="C5" i="2"/>
  <c r="B5" i="3"/>
  <c r="B4" i="3"/>
  <c r="B3" i="3"/>
  <c r="K142" i="7" l="1"/>
  <c r="K108" i="7"/>
  <c r="D78" i="7" l="1"/>
  <c r="H78" i="7"/>
  <c r="S136" i="7"/>
  <c r="R136" i="7"/>
  <c r="K136" i="7"/>
  <c r="G136" i="7"/>
  <c r="D136" i="7"/>
  <c r="E136" i="7"/>
  <c r="H136" i="7" s="1"/>
  <c r="S151" i="7"/>
  <c r="R151" i="7"/>
  <c r="K151" i="7"/>
  <c r="G151" i="7"/>
  <c r="F151" i="7"/>
  <c r="E151" i="7"/>
  <c r="H151" i="7" s="1"/>
  <c r="D151" i="7"/>
  <c r="H105" i="7"/>
  <c r="H186" i="7"/>
  <c r="H210" i="7"/>
  <c r="S140" i="7"/>
  <c r="R140" i="7"/>
  <c r="K140" i="7"/>
  <c r="H140" i="7"/>
  <c r="G140" i="7"/>
  <c r="D140" i="7"/>
  <c r="S120" i="7"/>
  <c r="R120" i="7"/>
  <c r="K120" i="7"/>
  <c r="G120" i="7"/>
  <c r="E120" i="7"/>
  <c r="D120" i="7"/>
  <c r="S127" i="7" l="1"/>
  <c r="R127" i="7"/>
  <c r="K127" i="7"/>
  <c r="G127" i="7"/>
  <c r="D127" i="7"/>
  <c r="S139" i="7"/>
  <c r="R139" i="7"/>
  <c r="K139" i="7"/>
  <c r="G139" i="7"/>
  <c r="E139" i="7"/>
  <c r="D139" i="7"/>
  <c r="S146" i="7"/>
  <c r="R146" i="7"/>
  <c r="K146" i="7"/>
  <c r="E146" i="7"/>
  <c r="D146" i="7"/>
  <c r="S129" i="7" l="1"/>
  <c r="R129" i="7"/>
  <c r="K129" i="7"/>
  <c r="G129" i="7"/>
  <c r="E129" i="7"/>
  <c r="D129" i="7"/>
  <c r="S149" i="7" l="1"/>
  <c r="R149" i="7"/>
  <c r="K149" i="7"/>
  <c r="G149" i="7"/>
  <c r="E149" i="7"/>
  <c r="D149" i="7"/>
  <c r="K126" i="7" l="1"/>
  <c r="G126" i="7"/>
  <c r="E126" i="7"/>
  <c r="D126" i="7"/>
  <c r="S131" i="7"/>
  <c r="R131" i="7"/>
  <c r="K131" i="7"/>
  <c r="G131" i="7"/>
  <c r="E131" i="7"/>
  <c r="D131" i="7"/>
  <c r="S123" i="7" l="1"/>
  <c r="R123" i="7"/>
  <c r="K123" i="7"/>
  <c r="G123" i="7"/>
  <c r="E123" i="7"/>
  <c r="D123" i="7"/>
  <c r="K152" i="7"/>
  <c r="G152" i="7"/>
  <c r="E152" i="7"/>
  <c r="D152" i="7"/>
  <c r="H29" i="7" l="1"/>
  <c r="H72" i="7"/>
  <c r="H46" i="7"/>
  <c r="S118" i="7"/>
  <c r="R118" i="7"/>
  <c r="K118" i="7"/>
  <c r="G118" i="7"/>
  <c r="E118" i="7"/>
  <c r="D118" i="7"/>
  <c r="S231" i="7"/>
  <c r="R231" i="7"/>
  <c r="K231" i="7"/>
  <c r="G231" i="7"/>
  <c r="F231" i="7"/>
  <c r="E231" i="7"/>
  <c r="D231" i="7"/>
  <c r="S117" i="7"/>
  <c r="R117" i="7"/>
  <c r="K117" i="7"/>
  <c r="G117" i="7"/>
  <c r="F117" i="7"/>
  <c r="E117" i="7"/>
  <c r="D117" i="7"/>
  <c r="S147" i="7" l="1"/>
  <c r="R147" i="7"/>
  <c r="K147" i="7"/>
  <c r="G147" i="7"/>
  <c r="E147" i="7"/>
  <c r="D147" i="7"/>
  <c r="S121" i="7" l="1"/>
  <c r="R121" i="7"/>
  <c r="K121" i="7"/>
  <c r="G121" i="7"/>
  <c r="E121" i="7"/>
  <c r="D121" i="7"/>
  <c r="S119" i="7"/>
  <c r="R119" i="7"/>
  <c r="K119" i="7"/>
  <c r="G119" i="7"/>
  <c r="E119" i="7"/>
  <c r="D119" i="7"/>
  <c r="S134" i="7"/>
  <c r="R134" i="7"/>
  <c r="K134" i="7"/>
  <c r="G134" i="7"/>
  <c r="E134" i="7"/>
  <c r="D134" i="7"/>
  <c r="S135" i="7" l="1"/>
  <c r="R135" i="7"/>
  <c r="K135" i="7"/>
  <c r="G135" i="7"/>
  <c r="E135" i="7"/>
  <c r="D135" i="7"/>
  <c r="S143" i="7"/>
  <c r="R143" i="7"/>
  <c r="K143" i="7"/>
  <c r="G143" i="7"/>
  <c r="F143" i="7"/>
  <c r="E143" i="7"/>
  <c r="D143" i="7"/>
  <c r="S150" i="7" l="1"/>
  <c r="R150" i="7"/>
  <c r="K150" i="7"/>
  <c r="G150" i="7"/>
  <c r="D150" i="7"/>
  <c r="E150" i="7"/>
  <c r="S145" i="7" l="1"/>
  <c r="R145" i="7"/>
  <c r="K145" i="7"/>
  <c r="G145" i="7"/>
  <c r="F145" i="7"/>
  <c r="E145" i="7"/>
  <c r="D145" i="7"/>
  <c r="S144" i="7"/>
  <c r="R144" i="7"/>
  <c r="K144" i="7"/>
  <c r="G144" i="7"/>
  <c r="F144" i="7"/>
  <c r="E144" i="7"/>
  <c r="D144" i="7"/>
  <c r="S138" i="7"/>
  <c r="R138" i="7"/>
  <c r="S128" i="7" l="1"/>
  <c r="R128" i="7"/>
  <c r="K128" i="7"/>
  <c r="G128" i="7"/>
  <c r="E128" i="7"/>
  <c r="D128" i="7"/>
  <c r="S142" i="7"/>
  <c r="R142" i="7"/>
  <c r="G142" i="7"/>
  <c r="E142" i="7"/>
  <c r="D142" i="7"/>
  <c r="K141" i="7" l="1"/>
  <c r="G141" i="7"/>
  <c r="E141" i="7"/>
  <c r="D141" i="7"/>
  <c r="S125" i="7" l="1"/>
  <c r="R125" i="7"/>
  <c r="S124" i="7"/>
  <c r="R124" i="7"/>
  <c r="S233" i="7"/>
  <c r="R233" i="7"/>
  <c r="K122" i="7"/>
  <c r="G122" i="7"/>
  <c r="E122" i="7"/>
  <c r="D122" i="7"/>
  <c r="H39" i="7"/>
  <c r="S137" i="7"/>
  <c r="R137" i="7"/>
  <c r="K137" i="7"/>
  <c r="G137" i="7"/>
  <c r="E137" i="7"/>
  <c r="D137" i="7"/>
  <c r="H173" i="7"/>
  <c r="H174" i="7"/>
  <c r="H166" i="7"/>
  <c r="H167" i="7"/>
  <c r="P223" i="7" l="1"/>
  <c r="N223" i="7"/>
  <c r="M223" i="7"/>
  <c r="H223" i="7"/>
  <c r="Q223" i="7" s="1"/>
  <c r="O223" i="7" l="1"/>
  <c r="K116" i="7" l="1"/>
  <c r="G116" i="7"/>
  <c r="E116" i="7"/>
  <c r="D116" i="7"/>
  <c r="H165" i="7" l="1"/>
  <c r="M232" i="7" l="1"/>
  <c r="M233" i="7"/>
  <c r="M234" i="7"/>
  <c r="M235" i="7"/>
  <c r="N232" i="7" l="1"/>
  <c r="P232" i="7"/>
  <c r="N233" i="7"/>
  <c r="P233" i="7"/>
  <c r="N234" i="7"/>
  <c r="P234" i="7"/>
  <c r="N235" i="7"/>
  <c r="P235" i="7"/>
  <c r="I236" i="7" l="1"/>
  <c r="H146" i="7"/>
  <c r="H58" i="7"/>
  <c r="T227" i="7" l="1"/>
  <c r="K227" i="7"/>
  <c r="I227" i="7"/>
  <c r="J223" i="7" l="1"/>
  <c r="L223" i="7"/>
  <c r="H188" i="7"/>
  <c r="H148" i="7"/>
  <c r="H62" i="7" l="1"/>
  <c r="T236" i="7"/>
  <c r="B13" i="6"/>
  <c r="H10" i="7" l="1"/>
  <c r="H67" i="7" l="1"/>
  <c r="H109" i="7" l="1"/>
  <c r="V152" i="7"/>
  <c r="S152" i="7"/>
  <c r="R152" i="7"/>
  <c r="H150" i="7" l="1"/>
  <c r="H115" i="7"/>
  <c r="S122" i="7" l="1"/>
  <c r="R122" i="7"/>
  <c r="H235" i="7" l="1"/>
  <c r="H234" i="7"/>
  <c r="H233" i="7"/>
  <c r="H232" i="7"/>
  <c r="O232" i="7" l="1"/>
  <c r="Q232" i="7"/>
  <c r="O235" i="7"/>
  <c r="Q235" i="7"/>
  <c r="Q234" i="7"/>
  <c r="O234" i="7"/>
  <c r="Q233" i="7"/>
  <c r="O233" i="7"/>
  <c r="H157" i="7"/>
  <c r="K236" i="7" l="1"/>
  <c r="P231" i="7"/>
  <c r="M231" i="7"/>
  <c r="N231" i="7"/>
  <c r="H231" i="7"/>
  <c r="Q231" i="7" l="1"/>
  <c r="O231" i="7"/>
  <c r="H5" i="7"/>
  <c r="H45" i="7" l="1"/>
  <c r="S126" i="7"/>
  <c r="R126" i="7"/>
  <c r="H126" i="7" l="1"/>
  <c r="H18" i="7"/>
  <c r="H169" i="7" l="1"/>
  <c r="H226" i="7" l="1"/>
  <c r="H224" i="7"/>
  <c r="H225" i="7"/>
  <c r="H220" i="7"/>
  <c r="H20" i="7" l="1"/>
  <c r="H137" i="7" l="1"/>
  <c r="H122" i="7"/>
  <c r="S116" i="7"/>
  <c r="R116" i="7"/>
  <c r="S141" i="7"/>
  <c r="R141" i="7"/>
  <c r="H52" i="7" l="1"/>
  <c r="M197" i="7" l="1"/>
  <c r="N197" i="7"/>
  <c r="P197" i="7"/>
  <c r="H208" i="7" l="1"/>
  <c r="H118" i="7"/>
  <c r="H33" i="7" l="1"/>
  <c r="H31" i="7" l="1"/>
  <c r="H141" i="7" l="1"/>
  <c r="H49" i="7" l="1"/>
  <c r="H44" i="7" l="1"/>
  <c r="H156" i="7" l="1"/>
  <c r="H98" i="7" l="1"/>
  <c r="H107" i="7" l="1"/>
  <c r="T162" i="7" l="1"/>
  <c r="B10" i="6" s="1"/>
  <c r="K162" i="7"/>
  <c r="P207" i="7"/>
  <c r="N207" i="7"/>
  <c r="M207" i="7"/>
  <c r="I162" i="7"/>
  <c r="B8" i="3" l="1"/>
  <c r="M162" i="7"/>
  <c r="H212" i="7"/>
  <c r="H15" i="7" l="1"/>
  <c r="H138" i="7" l="1"/>
  <c r="H83" i="7"/>
  <c r="H181" i="7"/>
  <c r="H22" i="7"/>
  <c r="H168" i="7" l="1"/>
  <c r="H170" i="7"/>
  <c r="H171" i="7"/>
  <c r="H172" i="7"/>
  <c r="H175" i="7"/>
  <c r="H178" i="7"/>
  <c r="H180" i="7"/>
  <c r="H179" i="7"/>
  <c r="H182" i="7"/>
  <c r="H183" i="7"/>
  <c r="H184" i="7"/>
  <c r="H185" i="7"/>
  <c r="H187" i="7"/>
  <c r="H189" i="7"/>
  <c r="H190" i="7"/>
  <c r="H191" i="7"/>
  <c r="H192" i="7"/>
  <c r="H193" i="7"/>
  <c r="P156" i="7" l="1"/>
  <c r="N156" i="7"/>
  <c r="M156" i="7"/>
  <c r="H209" i="7" l="1"/>
  <c r="H211" i="7"/>
  <c r="H213" i="7"/>
  <c r="H214" i="7"/>
  <c r="H215" i="7"/>
  <c r="H217" i="7"/>
  <c r="H218" i="7"/>
  <c r="H219" i="7"/>
  <c r="H207" i="7" l="1"/>
  <c r="H204" i="7"/>
  <c r="H203" i="7"/>
  <c r="H197" i="7"/>
  <c r="H198" i="7"/>
  <c r="H158" i="7"/>
  <c r="H159" i="7"/>
  <c r="H160" i="7"/>
  <c r="H161" i="7"/>
  <c r="H135" i="7"/>
  <c r="H139" i="7"/>
  <c r="H142" i="7"/>
  <c r="H143" i="7"/>
  <c r="H144" i="7"/>
  <c r="H145" i="7"/>
  <c r="H147" i="7"/>
  <c r="H149" i="7"/>
  <c r="H152" i="7"/>
  <c r="H134" i="7"/>
  <c r="H116" i="7"/>
  <c r="H117" i="7"/>
  <c r="H119" i="7"/>
  <c r="H120" i="7"/>
  <c r="H121" i="7"/>
  <c r="H123" i="7"/>
  <c r="H124" i="7"/>
  <c r="H125" i="7"/>
  <c r="H127" i="7"/>
  <c r="H128" i="7"/>
  <c r="H129" i="7"/>
  <c r="H130" i="7"/>
  <c r="H131" i="7"/>
  <c r="O197" i="7" l="1"/>
  <c r="Q197" i="7"/>
  <c r="Q207" i="7"/>
  <c r="O207" i="7"/>
  <c r="Q156" i="7"/>
  <c r="O156" i="7"/>
  <c r="H73" i="7"/>
  <c r="H74" i="7"/>
  <c r="H75" i="7"/>
  <c r="H76" i="7"/>
  <c r="H77" i="7"/>
  <c r="H79" i="7"/>
  <c r="H80" i="7"/>
  <c r="H81" i="7"/>
  <c r="H82" i="7"/>
  <c r="H84" i="7"/>
  <c r="H85" i="7"/>
  <c r="H86" i="7"/>
  <c r="H87" i="7"/>
  <c r="H88" i="7"/>
  <c r="H90" i="7"/>
  <c r="H91" i="7"/>
  <c r="H92" i="7"/>
  <c r="H93" i="7"/>
  <c r="H94" i="7"/>
  <c r="H95" i="7"/>
  <c r="H96" i="7"/>
  <c r="H97" i="7"/>
  <c r="H99" i="7"/>
  <c r="H100" i="7"/>
  <c r="H101" i="7"/>
  <c r="H102" i="7"/>
  <c r="H103" i="7"/>
  <c r="H104" i="7"/>
  <c r="H106" i="7"/>
  <c r="H110" i="7"/>
  <c r="H8" i="7"/>
  <c r="H9" i="7"/>
  <c r="H11" i="7"/>
  <c r="H12" i="7"/>
  <c r="H13" i="7"/>
  <c r="H14" i="7"/>
  <c r="H16" i="7"/>
  <c r="H17" i="7"/>
  <c r="H19" i="7"/>
  <c r="H21" i="7"/>
  <c r="H23" i="7"/>
  <c r="H6" i="7"/>
  <c r="H7" i="7"/>
  <c r="H28" i="7" l="1"/>
  <c r="H30" i="7"/>
  <c r="H32" i="7"/>
  <c r="H34" i="7"/>
  <c r="H35" i="7"/>
  <c r="H36" i="7"/>
  <c r="H37" i="7"/>
  <c r="H38" i="7"/>
  <c r="H40" i="7"/>
  <c r="H41" i="7"/>
  <c r="H42" i="7"/>
  <c r="H43" i="7"/>
  <c r="H47" i="7"/>
  <c r="H48" i="7"/>
  <c r="H50" i="7"/>
  <c r="H51" i="7"/>
  <c r="H53" i="7"/>
  <c r="H54" i="7"/>
  <c r="H55" i="7"/>
  <c r="H56" i="7"/>
  <c r="H57" i="7"/>
  <c r="H59" i="7"/>
  <c r="H60" i="7"/>
  <c r="H61" i="7"/>
  <c r="H63" i="7"/>
  <c r="H64" i="7"/>
  <c r="H65" i="7"/>
  <c r="H66" i="7"/>
  <c r="H68" i="7"/>
  <c r="Q203" i="7" l="1"/>
  <c r="P203" i="7"/>
  <c r="O203" i="7"/>
  <c r="N203" i="7"/>
  <c r="M203" i="7"/>
  <c r="T199" i="7"/>
  <c r="B12" i="6" s="1"/>
  <c r="K199" i="7"/>
  <c r="I199" i="7"/>
  <c r="K194" i="7"/>
  <c r="I194" i="7"/>
  <c r="T194" i="7"/>
  <c r="B11" i="6" s="1"/>
  <c r="P165" i="7"/>
  <c r="N165" i="7"/>
  <c r="M165" i="7"/>
  <c r="Q165" i="7"/>
  <c r="L156" i="7"/>
  <c r="T153" i="7"/>
  <c r="B9" i="6" s="1"/>
  <c r="P115" i="7"/>
  <c r="N115" i="7"/>
  <c r="M115" i="7"/>
  <c r="Q115" i="7"/>
  <c r="T111" i="7"/>
  <c r="B8" i="6" s="1"/>
  <c r="K111" i="7"/>
  <c r="I111" i="7"/>
  <c r="P72" i="7"/>
  <c r="N72" i="7"/>
  <c r="M72" i="7"/>
  <c r="T69" i="7"/>
  <c r="B7" i="6" s="1"/>
  <c r="K69" i="7"/>
  <c r="I69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B2" i="3" l="1"/>
  <c r="B7" i="3"/>
  <c r="B10" i="3"/>
  <c r="L197" i="7"/>
  <c r="J197" i="7"/>
  <c r="B6" i="3"/>
  <c r="M199" i="7"/>
  <c r="L207" i="7"/>
  <c r="J207" i="7"/>
  <c r="M24" i="7"/>
  <c r="M69" i="7"/>
  <c r="M111" i="7"/>
  <c r="M194" i="7"/>
  <c r="J156" i="7"/>
  <c r="Q134" i="7"/>
  <c r="N134" i="7"/>
  <c r="J72" i="7"/>
  <c r="L203" i="7"/>
  <c r="O115" i="7"/>
  <c r="J165" i="7"/>
  <c r="L27" i="7"/>
  <c r="J203" i="7"/>
  <c r="M227" i="7"/>
  <c r="T228" i="7"/>
  <c r="T237" i="7" s="1"/>
  <c r="L72" i="7"/>
  <c r="M134" i="7"/>
  <c r="P134" i="7"/>
  <c r="O165" i="7"/>
  <c r="L5" i="7"/>
  <c r="Q72" i="7"/>
  <c r="O72" i="7"/>
  <c r="K153" i="7"/>
  <c r="J5" i="7"/>
  <c r="O5" i="7"/>
  <c r="J27" i="7"/>
  <c r="O27" i="7"/>
  <c r="I153" i="7"/>
  <c r="L165" i="7"/>
  <c r="B9" i="3" l="1"/>
  <c r="J134" i="7"/>
  <c r="M153" i="7"/>
  <c r="O134" i="7"/>
  <c r="K228" i="7"/>
  <c r="J115" i="7"/>
  <c r="L115" i="7"/>
  <c r="L134" i="7"/>
  <c r="I228" i="7"/>
  <c r="I237" i="7" l="1"/>
  <c r="K237" i="7"/>
</calcChain>
</file>

<file path=xl/sharedStrings.xml><?xml version="1.0" encoding="utf-8"?>
<sst xmlns="http://schemas.openxmlformats.org/spreadsheetml/2006/main" count="482" uniqueCount="325">
  <si>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</si>
  <si>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</si>
  <si>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</si>
  <si>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</si>
  <si>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</si>
  <si>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</si>
  <si>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</si>
  <si>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</si>
  <si>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</si>
  <si>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</si>
  <si>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</si>
  <si>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</si>
  <si>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</si>
  <si>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</si>
  <si>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</si>
  <si>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</si>
  <si>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</si>
  <si>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</si>
  <si>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</si>
  <si>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</si>
  <si>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</si>
  <si>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</si>
  <si>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</si>
  <si>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</si>
  <si>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</si>
  <si>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</si>
  <si>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</si>
  <si>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</si>
  <si>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</si>
  <si>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</si>
  <si>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</si>
  <si>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</si>
  <si>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</si>
  <si>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</si>
  <si>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</si>
  <si>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</si>
  <si>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</si>
  <si>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</si>
  <si>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</si>
  <si>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</si>
  <si>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</si>
  <si>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</si>
  <si>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</si>
  <si>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</si>
  <si>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</si>
  <si>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</si>
  <si>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</si>
  <si>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</si>
  <si>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</si>
  <si>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</si>
  <si>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</si>
  <si>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</si>
  <si>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</si>
  <si>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</si>
  <si>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</si>
  <si>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</si>
  <si>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</si>
  <si>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</si>
  <si>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</si>
  <si>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</si>
  <si>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</si>
  <si>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</si>
  <si>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</si>
  <si>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</si>
  <si>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</si>
  <si>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</si>
  <si>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</si>
  <si>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</si>
  <si>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</si>
  <si>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</si>
  <si>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</si>
  <si>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</si>
  <si>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</si>
  <si>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</si>
  <si>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</si>
  <si>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</si>
  <si>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</si>
  <si>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</si>
  <si>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</si>
  <si>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</si>
  <si>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</si>
  <si>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</si>
  <si>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</si>
  <si>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</si>
  <si>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</si>
  <si>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</si>
  <si>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</si>
  <si>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</si>
  <si>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</si>
  <si>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</si>
  <si>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</si>
  <si>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</si>
  <si>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</si>
  <si>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</si>
  <si>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</si>
  <si>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</si>
  <si>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</si>
  <si>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</si>
  <si>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</si>
  <si>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</si>
  <si>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</si>
  <si>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</si>
  <si>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</si>
  <si>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</si>
  <si>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</si>
  <si>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</si>
  <si>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</si>
  <si>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</si>
  <si>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</si>
  <si>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</si>
  <si>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</si>
  <si>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</si>
  <si>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</si>
  <si>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</si>
  <si>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</si>
  <si>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</si>
  <si>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</si>
  <si>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</si>
  <si>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</si>
  <si>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</si>
  <si>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</si>
  <si>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</si>
  <si>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</si>
  <si>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</si>
  <si>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</si>
  <si>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</si>
  <si>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</si>
  <si>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</si>
  <si>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</si>
  <si>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</si>
  <si>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</si>
  <si>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</si>
  <si>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</si>
  <si>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</si>
  <si>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</si>
  <si>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</si>
  <si>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</si>
  <si>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</si>
  <si>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</si>
  <si>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</si>
  <si>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</si>
  <si>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</si>
  <si>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</si>
  <si>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</si>
  <si>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</si>
  <si>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</si>
  <si>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</si>
  <si>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</si>
  <si>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</si>
  <si>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</si>
  <si>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</si>
  <si>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</si>
  <si>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</si>
  <si>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</si>
  <si>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</si>
  <si>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</si>
  <si>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</si>
  <si>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</si>
  <si>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</si>
  <si>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</si>
  <si>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</si>
  <si>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</si>
  <si>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</si>
  <si>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</si>
  <si>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</si>
  <si>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</si>
  <si>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</si>
  <si>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</si>
  <si>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</si>
  <si>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</si>
  <si>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</si>
  <si>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</si>
  <si>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</si>
  <si>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</si>
  <si>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</si>
  <si>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</si>
  <si>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</si>
  <si>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</si>
  <si>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</si>
  <si>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</si>
  <si>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</si>
  <si>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</si>
  <si>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</si>
  <si>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</si>
  <si>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</si>
  <si>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</si>
  <si>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</si>
  <si>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</si>
  <si>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</si>
  <si>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</si>
  <si>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</si>
  <si>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</si>
  <si>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</si>
  <si>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</si>
  <si>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</si>
  <si>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</si>
  <si>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</si>
  <si>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</si>
  <si>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</si>
  <si>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</si>
  <si>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</si>
  <si>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</si>
  <si>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</si>
  <si>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</si>
  <si>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</si>
  <si>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</si>
  <si>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</si>
  <si>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</si>
  <si>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</si>
  <si>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</si>
  <si>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</si>
  <si>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</si>
  <si>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</si>
  <si>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</si>
  <si>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</si>
  <si>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</si>
  <si>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</si>
  <si>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</si>
  <si>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</si>
  <si>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</si>
  <si>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</si>
  <si>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</si>
  <si>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</si>
  <si>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</si>
  <si>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</si>
  <si>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</si>
  <si>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</si>
  <si>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</si>
  <si>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</si>
  <si>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</si>
  <si>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</si>
  <si>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</si>
  <si>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</si>
  <si>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</si>
  <si>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</si>
  <si>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</si>
  <si>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</si>
  <si>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</si>
  <si>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</si>
  <si>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</si>
  <si>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</si>
  <si>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</si>
  <si>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</si>
  <si>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</si>
  <si>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</si>
  <si>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</si>
  <si>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</si>
  <si>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</si>
  <si>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</si>
  <si>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</si>
  <si>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</si>
  <si>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</si>
  <si>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</si>
  <si>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</si>
  <si>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</si>
  <si>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</si>
  <si>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</si>
  <si>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</si>
  <si>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</si>
  <si>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</si>
  <si>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</si>
  <si>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</si>
  <si>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</si>
  <si>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</si>
  <si>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</si>
  <si>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</si>
  <si>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</si>
  <si>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</si>
  <si>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</si>
  <si>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</si>
  <si>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</si>
  <si>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</si>
  <si>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</si>
  <si>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</si>
  <si>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</si>
  <si>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</si>
  <si>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</si>
  <si>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</si>
  <si>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</si>
  <si>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</si>
  <si>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</si>
  <si>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</si>
  <si>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</si>
  <si>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</si>
  <si>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</si>
  <si>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</si>
  <si>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</si>
  <si>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</si>
  <si>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</si>
  <si>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</si>
  <si>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</si>
  <si>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</si>
  <si>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</si>
  <si>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</si>
  <si>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</si>
  <si>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</si>
  <si>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</si>
  <si>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</si>
  <si>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</si>
  <si>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</si>
  <si>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</si>
  <si>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</si>
  <si>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</si>
  <si>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30th September, 2025 = N1475.3473</t>
    </r>
  </si>
  <si>
    <t>MONTHLY UPDATE ON REGISTERED MUTUAL FUNDS AS AT 30TH SEPTEMBER, 2025</t>
  </si>
  <si>
    <t>Afrinvest Halal Fund</t>
  </si>
  <si>
    <t>Afrinvest Asset Mgt Ltd.</t>
  </si>
  <si>
    <t>DLM Money Market Fund</t>
  </si>
  <si>
    <t>Samtl Mixed Income Fud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</si>
  <si>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</si>
  <si>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</si>
  <si>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</si>
  <si>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</si>
  <si>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</si>
  <si>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</si>
  <si>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</si>
  <si>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</si>
  <si>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</si>
  <si>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</si>
  <si>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-</t>
  </si>
  <si>
    <t>NET ASSET VALUE (N) PREVIOUS - AUGUST</t>
  </si>
  <si>
    <t>Sep 2025</t>
  </si>
  <si>
    <t>Jul 2025</t>
  </si>
  <si>
    <t>Aug 2025</t>
  </si>
  <si>
    <t>FBN Dollar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</si>
</sst>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entury Gothic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0"/>
      <name val="Century Gothic"/>
      <family val="2"/>
    </font>
    <font>
      <sz val="8"/>
      <color rgb="FF42424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32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72" fontId="19" fillId="2" borderId="2" xfId="0" applyNumberFormat="1" applyFont="1" applyFill="1" applyBorder="1" applyAlignment="1">
      <alignment horizontal="left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0" fontId="22" fillId="9" borderId="0" xfId="0" applyFont="1" applyFill="1" applyAlignment="1">
      <alignment horizontal="left"/>
    </xf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164" fontId="25" fillId="2" borderId="0" xfId="1" applyFont="1" applyFill="1" applyBorder="1"/>
    <xf numFmtId="4" fontId="2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4" fontId="25" fillId="2" borderId="0" xfId="0" applyNumberFormat="1" applyFont="1" applyFill="1"/>
    <xf numFmtId="164" fontId="26" fillId="2" borderId="0" xfId="1" applyFont="1" applyFill="1" applyBorder="1" applyAlignment="1">
      <alignment horizontal="right" vertical="top" wrapText="1"/>
    </xf>
    <xf numFmtId="164" fontId="25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7" fillId="0" borderId="0" xfId="0" applyFont="1"/>
    <xf numFmtId="0" fontId="30" fillId="2" borderId="0" xfId="0" applyFont="1" applyFill="1"/>
    <xf numFmtId="0" fontId="31" fillId="9" borderId="0" xfId="0" applyFont="1" applyFill="1" applyAlignment="1">
      <alignment horizontal="right" vertical="center"/>
    </xf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29" fillId="2" borderId="0" xfId="0" applyFont="1" applyFill="1" applyAlignment="1">
      <alignment horizontal="left"/>
    </xf>
    <xf numFmtId="10" fontId="19" fillId="2" borderId="2" xfId="0" applyNumberFormat="1" applyFont="1" applyFill="1" applyBorder="1"/>
    <xf numFmtId="10" fontId="19" fillId="2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 applyAlignment="1">
      <alignment horizontal="right"/>
    </xf>
    <xf numFmtId="0" fontId="35" fillId="2" borderId="0" xfId="0" applyFont="1" applyFill="1" applyAlignment="1">
      <alignment horizontal="right"/>
    </xf>
    <xf numFmtId="16" fontId="35" fillId="2" borderId="0" xfId="0" quotePrefix="1" applyNumberFormat="1" applyFont="1" applyFill="1" applyAlignment="1">
      <alignment horizontal="right" wrapText="1"/>
    </xf>
    <xf numFmtId="0" fontId="35" fillId="2" borderId="0" xfId="0" applyFont="1" applyFill="1" applyAlignment="1">
      <alignment horizontal="right" wrapText="1"/>
    </xf>
    <xf numFmtId="0" fontId="35" fillId="0" borderId="2" xfId="0" applyFont="1" applyBorder="1" applyAlignment="1">
      <alignment horizontal="right"/>
    </xf>
    <xf numFmtId="16" fontId="35" fillId="2" borderId="2" xfId="0" quotePrefix="1" applyNumberFormat="1" applyFont="1" applyFill="1" applyBorder="1" applyAlignment="1">
      <alignment horizontal="right"/>
    </xf>
    <xf numFmtId="164" fontId="29" fillId="2" borderId="2" xfId="1" applyFont="1" applyFill="1" applyBorder="1" applyAlignment="1">
      <alignment horizontal="right" vertical="top" wrapText="1"/>
    </xf>
    <xf numFmtId="164" fontId="29" fillId="2" borderId="2" xfId="1" applyFont="1" applyFill="1" applyBorder="1"/>
    <xf numFmtId="4" fontId="29" fillId="2" borderId="2" xfId="0" applyNumberFormat="1" applyFont="1" applyFill="1" applyBorder="1"/>
    <xf numFmtId="4" fontId="29" fillId="2" borderId="2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7" fillId="0" borderId="1" xfId="0" applyFont="1" applyBorder="1" applyAlignment="1">
      <alignment horizontal="right"/>
    </xf>
    <xf numFmtId="171" fontId="27" fillId="0" borderId="0" xfId="200" applyNumberFormat="1" applyFont="1"/>
    <xf numFmtId="0" fontId="38" fillId="0" borderId="0" xfId="0" applyFont="1"/>
    <xf numFmtId="164" fontId="39" fillId="2" borderId="2" xfId="1" applyFont="1" applyFill="1" applyBorder="1"/>
    <xf numFmtId="43" fontId="27" fillId="0" borderId="0" xfId="200" applyFont="1"/>
    <xf numFmtId="0" fontId="37" fillId="0" borderId="0" xfId="0" applyFont="1" applyAlignment="1">
      <alignment horizontal="right"/>
    </xf>
    <xf numFmtId="0" fontId="29" fillId="0" borderId="0" xfId="0" applyFont="1"/>
    <xf numFmtId="16" fontId="35" fillId="2" borderId="0" xfId="0" applyNumberFormat="1" applyFont="1" applyFill="1"/>
    <xf numFmtId="173" fontId="18" fillId="2" borderId="2" xfId="0" applyNumberFormat="1" applyFont="1" applyFill="1" applyBorder="1" applyAlignment="1">
      <alignment horizontal="right" wrapText="1"/>
    </xf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164" fontId="18" fillId="2" borderId="6" xfId="1" applyFont="1" applyFill="1" applyBorder="1" applyAlignment="1">
      <alignment horizontal="right"/>
    </xf>
    <xf numFmtId="0" fontId="18" fillId="2" borderId="2" xfId="0" applyFont="1" applyFill="1" applyBorder="1" applyAlignment="1">
      <alignment horizontal="right"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49" fontId="18" fillId="2" borderId="2" xfId="0" applyNumberFormat="1" applyFont="1" applyFill="1" applyBorder="1"/>
    <xf numFmtId="2" fontId="18" fillId="2" borderId="2" xfId="463" applyNumberFormat="1" applyFont="1" applyFill="1" applyBorder="1" applyAlignment="1">
      <alignment wrapText="1"/>
    </xf>
    <xf numFmtId="49" fontId="18" fillId="2" borderId="2" xfId="0" applyNumberFormat="1" applyFont="1" applyFill="1" applyBorder="1" applyAlignment="1">
      <alignment vertical="center" wrapText="1"/>
    </xf>
    <xf numFmtId="49" fontId="18" fillId="2" borderId="2" xfId="0" applyNumberFormat="1" applyFont="1" applyFill="1" applyBorder="1" applyAlignment="1">
      <alignment vertical="top" wrapText="1"/>
    </xf>
    <xf numFmtId="174" fontId="18" fillId="2" borderId="2" xfId="1" applyNumberFormat="1" applyFont="1" applyFill="1" applyBorder="1" applyAlignment="1">
      <alignment horizontal="center" wrapText="1"/>
    </xf>
    <xf numFmtId="164" fontId="18" fillId="2" borderId="2" xfId="1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40" fillId="0" borderId="0" xfId="0" applyFont="1"/>
    <xf numFmtId="164" fontId="40" fillId="0" borderId="0" xfId="1" applyFont="1" applyBorder="1"/>
    <xf numFmtId="4" fontId="40" fillId="2" borderId="0" xfId="0" applyNumberFormat="1" applyFont="1" applyFill="1"/>
    <xf numFmtId="172" fontId="40" fillId="2" borderId="0" xfId="0" applyNumberFormat="1" applyFont="1" applyFill="1"/>
    <xf numFmtId="0" fontId="41" fillId="0" borderId="0" xfId="0" applyFont="1" applyAlignment="1">
      <alignment horizontal="right"/>
    </xf>
    <xf numFmtId="43" fontId="4" fillId="0" borderId="0" xfId="200" applyFont="1"/>
    <xf numFmtId="4" fontId="25" fillId="2" borderId="2" xfId="0" applyNumberFormat="1" applyFont="1" applyFill="1" applyBorder="1"/>
    <xf numFmtId="4" fontId="25" fillId="2" borderId="2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4" fontId="26" fillId="2" borderId="1" xfId="0" applyNumberFormat="1" applyFont="1" applyFill="1" applyBorder="1" applyAlignment="1">
      <alignment horizontal="right"/>
    </xf>
    <xf numFmtId="174" fontId="27" fillId="0" borderId="0" xfId="1" applyNumberFormat="1" applyFont="1"/>
    <xf numFmtId="2" fontId="29" fillId="0" borderId="0" xfId="0" applyNumberFormat="1" applyFont="1"/>
    <xf numFmtId="43" fontId="29" fillId="0" borderId="0" xfId="200" applyFont="1" applyBorder="1"/>
    <xf numFmtId="164" fontId="29" fillId="0" borderId="0" xfId="1" applyFont="1"/>
    <xf numFmtId="0" fontId="35" fillId="0" borderId="0" xfId="0" applyFont="1" applyAlignment="1">
      <alignment horizontal="right"/>
    </xf>
    <xf numFmtId="0" fontId="42" fillId="29" borderId="0" xfId="0" applyFont="1" applyFill="1"/>
    <xf numFmtId="164" fontId="7" fillId="29" borderId="0" xfId="1" applyFont="1" applyFill="1"/>
    <xf numFmtId="164" fontId="42" fillId="29" borderId="0" xfId="1" applyFont="1" applyFill="1"/>
    <xf numFmtId="164" fontId="34" fillId="5" borderId="2" xfId="1" applyFont="1" applyFill="1" applyBorder="1"/>
    <xf numFmtId="10" fontId="34" fillId="5" borderId="2" xfId="0" applyNumberFormat="1" applyFont="1" applyFill="1" applyBorder="1"/>
    <xf numFmtId="10" fontId="34" fillId="5" borderId="2" xfId="0" applyNumberFormat="1" applyFont="1" applyFill="1" applyBorder="1" applyAlignment="1">
      <alignment horizontal="right" vertical="center"/>
    </xf>
    <xf numFmtId="172" fontId="34" fillId="5" borderId="2" xfId="0" applyNumberFormat="1" applyFont="1" applyFill="1" applyBorder="1" applyAlignment="1">
      <alignment horizontal="right" vertical="center"/>
    </xf>
    <xf numFmtId="164" fontId="18" fillId="2" borderId="2" xfId="1" applyFont="1" applyFill="1" applyBorder="1" applyAlignment="1">
      <alignment vertical="top" wrapText="1"/>
    </xf>
    <xf numFmtId="164" fontId="18" fillId="2" borderId="2" xfId="1" applyFont="1" applyFill="1" applyBorder="1" applyAlignment="1">
      <alignment horizontal="right" wrapText="1"/>
    </xf>
    <xf numFmtId="164" fontId="18" fillId="2" borderId="0" xfId="1" applyFont="1" applyFill="1" applyBorder="1" applyAlignment="1">
      <alignment wrapText="1"/>
    </xf>
    <xf numFmtId="164" fontId="18" fillId="2" borderId="8" xfId="1" applyFont="1" applyFill="1" applyBorder="1"/>
    <xf numFmtId="164" fontId="18" fillId="2" borderId="8" xfId="1" applyFont="1" applyFill="1" applyBorder="1" applyAlignment="1">
      <alignment wrapText="1"/>
    </xf>
    <xf numFmtId="164" fontId="34" fillId="2" borderId="2" xfId="1" applyFont="1" applyFill="1" applyBorder="1"/>
    <xf numFmtId="10" fontId="34" fillId="2" borderId="2" xfId="0" applyNumberFormat="1" applyFont="1" applyFill="1" applyBorder="1" applyAlignment="1">
      <alignment horizontal="center"/>
    </xf>
    <xf numFmtId="0" fontId="43" fillId="0" borderId="0" xfId="0" applyFont="1"/>
    <xf numFmtId="174" fontId="18" fillId="2" borderId="4" xfId="1" applyNumberFormat="1" applyFont="1" applyFill="1" applyBorder="1" applyAlignment="1">
      <alignment horizontal="right" wrapText="1"/>
    </xf>
    <xf numFmtId="174" fontId="18" fillId="2" borderId="2" xfId="1" applyNumberFormat="1" applyFont="1" applyFill="1" applyBorder="1" applyAlignment="1">
      <alignment horizontal="right" wrapText="1"/>
    </xf>
    <xf numFmtId="174" fontId="18" fillId="2" borderId="2" xfId="1" applyNumberFormat="1" applyFont="1" applyFill="1" applyBorder="1" applyAlignment="1">
      <alignment horizontal="right" vertical="center" wrapText="1"/>
    </xf>
    <xf numFmtId="174" fontId="18" fillId="2" borderId="2" xfId="1" applyNumberFormat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right"/>
    </xf>
    <xf numFmtId="49" fontId="34" fillId="5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center" wrapText="1"/>
    </xf>
    <xf numFmtId="2" fontId="34" fillId="2" borderId="2" xfId="0" applyNumberFormat="1" applyFont="1" applyFill="1" applyBorder="1" applyAlignment="1">
      <alignment horizontal="center" wrapText="1"/>
    </xf>
    <xf numFmtId="0" fontId="34" fillId="2" borderId="7" xfId="0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72" fontId="34" fillId="2" borderId="2" xfId="0" applyNumberFormat="1" applyFont="1" applyFill="1" applyBorder="1" applyAlignment="1">
      <alignment horizontal="center" wrapText="1"/>
    </xf>
    <xf numFmtId="164" fontId="34" fillId="2" borderId="2" xfId="1" applyFont="1" applyFill="1" applyBorder="1" applyAlignment="1">
      <alignment horizontal="right"/>
    </xf>
    <xf numFmtId="164" fontId="7" fillId="29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49" fontId="28" fillId="4" borderId="2" xfId="0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Jul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66.406113220960009</c:v>
                </c:pt>
                <c:pt idx="1">
                  <c:v>3486.7623653120704</c:v>
                </c:pt>
                <c:pt idx="2" formatCode="0.00">
                  <c:v>219.07189169631997</c:v>
                </c:pt>
                <c:pt idx="3">
                  <c:v>1964.46643918118</c:v>
                </c:pt>
                <c:pt idx="4" formatCode="0.00">
                  <c:v>418.14732028246999</c:v>
                </c:pt>
                <c:pt idx="5" formatCode="0.00">
                  <c:v>75.255158315529997</c:v>
                </c:pt>
                <c:pt idx="6" formatCode="0.00">
                  <c:v>8.4979001396100013</c:v>
                </c:pt>
                <c:pt idx="7" formatCode="0.00">
                  <c:v>64.364207372529989</c:v>
                </c:pt>
                <c:pt idx="8" formatCode="0.00">
                  <c:v>17.932540491500276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Aug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_(* #,##0.00_);_(* \(#,##0.00\);_(* "-"??_);_(@_)</c:formatCode>
                <c:ptCount val="9"/>
                <c:pt idx="0">
                  <c:v>68.756951083019999</c:v>
                </c:pt>
                <c:pt idx="1">
                  <c:v>3758.7482996931194</c:v>
                </c:pt>
                <c:pt idx="2">
                  <c:v>230.15572161177997</c:v>
                </c:pt>
                <c:pt idx="3">
                  <c:v>1991.8866115911712</c:v>
                </c:pt>
                <c:pt idx="4">
                  <c:v>422.11119852865988</c:v>
                </c:pt>
                <c:pt idx="5">
                  <c:v>75.582820293180006</c:v>
                </c:pt>
                <c:pt idx="6">
                  <c:v>8.1968864990100005</c:v>
                </c:pt>
                <c:pt idx="7">
                  <c:v>66.624801821220004</c:v>
                </c:pt>
                <c:pt idx="8" formatCode="0.00">
                  <c:v>18.363298180155798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Sep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Comparison'!$D$5:$D$13</c:f>
              <c:numCache>
                <c:formatCode>0.00</c:formatCode>
                <c:ptCount val="9"/>
                <c:pt idx="0">
                  <c:v>71.229762141910001</c:v>
                </c:pt>
                <c:pt idx="1">
                  <c:v>4016.7591331062349</c:v>
                </c:pt>
                <c:pt idx="2">
                  <c:v>230.13504923472004</c:v>
                </c:pt>
                <c:pt idx="3">
                  <c:v>1931.3497499436774</c:v>
                </c:pt>
                <c:pt idx="4">
                  <c:v>421.89491953708995</c:v>
                </c:pt>
                <c:pt idx="5">
                  <c:v>76.956495222053988</c:v>
                </c:pt>
                <c:pt idx="6">
                  <c:v>8.1479981657499998</c:v>
                </c:pt>
                <c:pt idx="7">
                  <c:v>68.314907149969997</c:v>
                </c:pt>
                <c:pt idx="8">
                  <c:v>17.985833409784501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9-4376-982D-C0EACFCCD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4726008"/>
        <c:axId val="334723264"/>
      </c:barChart>
      <c:catAx>
        <c:axId val="33472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4723264"/>
        <c:crosses val="autoZero"/>
        <c:auto val="1"/>
        <c:lblAlgn val="ctr"/>
        <c:lblOffset val="100"/>
        <c:noMultiLvlLbl val="0"/>
      </c:catAx>
      <c:valAx>
        <c:axId val="3347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472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Sep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0.1591371302216133"/>
                  <c:y val="4.05882891525260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4575895294875716"/>
                  <c:y val="-2.6482941280272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19174734845962124"/>
                  <c:y val="-0.34495734847113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8147998165.75</c:v>
                </c:pt>
                <c:pt idx="1">
                  <c:v>17985833409.7845</c:v>
                </c:pt>
                <c:pt idx="2">
                  <c:v>68314907149.970001</c:v>
                </c:pt>
                <c:pt idx="3" formatCode="#,##0.00">
                  <c:v>71229762141.910004</c:v>
                </c:pt>
                <c:pt idx="4" formatCode="#,##0.00">
                  <c:v>76956495222.053986</c:v>
                </c:pt>
                <c:pt idx="5" formatCode="#,##0.00">
                  <c:v>230135049234.72003</c:v>
                </c:pt>
                <c:pt idx="6" formatCode="#,##0.00">
                  <c:v>421894919537.08997</c:v>
                </c:pt>
                <c:pt idx="7" formatCode="#,##0.00">
                  <c:v>1931349749943.6772</c:v>
                </c:pt>
                <c:pt idx="8" formatCode="#,##0.00">
                  <c:v>4016759133106.2349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58442</c:v>
                </c:pt>
                <c:pt idx="1">
                  <c:v>487409</c:v>
                </c:pt>
                <c:pt idx="2">
                  <c:v>49333.021099999998</c:v>
                </c:pt>
                <c:pt idx="3">
                  <c:v>23839</c:v>
                </c:pt>
                <c:pt idx="4">
                  <c:v>220621</c:v>
                </c:pt>
                <c:pt idx="5">
                  <c:v>72017</c:v>
                </c:pt>
                <c:pt idx="6">
                  <c:v>12689</c:v>
                </c:pt>
                <c:pt idx="7">
                  <c:v>35959</c:v>
                </c:pt>
                <c:pt idx="8" formatCode="_-* #,##0_-;\-* #,##0_-;_-* &quot;-&quot;??_-;_-@_-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39958192"/>
        <c:axId val="339955840"/>
      </c:barChart>
      <c:catAx>
        <c:axId val="339958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955840"/>
        <c:crosses val="autoZero"/>
        <c:auto val="1"/>
        <c:lblAlgn val="ctr"/>
        <c:lblOffset val="100"/>
        <c:noMultiLvlLbl val="0"/>
      </c:catAx>
      <c:valAx>
        <c:axId val="33995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3995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563880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saac/Downloads/Monthly_Update_on_Registered_Mutual_Funds_as_at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"/>
      <sheetName val="NAV Comparison"/>
      <sheetName val="Market Share"/>
      <sheetName val="Unitholders"/>
    </sheetNames>
    <sheetDataSet>
      <sheetData sheetId="0">
        <row r="24">
          <cell r="K24">
            <v>68756951083.020004</v>
          </cell>
        </row>
        <row r="69">
          <cell r="K69">
            <v>3758748299693.1196</v>
          </cell>
        </row>
        <row r="111">
          <cell r="K111">
            <v>230155721611.77997</v>
          </cell>
        </row>
        <row r="153">
          <cell r="K153">
            <v>1991886611591.1711</v>
          </cell>
        </row>
        <row r="162">
          <cell r="K162">
            <v>422111198528.65991</v>
          </cell>
        </row>
        <row r="193">
          <cell r="K193">
            <v>75582820293.180008</v>
          </cell>
        </row>
        <row r="198">
          <cell r="K198">
            <v>8196886499.0100002</v>
          </cell>
        </row>
        <row r="224">
          <cell r="K224">
            <v>66624801821.220001</v>
          </cell>
        </row>
        <row r="233">
          <cell r="I233">
            <v>17932540491.500275</v>
          </cell>
          <cell r="K233">
            <v>18363298180.1558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9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5" customWidth="1"/>
    <col min="2" max="2" width="44.6640625" style="15" customWidth="1"/>
    <col min="3" max="3" width="43.88671875" style="15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2187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50" t="s">
        <v>304</v>
      </c>
      <c r="B1" s="150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320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3" ht="16.5" customHeight="1">
      <c r="A4" s="135" t="s">
        <v>20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3" ht="15" customHeight="1">
      <c r="A5" s="100">
        <v>1</v>
      </c>
      <c r="B5" s="19" t="s">
        <v>21</v>
      </c>
      <c r="C5" s="19" t="s">
        <v>22</v>
      </c>
      <c r="D5" s="10">
        <v>3482737318.1300001</v>
      </c>
      <c r="E5" s="10">
        <v>13417701.970000001</v>
      </c>
      <c r="F5" s="10">
        <v>1066819526.11</v>
      </c>
      <c r="G5" s="10">
        <v>5928649.0599999996</v>
      </c>
      <c r="H5" s="12">
        <f>(E5+F5)-G5</f>
        <v>1074308579.02</v>
      </c>
      <c r="I5" s="29">
        <v>3476242818.52</v>
      </c>
      <c r="J5" s="13">
        <f t="shared" ref="J5:J23" si="0">(I5/$I$24)</f>
        <v>5.055842011264635E-2</v>
      </c>
      <c r="K5" s="29">
        <v>3514121776.4099998</v>
      </c>
      <c r="L5" s="13">
        <f>(K5/$K$24)</f>
        <v>4.9335020513038737E-2</v>
      </c>
      <c r="M5" s="13">
        <f t="shared" ref="M5:M24" si="1">((K5-I5)/I5)</f>
        <v>1.0896522443195358E-2</v>
      </c>
      <c r="N5" s="20">
        <f t="shared" ref="N5" si="2">(G5/K5)</f>
        <v>1.687092661329643E-3</v>
      </c>
      <c r="O5" s="21">
        <f t="shared" ref="O5" si="3">H5/K5</f>
        <v>0.30571182428330801</v>
      </c>
      <c r="P5" s="22">
        <f t="shared" ref="P5" si="4">K5/V5</f>
        <v>578.54135983031176</v>
      </c>
      <c r="Q5" s="22">
        <f t="shared" ref="Q5" si="5">H5/V5</f>
        <v>176.86693453707034</v>
      </c>
      <c r="R5" s="10">
        <v>578.54</v>
      </c>
      <c r="S5" s="10">
        <v>583.95000000000005</v>
      </c>
      <c r="T5" s="10">
        <v>1695</v>
      </c>
      <c r="U5" s="10">
        <v>6028812.8399999999</v>
      </c>
      <c r="V5" s="10">
        <v>6074106.4000000004</v>
      </c>
    </row>
    <row r="6" spans="1:23">
      <c r="A6" s="100">
        <v>2</v>
      </c>
      <c r="B6" s="19" t="s">
        <v>23</v>
      </c>
      <c r="C6" s="19" t="s">
        <v>24</v>
      </c>
      <c r="D6" s="10">
        <v>1094433810.4100001</v>
      </c>
      <c r="E6" s="10">
        <v>11051924.210000001</v>
      </c>
      <c r="F6" s="10">
        <v>0</v>
      </c>
      <c r="G6" s="10">
        <v>1247311.47</v>
      </c>
      <c r="H6" s="12">
        <f t="shared" ref="H6:H23" si="6">(E6+F6)-G6</f>
        <v>9804612.7400000002</v>
      </c>
      <c r="I6" s="29">
        <v>1031897709.16</v>
      </c>
      <c r="J6" s="13">
        <f t="shared" si="0"/>
        <v>1.5007903825084445E-2</v>
      </c>
      <c r="K6" s="29">
        <v>1137462104.9400001</v>
      </c>
      <c r="L6" s="13">
        <f t="shared" ref="L6:L23" si="7">(K6/$K$24)</f>
        <v>1.5968916232990519E-2</v>
      </c>
      <c r="M6" s="13">
        <f t="shared" ref="M6:M23" si="8">((K6-I6)/I6)</f>
        <v>0.10230122118008492</v>
      </c>
      <c r="N6" s="20">
        <f t="shared" ref="N6:N23" si="9">(G6/K6)</f>
        <v>1.0965740876842612E-3</v>
      </c>
      <c r="O6" s="21">
        <f t="shared" ref="O6:O23" si="10">H6/K6</f>
        <v>8.6197269319290282E-3</v>
      </c>
      <c r="P6" s="22">
        <f t="shared" ref="P6:P23" si="11">K6/V6</f>
        <v>386.83659953104387</v>
      </c>
      <c r="Q6" s="22">
        <f t="shared" ref="Q6:Q23" si="12">H6/V6</f>
        <v>3.3344258552335826</v>
      </c>
      <c r="R6" s="10">
        <v>387.43</v>
      </c>
      <c r="S6" s="10">
        <v>392.86</v>
      </c>
      <c r="T6" s="10">
        <v>463</v>
      </c>
      <c r="U6" s="10">
        <v>2413848.39</v>
      </c>
      <c r="V6" s="10">
        <v>2940420.08</v>
      </c>
    </row>
    <row r="7" spans="1:23">
      <c r="A7" s="100">
        <v>3</v>
      </c>
      <c r="B7" s="19" t="s">
        <v>25</v>
      </c>
      <c r="C7" s="93" t="s">
        <v>26</v>
      </c>
      <c r="D7" s="10">
        <v>5061158636.04</v>
      </c>
      <c r="E7" s="10">
        <v>22388172.649999999</v>
      </c>
      <c r="F7" s="10">
        <v>140220304.38999999</v>
      </c>
      <c r="G7" s="10">
        <v>17793191.550000001</v>
      </c>
      <c r="H7" s="12">
        <f t="shared" si="6"/>
        <v>144815285.48999998</v>
      </c>
      <c r="I7" s="29">
        <v>5969451260</v>
      </c>
      <c r="J7" s="13">
        <f t="shared" si="0"/>
        <v>8.6819603923278046E-2</v>
      </c>
      <c r="K7" s="29">
        <v>6192559619</v>
      </c>
      <c r="L7" s="13">
        <f t="shared" si="7"/>
        <v>8.6937811285437885E-2</v>
      </c>
      <c r="M7" s="13">
        <f t="shared" si="8"/>
        <v>3.737501979369541E-2</v>
      </c>
      <c r="N7" s="20">
        <f t="shared" si="9"/>
        <v>2.8733177627239897E-3</v>
      </c>
      <c r="O7" s="21">
        <f t="shared" si="10"/>
        <v>2.3385367989946837E-2</v>
      </c>
      <c r="P7" s="22">
        <f t="shared" si="11"/>
        <v>48.7840179203302</v>
      </c>
      <c r="Q7" s="22">
        <f t="shared" si="12"/>
        <v>1.1408322110950826</v>
      </c>
      <c r="R7" s="10">
        <v>48.540100000000002</v>
      </c>
      <c r="S7" s="10">
        <v>50.003599999999999</v>
      </c>
      <c r="T7" s="10">
        <v>7564</v>
      </c>
      <c r="U7" s="10">
        <v>125430829</v>
      </c>
      <c r="V7" s="10">
        <v>126938286</v>
      </c>
    </row>
    <row r="8" spans="1:23">
      <c r="A8" s="100">
        <v>4</v>
      </c>
      <c r="B8" s="95" t="s">
        <v>27</v>
      </c>
      <c r="C8" s="95" t="s">
        <v>28</v>
      </c>
      <c r="D8" s="10">
        <v>910457506.99000001</v>
      </c>
      <c r="E8" s="10">
        <v>21438394.870000001</v>
      </c>
      <c r="F8" s="10">
        <v>0</v>
      </c>
      <c r="G8" s="10">
        <v>3771211.29</v>
      </c>
      <c r="H8" s="12">
        <f t="shared" si="6"/>
        <v>17667183.580000002</v>
      </c>
      <c r="I8" s="29">
        <v>1111245120.9400001</v>
      </c>
      <c r="J8" s="13">
        <f t="shared" si="0"/>
        <v>1.6161931316562256E-2</v>
      </c>
      <c r="K8" s="29">
        <v>1042449313.99</v>
      </c>
      <c r="L8" s="13">
        <f t="shared" si="7"/>
        <v>1.4635024498792283E-2</v>
      </c>
      <c r="M8" s="13">
        <f t="shared" si="8"/>
        <v>-6.1908759510958131E-2</v>
      </c>
      <c r="N8" s="20">
        <f t="shared" si="9"/>
        <v>3.61764475201734E-3</v>
      </c>
      <c r="O8" s="21">
        <f t="shared" si="10"/>
        <v>1.6947762680545521E-2</v>
      </c>
      <c r="P8" s="22">
        <f t="shared" si="11"/>
        <v>242.86042451713303</v>
      </c>
      <c r="Q8" s="22">
        <f t="shared" si="12"/>
        <v>4.11594083921291</v>
      </c>
      <c r="R8" s="10">
        <v>242.8604</v>
      </c>
      <c r="S8" s="10">
        <v>242.8604</v>
      </c>
      <c r="T8" s="10">
        <v>2189</v>
      </c>
      <c r="U8" s="10">
        <v>4501916.71</v>
      </c>
      <c r="V8" s="10">
        <v>4292380.3499999996</v>
      </c>
    </row>
    <row r="9" spans="1:23">
      <c r="A9" s="100">
        <v>5</v>
      </c>
      <c r="B9" s="19" t="s">
        <v>207</v>
      </c>
      <c r="C9" s="93" t="s">
        <v>103</v>
      </c>
      <c r="D9" s="10">
        <v>1748096072.1099999</v>
      </c>
      <c r="E9" s="10">
        <v>19966852.379999999</v>
      </c>
      <c r="F9" s="10">
        <v>3902329.5</v>
      </c>
      <c r="G9" s="10">
        <v>3091801.64</v>
      </c>
      <c r="H9" s="12">
        <f t="shared" si="6"/>
        <v>20777380.239999998</v>
      </c>
      <c r="I9" s="29">
        <v>1682845467.49</v>
      </c>
      <c r="J9" s="13">
        <f t="shared" si="0"/>
        <v>2.4475277640773545E-2</v>
      </c>
      <c r="K9" s="29">
        <v>1758723530.1900001</v>
      </c>
      <c r="L9" s="13">
        <f t="shared" si="7"/>
        <v>2.4690852212676508E-2</v>
      </c>
      <c r="M9" s="13">
        <f t="shared" si="8"/>
        <v>4.5089144645689777E-2</v>
      </c>
      <c r="N9" s="20">
        <f t="shared" si="9"/>
        <v>1.7579804823933775E-3</v>
      </c>
      <c r="O9" s="21">
        <f t="shared" si="10"/>
        <v>1.1813897911376303E-2</v>
      </c>
      <c r="P9" s="22">
        <f t="shared" si="11"/>
        <v>1.6070842711362654</v>
      </c>
      <c r="Q9" s="22">
        <f t="shared" si="12"/>
        <v>1.8985929514182431E-2</v>
      </c>
      <c r="R9" s="10">
        <v>1.5951</v>
      </c>
      <c r="S9" s="10">
        <v>1.6148</v>
      </c>
      <c r="T9" s="10">
        <v>785</v>
      </c>
      <c r="U9" s="10">
        <v>1054809005.92</v>
      </c>
      <c r="V9" s="10">
        <v>1094356756.3800001</v>
      </c>
    </row>
    <row r="10" spans="1:23">
      <c r="A10" s="100">
        <v>6</v>
      </c>
      <c r="B10" s="87" t="s">
        <v>206</v>
      </c>
      <c r="C10" s="88" t="s">
        <v>48</v>
      </c>
      <c r="D10" s="10">
        <v>205191696.08000001</v>
      </c>
      <c r="E10" s="10">
        <v>222742</v>
      </c>
      <c r="F10" s="17">
        <v>0</v>
      </c>
      <c r="G10" s="10">
        <v>445002.46</v>
      </c>
      <c r="H10" s="12">
        <f t="shared" si="6"/>
        <v>-222260.46000000002</v>
      </c>
      <c r="I10" s="17">
        <v>202989423.84</v>
      </c>
      <c r="J10" s="13">
        <f t="shared" si="0"/>
        <v>2.9522749430076112E-3</v>
      </c>
      <c r="K10" s="17">
        <v>200454557.50999999</v>
      </c>
      <c r="L10" s="13">
        <f t="shared" si="7"/>
        <v>2.8141966431200114E-3</v>
      </c>
      <c r="M10" s="13">
        <f t="shared" si="8"/>
        <v>-1.248767685550968E-2</v>
      </c>
      <c r="N10" s="20">
        <f t="shared" si="9"/>
        <v>2.2199667871248096E-3</v>
      </c>
      <c r="O10" s="21">
        <f t="shared" si="10"/>
        <v>-1.1087822734532349E-3</v>
      </c>
      <c r="P10" s="22">
        <f t="shared" si="11"/>
        <v>206.84990139123389</v>
      </c>
      <c r="Q10" s="22">
        <f t="shared" si="12"/>
        <v>-0.22935150392814979</v>
      </c>
      <c r="R10" s="10">
        <v>206.84989999999999</v>
      </c>
      <c r="S10" s="10">
        <v>206.84989999999999</v>
      </c>
      <c r="T10" s="10">
        <v>130</v>
      </c>
      <c r="U10" s="10">
        <v>987317.35</v>
      </c>
      <c r="V10" s="10">
        <v>969082.2</v>
      </c>
    </row>
    <row r="11" spans="1:23">
      <c r="A11" s="100">
        <v>7</v>
      </c>
      <c r="B11" s="19" t="s">
        <v>29</v>
      </c>
      <c r="C11" s="19" t="s">
        <v>30</v>
      </c>
      <c r="D11" s="10">
        <v>2733376274.21</v>
      </c>
      <c r="E11" s="10">
        <v>6941330.8200000003</v>
      </c>
      <c r="F11" s="10">
        <v>-15437791.5</v>
      </c>
      <c r="G11" s="10">
        <v>4496444.72</v>
      </c>
      <c r="H11" s="12">
        <f t="shared" si="6"/>
        <v>-12992905.399999999</v>
      </c>
      <c r="I11" s="29">
        <v>2579333742.96</v>
      </c>
      <c r="J11" s="13">
        <f t="shared" si="0"/>
        <v>3.751378882181098E-2</v>
      </c>
      <c r="K11" s="29">
        <v>2694623952.7399998</v>
      </c>
      <c r="L11" s="13">
        <f t="shared" si="7"/>
        <v>3.7830028792901767E-2</v>
      </c>
      <c r="M11" s="13">
        <f t="shared" si="8"/>
        <v>4.4697670510716707E-2</v>
      </c>
      <c r="N11" s="20">
        <f t="shared" si="9"/>
        <v>1.668672437735825E-3</v>
      </c>
      <c r="O11" s="21">
        <f t="shared" si="10"/>
        <v>-4.8217879852171215E-3</v>
      </c>
      <c r="P11" s="22">
        <f t="shared" si="11"/>
        <v>488.78188835229645</v>
      </c>
      <c r="Q11" s="22">
        <f t="shared" si="12"/>
        <v>-2.3568026366488395</v>
      </c>
      <c r="R11" s="10">
        <v>488.78</v>
      </c>
      <c r="S11" s="10">
        <v>495.6</v>
      </c>
      <c r="T11" s="10">
        <v>1809</v>
      </c>
      <c r="U11" s="10">
        <v>5259860.58</v>
      </c>
      <c r="V11" s="10">
        <v>5512937.4000000004</v>
      </c>
    </row>
    <row r="12" spans="1:23">
      <c r="A12" s="100">
        <v>8</v>
      </c>
      <c r="B12" s="19" t="s">
        <v>31</v>
      </c>
      <c r="C12" s="93" t="s">
        <v>32</v>
      </c>
      <c r="D12" s="10">
        <v>477435203.38</v>
      </c>
      <c r="E12" s="10">
        <v>2830376.07</v>
      </c>
      <c r="F12" s="10">
        <v>27315082.199999999</v>
      </c>
      <c r="G12" s="10">
        <v>1650067.39</v>
      </c>
      <c r="H12" s="12">
        <f t="shared" si="6"/>
        <v>28495390.879999999</v>
      </c>
      <c r="I12" s="29">
        <v>495732873.20999998</v>
      </c>
      <c r="J12" s="13">
        <f t="shared" si="0"/>
        <v>7.2099310019059963E-3</v>
      </c>
      <c r="K12" s="29">
        <v>495759617.38999999</v>
      </c>
      <c r="L12" s="13">
        <f t="shared" si="7"/>
        <v>6.9600066388303449E-3</v>
      </c>
      <c r="M12" s="13">
        <f t="shared" si="8"/>
        <v>5.394877250490086E-5</v>
      </c>
      <c r="N12" s="20">
        <f t="shared" si="9"/>
        <v>3.3283618352923225E-3</v>
      </c>
      <c r="O12" s="21">
        <f t="shared" si="10"/>
        <v>5.7478241229122713E-2</v>
      </c>
      <c r="P12" s="22">
        <f t="shared" si="11"/>
        <v>247.06092525823158</v>
      </c>
      <c r="Q12" s="22">
        <f t="shared" si="12"/>
        <v>14.200627460282892</v>
      </c>
      <c r="R12" s="10">
        <v>247.06</v>
      </c>
      <c r="S12" s="10">
        <v>257.67</v>
      </c>
      <c r="T12" s="10">
        <v>2475</v>
      </c>
      <c r="U12" s="10">
        <v>2006629</v>
      </c>
      <c r="V12" s="10">
        <v>2006629</v>
      </c>
    </row>
    <row r="13" spans="1:23">
      <c r="A13" s="100">
        <v>9</v>
      </c>
      <c r="B13" s="19" t="s">
        <v>33</v>
      </c>
      <c r="C13" s="19" t="s">
        <v>34</v>
      </c>
      <c r="D13" s="10">
        <v>72292795.840000004</v>
      </c>
      <c r="E13" s="10">
        <v>1670709.32</v>
      </c>
      <c r="F13" s="10">
        <v>447444.54</v>
      </c>
      <c r="G13" s="10">
        <v>1551503.56</v>
      </c>
      <c r="H13" s="12">
        <f t="shared" si="6"/>
        <v>566650.29999999981</v>
      </c>
      <c r="I13" s="29">
        <v>87030247.450000003</v>
      </c>
      <c r="J13" s="13">
        <f t="shared" si="0"/>
        <v>1.2657665309346842E-3</v>
      </c>
      <c r="K13" s="29">
        <v>87553615.299999997</v>
      </c>
      <c r="L13" s="13">
        <f t="shared" si="7"/>
        <v>1.2291718049762433E-3</v>
      </c>
      <c r="M13" s="13">
        <f t="shared" si="8"/>
        <v>6.0136316434200145E-3</v>
      </c>
      <c r="N13" s="20">
        <f t="shared" si="9"/>
        <v>1.7720611018560647E-2</v>
      </c>
      <c r="O13" s="21">
        <f t="shared" si="10"/>
        <v>6.4720377115027004E-3</v>
      </c>
      <c r="P13" s="22">
        <f t="shared" si="11"/>
        <v>317.37460622977545</v>
      </c>
      <c r="Q13" s="22">
        <f t="shared" si="12"/>
        <v>2.0540604201924269</v>
      </c>
      <c r="R13" s="10">
        <v>312.94</v>
      </c>
      <c r="S13" s="10">
        <v>321.14999999999998</v>
      </c>
      <c r="T13" s="10">
        <v>21</v>
      </c>
      <c r="U13" s="10">
        <v>275489.8</v>
      </c>
      <c r="V13" s="10">
        <v>275868.37</v>
      </c>
      <c r="W13" s="6"/>
    </row>
    <row r="14" spans="1:23">
      <c r="A14" s="100">
        <v>10</v>
      </c>
      <c r="B14" s="93" t="s">
        <v>35</v>
      </c>
      <c r="C14" s="93" t="s">
        <v>36</v>
      </c>
      <c r="D14" s="10">
        <v>2072935491.8199999</v>
      </c>
      <c r="E14" s="10">
        <v>8347525.3300000001</v>
      </c>
      <c r="F14" s="10">
        <v>98602922.150000006</v>
      </c>
      <c r="G14" s="10">
        <v>3483862.19</v>
      </c>
      <c r="H14" s="12">
        <f t="shared" si="6"/>
        <v>103466585.29000001</v>
      </c>
      <c r="I14" s="29">
        <v>1865249141.21</v>
      </c>
      <c r="J14" s="13">
        <f t="shared" si="0"/>
        <v>2.7128153762342087E-2</v>
      </c>
      <c r="K14" s="29">
        <v>2062052499.1600001</v>
      </c>
      <c r="L14" s="13">
        <f t="shared" si="7"/>
        <v>2.8949310472942524E-2</v>
      </c>
      <c r="M14" s="13">
        <f t="shared" si="8"/>
        <v>0.10551049380048627</v>
      </c>
      <c r="N14" s="20">
        <f t="shared" si="9"/>
        <v>1.6895118778106715E-3</v>
      </c>
      <c r="O14" s="21">
        <f t="shared" si="10"/>
        <v>5.0176503911587247E-2</v>
      </c>
      <c r="P14" s="22">
        <f t="shared" si="11"/>
        <v>3.7903329137242623</v>
      </c>
      <c r="Q14" s="22">
        <f t="shared" si="12"/>
        <v>0.19018565427170334</v>
      </c>
      <c r="R14" s="10">
        <v>3.81</v>
      </c>
      <c r="S14" s="10">
        <v>3.84</v>
      </c>
      <c r="T14" s="10">
        <v>1553</v>
      </c>
      <c r="U14" s="10">
        <v>520651238.22000003</v>
      </c>
      <c r="V14" s="10">
        <v>544029389</v>
      </c>
    </row>
    <row r="15" spans="1:23">
      <c r="A15" s="100">
        <v>11</v>
      </c>
      <c r="B15" s="87" t="s">
        <v>251</v>
      </c>
      <c r="C15" s="88" t="s">
        <v>274</v>
      </c>
      <c r="D15" s="17">
        <v>68793008.079999998</v>
      </c>
      <c r="E15" s="10">
        <v>1383884.12</v>
      </c>
      <c r="F15" s="10">
        <v>3540341.67</v>
      </c>
      <c r="G15" s="10">
        <v>90497.72</v>
      </c>
      <c r="H15" s="12">
        <f t="shared" si="6"/>
        <v>4833728.07</v>
      </c>
      <c r="I15" s="29">
        <v>72223492.680000007</v>
      </c>
      <c r="J15" s="13">
        <f t="shared" si="0"/>
        <v>1.0504173257012859E-3</v>
      </c>
      <c r="K15" s="17">
        <v>74949035.890000001</v>
      </c>
      <c r="L15" s="13">
        <f t="shared" si="7"/>
        <v>1.0522151645077818E-3</v>
      </c>
      <c r="M15" s="13">
        <f t="shared" si="8"/>
        <v>3.7737626759149323E-2</v>
      </c>
      <c r="N15" s="20">
        <f t="shared" si="9"/>
        <v>1.2074567594547879E-3</v>
      </c>
      <c r="O15" s="21">
        <f t="shared" si="10"/>
        <v>6.449353233968598E-2</v>
      </c>
      <c r="P15" s="22">
        <f t="shared" si="11"/>
        <v>22.588768186528061</v>
      </c>
      <c r="Q15" s="22">
        <f t="shared" si="12"/>
        <v>1.4568294515515172</v>
      </c>
      <c r="R15" s="10">
        <v>23.033885000000001</v>
      </c>
      <c r="S15" s="10">
        <v>23.039100000000001</v>
      </c>
      <c r="T15" s="10">
        <v>60</v>
      </c>
      <c r="U15" s="17">
        <v>3190475</v>
      </c>
      <c r="V15" s="17">
        <v>3317978</v>
      </c>
    </row>
    <row r="16" spans="1:23">
      <c r="A16" s="100">
        <v>12</v>
      </c>
      <c r="B16" s="19" t="s">
        <v>37</v>
      </c>
      <c r="C16" s="93" t="s">
        <v>38</v>
      </c>
      <c r="D16" s="10">
        <v>2535601438.8000002</v>
      </c>
      <c r="E16" s="10">
        <v>8599064.5</v>
      </c>
      <c r="F16" s="10">
        <v>0</v>
      </c>
      <c r="G16" s="10">
        <v>4427601.4800000004</v>
      </c>
      <c r="H16" s="12">
        <f t="shared" si="6"/>
        <v>4171463.0199999996</v>
      </c>
      <c r="I16" s="29">
        <v>2570855787.1199999</v>
      </c>
      <c r="J16" s="13">
        <f t="shared" si="0"/>
        <v>3.7390485567282375E-2</v>
      </c>
      <c r="K16" s="29">
        <v>2515325311.8400002</v>
      </c>
      <c r="L16" s="13">
        <f t="shared" si="7"/>
        <v>3.5312841657799653E-2</v>
      </c>
      <c r="M16" s="13">
        <f t="shared" si="8"/>
        <v>-2.1599996218460673E-2</v>
      </c>
      <c r="N16" s="20">
        <f t="shared" si="9"/>
        <v>1.7602500396901506E-3</v>
      </c>
      <c r="O16" s="21">
        <f t="shared" si="10"/>
        <v>1.6584188933194126E-3</v>
      </c>
      <c r="P16" s="22">
        <f t="shared" si="11"/>
        <v>5.1625648524956382</v>
      </c>
      <c r="Q16" s="22">
        <f t="shared" si="12"/>
        <v>8.5616950893655126E-3</v>
      </c>
      <c r="R16" s="10">
        <v>5.0999999999999996</v>
      </c>
      <c r="S16" s="10">
        <v>5.2</v>
      </c>
      <c r="T16" s="10">
        <v>3659</v>
      </c>
      <c r="U16" s="10">
        <v>487258354</v>
      </c>
      <c r="V16" s="10">
        <v>487223964</v>
      </c>
    </row>
    <row r="17" spans="1:23">
      <c r="A17" s="100">
        <v>13</v>
      </c>
      <c r="B17" s="19" t="s">
        <v>39</v>
      </c>
      <c r="C17" s="19" t="s">
        <v>40</v>
      </c>
      <c r="D17" s="10">
        <v>2039545298.5</v>
      </c>
      <c r="E17" s="10">
        <v>7677775.7699999996</v>
      </c>
      <c r="F17" s="10">
        <v>6670234.3099999996</v>
      </c>
      <c r="G17" s="10">
        <v>2853325.92</v>
      </c>
      <c r="H17" s="12">
        <f t="shared" si="6"/>
        <v>11494684.159999998</v>
      </c>
      <c r="I17" s="29">
        <v>1948799714.05</v>
      </c>
      <c r="J17" s="13">
        <f t="shared" si="0"/>
        <v>2.834331196124357E-2</v>
      </c>
      <c r="K17" s="29">
        <v>2124749085.6900001</v>
      </c>
      <c r="L17" s="13">
        <f t="shared" si="7"/>
        <v>2.9829512577297306E-2</v>
      </c>
      <c r="M17" s="13">
        <f t="shared" si="8"/>
        <v>9.0286020862729771E-2</v>
      </c>
      <c r="N17" s="20">
        <f t="shared" si="9"/>
        <v>1.3429001754686712E-3</v>
      </c>
      <c r="O17" s="21">
        <f t="shared" si="10"/>
        <v>5.4099019208506518E-3</v>
      </c>
      <c r="P17" s="22">
        <f t="shared" si="11"/>
        <v>33.268066111923353</v>
      </c>
      <c r="Q17" s="22">
        <f t="shared" si="12"/>
        <v>0.17997697476188063</v>
      </c>
      <c r="R17" s="10">
        <v>32.270000000000003</v>
      </c>
      <c r="S17" s="10">
        <v>33.4</v>
      </c>
      <c r="T17" s="10">
        <v>862</v>
      </c>
      <c r="U17" s="10">
        <v>59046756.109999999</v>
      </c>
      <c r="V17" s="10">
        <v>63867526.25</v>
      </c>
    </row>
    <row r="18" spans="1:23">
      <c r="A18" s="100">
        <v>14</v>
      </c>
      <c r="B18" s="95" t="s">
        <v>41</v>
      </c>
      <c r="C18" s="95" t="s">
        <v>42</v>
      </c>
      <c r="D18" s="10">
        <v>177614202.86000001</v>
      </c>
      <c r="E18" s="10">
        <v>3999257.34</v>
      </c>
      <c r="F18" s="10">
        <v>89670052.920000002</v>
      </c>
      <c r="G18" s="10">
        <v>298295.09000000003</v>
      </c>
      <c r="H18" s="12">
        <f>(E18+F18)-G18</f>
        <v>93371015.170000002</v>
      </c>
      <c r="I18" s="29">
        <v>176124773.88</v>
      </c>
      <c r="J18" s="13">
        <f t="shared" si="0"/>
        <v>2.5615559024328989E-3</v>
      </c>
      <c r="K18" s="29">
        <v>177935626.27000001</v>
      </c>
      <c r="L18" s="13">
        <f t="shared" si="7"/>
        <v>2.4980516699676953E-3</v>
      </c>
      <c r="M18" s="13">
        <f t="shared" si="8"/>
        <v>1.0281644939023813E-2</v>
      </c>
      <c r="N18" s="20">
        <f t="shared" si="9"/>
        <v>1.6764213904379454E-3</v>
      </c>
      <c r="O18" s="21">
        <f t="shared" si="10"/>
        <v>0.5247460394936232</v>
      </c>
      <c r="P18" s="22">
        <f t="shared" si="11"/>
        <v>1.9311445365005904</v>
      </c>
      <c r="Q18" s="22">
        <f t="shared" si="12"/>
        <v>1.0133604472184334</v>
      </c>
      <c r="R18" s="10">
        <v>1.86</v>
      </c>
      <c r="S18" s="10">
        <v>1.93</v>
      </c>
      <c r="T18" s="10">
        <v>23</v>
      </c>
      <c r="U18" s="10">
        <v>92111258.230000004</v>
      </c>
      <c r="V18" s="10">
        <v>92139983.780000001</v>
      </c>
    </row>
    <row r="19" spans="1:23">
      <c r="A19" s="100">
        <v>15</v>
      </c>
      <c r="B19" s="19" t="s">
        <v>43</v>
      </c>
      <c r="C19" s="19" t="s">
        <v>44</v>
      </c>
      <c r="D19" s="10">
        <v>7975454661.4499998</v>
      </c>
      <c r="E19" s="10">
        <v>5198119.5999999996</v>
      </c>
      <c r="F19" s="10">
        <v>91420697.25</v>
      </c>
      <c r="G19" s="10">
        <v>13891079.26</v>
      </c>
      <c r="H19" s="12">
        <f t="shared" si="6"/>
        <v>82727737.589999989</v>
      </c>
      <c r="I19" s="29">
        <v>7899083924.25</v>
      </c>
      <c r="J19" s="13">
        <f t="shared" si="0"/>
        <v>0.11488415061791087</v>
      </c>
      <c r="K19" s="29">
        <v>7935692694.5699997</v>
      </c>
      <c r="L19" s="13">
        <f t="shared" si="7"/>
        <v>0.11140978793049788</v>
      </c>
      <c r="M19" s="13">
        <f t="shared" si="8"/>
        <v>4.6345589781128464E-3</v>
      </c>
      <c r="N19" s="20">
        <f t="shared" si="9"/>
        <v>1.7504557944267392E-3</v>
      </c>
      <c r="O19" s="21">
        <f t="shared" si="10"/>
        <v>1.0424765773327698E-2</v>
      </c>
      <c r="P19" s="22">
        <f t="shared" si="11"/>
        <v>48.777078194024142</v>
      </c>
      <c r="Q19" s="22">
        <f t="shared" si="12"/>
        <v>0.5084896152799917</v>
      </c>
      <c r="R19" s="10">
        <v>48.78</v>
      </c>
      <c r="S19" s="10">
        <v>49.0167</v>
      </c>
      <c r="T19" s="10">
        <v>12528</v>
      </c>
      <c r="U19" s="10">
        <v>163662931</v>
      </c>
      <c r="V19" s="10">
        <v>162693072</v>
      </c>
    </row>
    <row r="20" spans="1:23">
      <c r="A20" s="100">
        <v>16</v>
      </c>
      <c r="B20" s="93" t="s">
        <v>45</v>
      </c>
      <c r="C20" s="19" t="s">
        <v>46</v>
      </c>
      <c r="D20" s="10">
        <v>1484841547.3</v>
      </c>
      <c r="E20" s="10">
        <v>5640542.2000000002</v>
      </c>
      <c r="F20" s="10">
        <v>17626861.879999999</v>
      </c>
      <c r="G20" s="10">
        <v>1690314.58</v>
      </c>
      <c r="H20" s="12">
        <f>(E20+F20)-G20</f>
        <v>21577089.5</v>
      </c>
      <c r="I20" s="29">
        <v>1490094309</v>
      </c>
      <c r="J20" s="13">
        <f t="shared" si="0"/>
        <v>2.1671907865734159E-2</v>
      </c>
      <c r="K20" s="29">
        <v>1493765690.1800001</v>
      </c>
      <c r="L20" s="13">
        <f t="shared" si="7"/>
        <v>2.0971089124290389E-2</v>
      </c>
      <c r="M20" s="13">
        <f t="shared" si="8"/>
        <v>2.4638582657656918E-3</v>
      </c>
      <c r="N20" s="20">
        <f t="shared" si="9"/>
        <v>1.1315794646457008E-3</v>
      </c>
      <c r="O20" s="21">
        <f t="shared" si="10"/>
        <v>1.4444761746669883E-2</v>
      </c>
      <c r="P20" s="22">
        <f t="shared" si="11"/>
        <v>12036.859277599413</v>
      </c>
      <c r="Q20" s="22">
        <f t="shared" si="12"/>
        <v>173.86956444311647</v>
      </c>
      <c r="R20" s="10">
        <v>11939.16</v>
      </c>
      <c r="S20" s="10">
        <v>12103.82</v>
      </c>
      <c r="T20" s="10">
        <v>26</v>
      </c>
      <c r="U20" s="10">
        <v>123065.25</v>
      </c>
      <c r="V20" s="10">
        <v>124099.29</v>
      </c>
    </row>
    <row r="21" spans="1:23">
      <c r="A21" s="100">
        <v>17</v>
      </c>
      <c r="B21" s="19" t="s">
        <v>47</v>
      </c>
      <c r="C21" s="19" t="s">
        <v>46</v>
      </c>
      <c r="D21" s="10">
        <v>23028066218.040001</v>
      </c>
      <c r="E21" s="10">
        <v>207811722</v>
      </c>
      <c r="F21" s="10">
        <v>497088260.13</v>
      </c>
      <c r="G21" s="10">
        <v>70194253.5</v>
      </c>
      <c r="H21" s="12">
        <f t="shared" si="6"/>
        <v>634705728.63</v>
      </c>
      <c r="I21" s="29">
        <v>23057714020.900002</v>
      </c>
      <c r="J21" s="13">
        <f t="shared" si="0"/>
        <v>0.33535102499031927</v>
      </c>
      <c r="K21" s="29">
        <v>23317627526.470001</v>
      </c>
      <c r="L21" s="13">
        <f t="shared" si="7"/>
        <v>0.32735793052368528</v>
      </c>
      <c r="M21" s="13">
        <f t="shared" si="8"/>
        <v>1.1272301553155208E-2</v>
      </c>
      <c r="N21" s="20">
        <f t="shared" si="9"/>
        <v>3.0103514356388098E-3</v>
      </c>
      <c r="O21" s="21">
        <f t="shared" si="10"/>
        <v>2.7219996027018044E-2</v>
      </c>
      <c r="P21" s="22">
        <f t="shared" si="11"/>
        <v>40229.744055463489</v>
      </c>
      <c r="Q21" s="22">
        <f t="shared" si="12"/>
        <v>1095.0534733576687</v>
      </c>
      <c r="R21" s="10">
        <v>39901.43</v>
      </c>
      <c r="S21" s="10">
        <v>40454.76</v>
      </c>
      <c r="T21" s="10">
        <v>19106</v>
      </c>
      <c r="U21" s="10">
        <v>566623.35</v>
      </c>
      <c r="V21" s="10">
        <v>579611.63</v>
      </c>
    </row>
    <row r="22" spans="1:23">
      <c r="A22" s="100">
        <v>18</v>
      </c>
      <c r="B22" s="19" t="s">
        <v>49</v>
      </c>
      <c r="C22" s="19" t="s">
        <v>50</v>
      </c>
      <c r="D22" s="10">
        <v>4962729795</v>
      </c>
      <c r="E22" s="10">
        <v>24037270</v>
      </c>
      <c r="F22" s="10">
        <v>17173566</v>
      </c>
      <c r="G22" s="10">
        <v>9714176</v>
      </c>
      <c r="H22" s="12">
        <f t="shared" ref="H22" si="13">(E22+F22)-G22</f>
        <v>31496660</v>
      </c>
      <c r="I22" s="29">
        <v>6011548150</v>
      </c>
      <c r="J22" s="13">
        <f t="shared" si="0"/>
        <v>8.7431860420067301E-2</v>
      </c>
      <c r="K22" s="29">
        <v>5984840514</v>
      </c>
      <c r="L22" s="13">
        <f t="shared" si="7"/>
        <v>8.4021627112505173E-2</v>
      </c>
      <c r="M22" s="13">
        <f t="shared" si="8"/>
        <v>-4.442721797046573E-3</v>
      </c>
      <c r="N22" s="20">
        <f t="shared" si="9"/>
        <v>1.6231303035187279E-3</v>
      </c>
      <c r="O22" s="21">
        <f t="shared" si="10"/>
        <v>5.2627400724082184E-3</v>
      </c>
      <c r="P22" s="22">
        <f t="shared" si="11"/>
        <v>1.8743868397868808</v>
      </c>
      <c r="Q22" s="22">
        <f t="shared" si="12"/>
        <v>9.8644107329410209E-3</v>
      </c>
      <c r="R22" s="10">
        <v>1.87</v>
      </c>
      <c r="S22" s="10">
        <v>1.89</v>
      </c>
      <c r="T22" s="10">
        <v>3426</v>
      </c>
      <c r="U22" s="10">
        <v>3239965202</v>
      </c>
      <c r="V22" s="10">
        <v>3192959098.3899999</v>
      </c>
    </row>
    <row r="23" spans="1:23">
      <c r="A23" s="100">
        <v>19</v>
      </c>
      <c r="B23" s="88" t="s">
        <v>252</v>
      </c>
      <c r="C23" s="88" t="s">
        <v>253</v>
      </c>
      <c r="D23" s="10">
        <v>8404760140</v>
      </c>
      <c r="E23" s="10">
        <v>17275274.969999999</v>
      </c>
      <c r="F23" s="10">
        <v>118110932.13</v>
      </c>
      <c r="G23" s="10">
        <v>15773885.75</v>
      </c>
      <c r="H23" s="12">
        <f t="shared" si="6"/>
        <v>119612321.34999999</v>
      </c>
      <c r="I23" s="29">
        <v>7028489106.3599997</v>
      </c>
      <c r="J23" s="13">
        <f t="shared" si="0"/>
        <v>0.10222223347096222</v>
      </c>
      <c r="K23" s="29">
        <v>8419116070.3699999</v>
      </c>
      <c r="L23" s="13">
        <f t="shared" si="7"/>
        <v>0.11819660514374201</v>
      </c>
      <c r="M23" s="13">
        <f t="shared" si="8"/>
        <v>0.19785574722619087</v>
      </c>
      <c r="N23" s="20">
        <f t="shared" si="9"/>
        <v>1.8735797936690966E-3</v>
      </c>
      <c r="O23" s="21">
        <f t="shared" si="10"/>
        <v>1.4207230349390268E-2</v>
      </c>
      <c r="P23" s="22">
        <f t="shared" si="11"/>
        <v>206.53263786108829</v>
      </c>
      <c r="Q23" s="22">
        <f t="shared" si="12"/>
        <v>2.9342567607596832</v>
      </c>
      <c r="R23" s="10">
        <v>204.52</v>
      </c>
      <c r="S23" s="10">
        <v>207.92</v>
      </c>
      <c r="T23" s="10">
        <v>68</v>
      </c>
      <c r="U23" s="10">
        <v>34408144</v>
      </c>
      <c r="V23" s="10">
        <v>40764095</v>
      </c>
    </row>
    <row r="24" spans="1:23">
      <c r="A24" s="136" t="s">
        <v>51</v>
      </c>
      <c r="B24" s="136"/>
      <c r="C24" s="136"/>
      <c r="D24" s="136"/>
      <c r="E24" s="136"/>
      <c r="F24" s="136"/>
      <c r="G24" s="136"/>
      <c r="H24" s="136"/>
      <c r="I24" s="34">
        <f>SUM(I5:I23)</f>
        <v>68756951083.020004</v>
      </c>
      <c r="J24" s="35">
        <f>(I24/$I$237)</f>
        <v>1.0354297296772674E-2</v>
      </c>
      <c r="K24" s="55">
        <f>SUM(K5:K23)</f>
        <v>71229762141.910004</v>
      </c>
      <c r="L24" s="35">
        <f>(K24/$K$237)</f>
        <v>1.0409486521851578E-2</v>
      </c>
      <c r="M24" s="35">
        <f t="shared" si="1"/>
        <v>3.5964524603544802E-2</v>
      </c>
      <c r="N24" s="20"/>
      <c r="O24" s="20"/>
      <c r="P24" s="36"/>
      <c r="Q24" s="36"/>
      <c r="R24" s="37"/>
      <c r="S24" s="37"/>
      <c r="T24" s="37">
        <f>SUM(T5:T23)</f>
        <v>58442</v>
      </c>
      <c r="U24" s="37"/>
      <c r="V24" s="37"/>
    </row>
    <row r="25" spans="1:23" ht="6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5"/>
    </row>
    <row r="26" spans="1:23">
      <c r="A26" s="135" t="s">
        <v>52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</row>
    <row r="27" spans="1:23" ht="12.9" customHeight="1">
      <c r="A27" s="100">
        <v>20</v>
      </c>
      <c r="B27" s="19" t="s">
        <v>53</v>
      </c>
      <c r="C27" s="19" t="s">
        <v>22</v>
      </c>
      <c r="D27" s="10">
        <v>4942881673.8299999</v>
      </c>
      <c r="E27" s="10">
        <v>77320729.719999999</v>
      </c>
      <c r="F27" s="10">
        <v>0</v>
      </c>
      <c r="G27" s="10">
        <v>8725808.6999999993</v>
      </c>
      <c r="H27" s="12">
        <f>(E27+F27)-G27</f>
        <v>68594921.019999996</v>
      </c>
      <c r="I27" s="45">
        <v>4653969778.3000002</v>
      </c>
      <c r="J27" s="13">
        <f t="shared" ref="J27:J68" si="14">(I27/$I$69)</f>
        <v>1.2381701053725705E-3</v>
      </c>
      <c r="K27" s="45">
        <v>4757209546.46</v>
      </c>
      <c r="L27" s="13">
        <f t="shared" ref="L27" si="15">(K27/$K$69)</f>
        <v>1.1843402576099107E-3</v>
      </c>
      <c r="M27" s="13">
        <f t="shared" ref="M27:M69" si="16">((K27-I27)/I27)</f>
        <v>2.2183162564005994E-2</v>
      </c>
      <c r="N27" s="20">
        <f t="shared" ref="N27" si="17">(G27/K27)</f>
        <v>1.8342283674456106E-3</v>
      </c>
      <c r="O27" s="21">
        <f t="shared" ref="O27" si="18">H27/K27</f>
        <v>1.4419150628133207E-2</v>
      </c>
      <c r="P27" s="24">
        <f t="shared" ref="P27" si="19">K27/V27</f>
        <v>100.25277985235905</v>
      </c>
      <c r="Q27" s="24">
        <f t="shared" ref="Q27" si="20">H27/V27</f>
        <v>1.4455599335802432</v>
      </c>
      <c r="R27" s="10">
        <v>100</v>
      </c>
      <c r="S27" s="10">
        <v>100</v>
      </c>
      <c r="T27" s="10">
        <v>873</v>
      </c>
      <c r="U27" s="18">
        <v>46422540</v>
      </c>
      <c r="V27" s="18">
        <v>47452146</v>
      </c>
    </row>
    <row r="28" spans="1:23" ht="15" customHeight="1">
      <c r="A28" s="100">
        <v>21</v>
      </c>
      <c r="B28" s="19" t="s">
        <v>54</v>
      </c>
      <c r="C28" s="19" t="s">
        <v>55</v>
      </c>
      <c r="D28" s="10">
        <v>26058246849.869999</v>
      </c>
      <c r="E28" s="10">
        <v>464090899.88999999</v>
      </c>
      <c r="F28" s="10">
        <v>0</v>
      </c>
      <c r="G28" s="10">
        <v>40743273.890000001</v>
      </c>
      <c r="H28" s="12">
        <f t="shared" ref="H28:H68" si="21">(E28+F28)-G28</f>
        <v>423347626</v>
      </c>
      <c r="I28" s="45">
        <v>24898054886.939999</v>
      </c>
      <c r="J28" s="13">
        <f t="shared" si="14"/>
        <v>6.6240282407238555E-3</v>
      </c>
      <c r="K28" s="45">
        <v>26175959454.049999</v>
      </c>
      <c r="L28" s="13">
        <f t="shared" ref="L28:L68" si="22">(K28/$K$69)</f>
        <v>6.5166863599828654E-3</v>
      </c>
      <c r="M28" s="13">
        <f t="shared" ref="M28:M68" si="23">((K28-I28)/I28)</f>
        <v>5.1325477950500922E-2</v>
      </c>
      <c r="N28" s="20">
        <f t="shared" ref="N28:N68" si="24">(G28/K28)</f>
        <v>1.5565150137675705E-3</v>
      </c>
      <c r="O28" s="21">
        <f t="shared" ref="O28:O68" si="25">H28/K28</f>
        <v>1.6173146460711635E-2</v>
      </c>
      <c r="P28" s="24">
        <f t="shared" ref="P28:P68" si="26">K28/V28</f>
        <v>104.7980910604591</v>
      </c>
      <c r="Q28" s="24">
        <f t="shared" ref="Q28:Q68" si="27">H28/V28</f>
        <v>1.6949148755237997</v>
      </c>
      <c r="R28" s="10">
        <v>100</v>
      </c>
      <c r="S28" s="10">
        <v>100</v>
      </c>
      <c r="T28" s="10">
        <v>3248</v>
      </c>
      <c r="U28" s="18">
        <v>239759531.84999999</v>
      </c>
      <c r="V28" s="18">
        <v>249775155.15000001</v>
      </c>
    </row>
    <row r="29" spans="1:23">
      <c r="A29" s="100">
        <v>22</v>
      </c>
      <c r="B29" s="19" t="s">
        <v>56</v>
      </c>
      <c r="C29" s="19" t="s">
        <v>24</v>
      </c>
      <c r="D29" s="10">
        <v>2394767389.8099999</v>
      </c>
      <c r="E29" s="10">
        <v>38935571.420000002</v>
      </c>
      <c r="F29" s="10">
        <v>0</v>
      </c>
      <c r="G29" s="10">
        <v>3013283.18</v>
      </c>
      <c r="H29" s="12">
        <f t="shared" si="21"/>
        <v>35922288.240000002</v>
      </c>
      <c r="I29" s="45">
        <v>2107809836.96</v>
      </c>
      <c r="J29" s="13">
        <f t="shared" si="14"/>
        <v>5.6077440384398462E-4</v>
      </c>
      <c r="K29" s="45">
        <v>2445549753.5900002</v>
      </c>
      <c r="L29" s="13">
        <f t="shared" si="22"/>
        <v>6.0883654522217044E-4</v>
      </c>
      <c r="M29" s="13">
        <f t="shared" si="23"/>
        <v>0.160232631382491</v>
      </c>
      <c r="N29" s="20">
        <f t="shared" si="24"/>
        <v>1.232149611994842E-3</v>
      </c>
      <c r="O29" s="21">
        <f t="shared" si="25"/>
        <v>1.4688839671843546E-2</v>
      </c>
      <c r="P29" s="24">
        <f t="shared" si="26"/>
        <v>148.77749748808102</v>
      </c>
      <c r="Q29" s="24">
        <f t="shared" si="27"/>
        <v>2.1853688073805277</v>
      </c>
      <c r="R29" s="10">
        <v>100</v>
      </c>
      <c r="S29" s="10">
        <v>100</v>
      </c>
      <c r="T29" s="10">
        <v>1728</v>
      </c>
      <c r="U29" s="18">
        <v>13471874</v>
      </c>
      <c r="V29" s="18">
        <v>16437632</v>
      </c>
    </row>
    <row r="30" spans="1:23">
      <c r="A30" s="100">
        <v>23</v>
      </c>
      <c r="B30" s="19" t="s">
        <v>57</v>
      </c>
      <c r="C30" s="93" t="s">
        <v>58</v>
      </c>
      <c r="D30" s="10">
        <v>110981607416.07001</v>
      </c>
      <c r="E30" s="10">
        <v>4605600413.8100004</v>
      </c>
      <c r="F30" s="10">
        <v>0</v>
      </c>
      <c r="G30" s="10">
        <v>546754169.35000002</v>
      </c>
      <c r="H30" s="12">
        <f t="shared" si="21"/>
        <v>4058846244.4600005</v>
      </c>
      <c r="I30" s="45">
        <v>253785148594</v>
      </c>
      <c r="J30" s="13">
        <f t="shared" si="14"/>
        <v>6.7518527009302567E-2</v>
      </c>
      <c r="K30" s="45">
        <v>269735294439</v>
      </c>
      <c r="L30" s="13">
        <f t="shared" si="22"/>
        <v>6.7152469316826738E-2</v>
      </c>
      <c r="M30" s="13">
        <f t="shared" si="23"/>
        <v>6.2849011982638509E-2</v>
      </c>
      <c r="N30" s="20">
        <f t="shared" si="24"/>
        <v>2.0270026971707521E-3</v>
      </c>
      <c r="O30" s="21">
        <f t="shared" si="25"/>
        <v>1.5047516317438758E-2</v>
      </c>
      <c r="P30" s="24">
        <f t="shared" si="26"/>
        <v>1</v>
      </c>
      <c r="Q30" s="24">
        <f t="shared" si="27"/>
        <v>1.5047516317438758E-2</v>
      </c>
      <c r="R30" s="10">
        <v>1</v>
      </c>
      <c r="S30" s="10">
        <v>1</v>
      </c>
      <c r="T30" s="10">
        <v>74913</v>
      </c>
      <c r="U30" s="18">
        <v>253785148594</v>
      </c>
      <c r="V30" s="18">
        <v>269735294439</v>
      </c>
    </row>
    <row r="31" spans="1:23">
      <c r="A31" s="100">
        <v>24</v>
      </c>
      <c r="B31" s="19" t="s">
        <v>269</v>
      </c>
      <c r="C31" s="93" t="s">
        <v>101</v>
      </c>
      <c r="D31" s="10">
        <v>589344057.38</v>
      </c>
      <c r="E31" s="10">
        <v>23686280.18</v>
      </c>
      <c r="F31" s="10">
        <v>0</v>
      </c>
      <c r="G31" s="10">
        <v>3235454.59</v>
      </c>
      <c r="H31" s="12">
        <f t="shared" si="21"/>
        <v>20450825.59</v>
      </c>
      <c r="I31" s="45">
        <v>1114428136.74</v>
      </c>
      <c r="J31" s="13">
        <f t="shared" si="14"/>
        <v>2.9648916285003352E-4</v>
      </c>
      <c r="K31" s="45">
        <v>1262732914.21</v>
      </c>
      <c r="L31" s="13">
        <f t="shared" si="22"/>
        <v>3.1436610271263766E-4</v>
      </c>
      <c r="M31" s="13">
        <f t="shared" si="23"/>
        <v>0.13307702182020559</v>
      </c>
      <c r="N31" s="20">
        <f t="shared" si="24"/>
        <v>2.5622636058585582E-3</v>
      </c>
      <c r="O31" s="21">
        <f t="shared" si="25"/>
        <v>1.6195685849207938E-2</v>
      </c>
      <c r="P31" s="24">
        <f t="shared" si="26"/>
        <v>0.93861304118034594</v>
      </c>
      <c r="Q31" s="24">
        <f t="shared" si="27"/>
        <v>1.5201481948926556E-2</v>
      </c>
      <c r="R31" s="10">
        <v>1</v>
      </c>
      <c r="S31" s="10">
        <v>1</v>
      </c>
      <c r="T31" s="10">
        <v>352</v>
      </c>
      <c r="U31" s="18">
        <v>1180329845</v>
      </c>
      <c r="V31" s="18">
        <v>1345317888</v>
      </c>
    </row>
    <row r="32" spans="1:23" ht="15" customHeight="1">
      <c r="A32" s="100">
        <v>25</v>
      </c>
      <c r="B32" s="19" t="s">
        <v>59</v>
      </c>
      <c r="C32" s="19" t="s">
        <v>28</v>
      </c>
      <c r="D32" s="10">
        <v>55224850772.07</v>
      </c>
      <c r="E32" s="10">
        <v>2541340815.02</v>
      </c>
      <c r="F32" s="10">
        <v>0</v>
      </c>
      <c r="G32" s="10">
        <v>209651788.44</v>
      </c>
      <c r="H32" s="12">
        <f t="shared" si="21"/>
        <v>2331689026.5799999</v>
      </c>
      <c r="I32" s="45">
        <v>145469509649.29001</v>
      </c>
      <c r="J32" s="13">
        <f t="shared" si="14"/>
        <v>3.8701583093809916E-2</v>
      </c>
      <c r="K32" s="45">
        <v>159583766803.28</v>
      </c>
      <c r="L32" s="13">
        <f t="shared" si="22"/>
        <v>3.9729483774116892E-2</v>
      </c>
      <c r="M32" s="13">
        <f t="shared" si="23"/>
        <v>9.7025536059190787E-2</v>
      </c>
      <c r="N32" s="20">
        <f t="shared" si="24"/>
        <v>1.3137413199328675E-3</v>
      </c>
      <c r="O32" s="21">
        <f t="shared" si="25"/>
        <v>1.461106648431409E-2</v>
      </c>
      <c r="P32" s="24">
        <f t="shared" si="26"/>
        <v>1.043354667519147</v>
      </c>
      <c r="Q32" s="24">
        <f t="shared" si="27"/>
        <v>1.524452441384168E-2</v>
      </c>
      <c r="R32" s="10">
        <v>1</v>
      </c>
      <c r="S32" s="10">
        <v>1</v>
      </c>
      <c r="T32" s="10">
        <v>36002</v>
      </c>
      <c r="U32" s="18">
        <v>141102818049.79001</v>
      </c>
      <c r="V32" s="18">
        <v>152952559442.45001</v>
      </c>
    </row>
    <row r="33" spans="1:22" ht="15" customHeight="1">
      <c r="A33" s="100">
        <v>26</v>
      </c>
      <c r="B33" s="19" t="s">
        <v>264</v>
      </c>
      <c r="C33" s="19" t="s">
        <v>103</v>
      </c>
      <c r="D33" s="10">
        <v>12935158412.23</v>
      </c>
      <c r="E33" s="10">
        <v>208036966.83000001</v>
      </c>
      <c r="F33" s="10">
        <v>0</v>
      </c>
      <c r="G33" s="10">
        <v>15704848.77</v>
      </c>
      <c r="H33" s="12">
        <f t="shared" si="21"/>
        <v>192332118.06</v>
      </c>
      <c r="I33" s="45">
        <v>10797656548.540001</v>
      </c>
      <c r="J33" s="13">
        <f t="shared" si="14"/>
        <v>2.8726734773439253E-3</v>
      </c>
      <c r="K33" s="45">
        <v>12635854671.360001</v>
      </c>
      <c r="L33" s="13">
        <f t="shared" si="22"/>
        <v>3.1457835166701816E-3</v>
      </c>
      <c r="M33" s="13">
        <f t="shared" si="23"/>
        <v>0.17024046973123541</v>
      </c>
      <c r="N33" s="20">
        <f t="shared" si="24"/>
        <v>1.2428798192492729E-3</v>
      </c>
      <c r="O33" s="21">
        <f t="shared" si="25"/>
        <v>1.52211404026301E-2</v>
      </c>
      <c r="P33" s="24">
        <f t="shared" si="26"/>
        <v>1</v>
      </c>
      <c r="Q33" s="24">
        <f t="shared" si="27"/>
        <v>1.52211404026301E-2</v>
      </c>
      <c r="R33" s="10">
        <v>1</v>
      </c>
      <c r="S33" s="10">
        <v>1</v>
      </c>
      <c r="T33" s="10">
        <v>1163</v>
      </c>
      <c r="U33" s="18">
        <v>10795250184.360001</v>
      </c>
      <c r="V33" s="18">
        <v>12635854671.360001</v>
      </c>
    </row>
    <row r="34" spans="1:22">
      <c r="A34" s="100">
        <v>27</v>
      </c>
      <c r="B34" s="93" t="s">
        <v>259</v>
      </c>
      <c r="C34" s="93" t="s">
        <v>44</v>
      </c>
      <c r="D34" s="10">
        <v>35863191849.699997</v>
      </c>
      <c r="E34" s="10">
        <v>566393626.40999997</v>
      </c>
      <c r="F34" s="10">
        <v>0</v>
      </c>
      <c r="G34" s="10">
        <v>56168841.560000002</v>
      </c>
      <c r="H34" s="12">
        <f t="shared" si="21"/>
        <v>510224784.84999996</v>
      </c>
      <c r="I34" s="45">
        <v>25201548689.25</v>
      </c>
      <c r="J34" s="13">
        <f t="shared" si="14"/>
        <v>6.7047715568790715E-3</v>
      </c>
      <c r="K34" s="45">
        <v>35709616603.379997</v>
      </c>
      <c r="L34" s="13">
        <f t="shared" si="22"/>
        <v>8.8901563225587503E-3</v>
      </c>
      <c r="M34" s="13">
        <f t="shared" si="23"/>
        <v>0.41696119725421199</v>
      </c>
      <c r="N34" s="20">
        <f t="shared" si="24"/>
        <v>1.5729332012677922E-3</v>
      </c>
      <c r="O34" s="21">
        <f t="shared" si="25"/>
        <v>1.4288161940156648E-2</v>
      </c>
      <c r="P34" s="24">
        <f t="shared" si="26"/>
        <v>99.99999999826376</v>
      </c>
      <c r="Q34" s="24">
        <f t="shared" si="27"/>
        <v>1.428816193990857</v>
      </c>
      <c r="R34" s="10">
        <v>100</v>
      </c>
      <c r="S34" s="10">
        <v>100</v>
      </c>
      <c r="T34" s="10">
        <v>4870</v>
      </c>
      <c r="U34" s="18">
        <v>357096166.04000002</v>
      </c>
      <c r="V34" s="18">
        <v>357096166.04000002</v>
      </c>
    </row>
    <row r="35" spans="1:22">
      <c r="A35" s="100">
        <v>28</v>
      </c>
      <c r="B35" s="25" t="s">
        <v>213</v>
      </c>
      <c r="C35" s="25" t="s">
        <v>214</v>
      </c>
      <c r="D35" s="10">
        <v>1655600890.96</v>
      </c>
      <c r="E35" s="10">
        <v>63610033.219999999</v>
      </c>
      <c r="F35" s="10">
        <v>0</v>
      </c>
      <c r="G35" s="10">
        <v>1589796.91</v>
      </c>
      <c r="H35" s="12">
        <f t="shared" si="21"/>
        <v>62020236.310000002</v>
      </c>
      <c r="I35" s="45">
        <v>1326883800.23</v>
      </c>
      <c r="J35" s="13">
        <f t="shared" si="14"/>
        <v>3.5301214511712116E-4</v>
      </c>
      <c r="K35" s="45">
        <v>1582835393.4100001</v>
      </c>
      <c r="L35" s="13">
        <f t="shared" si="22"/>
        <v>3.9405783144033429E-4</v>
      </c>
      <c r="M35" s="13">
        <f t="shared" si="23"/>
        <v>0.19289676544067672</v>
      </c>
      <c r="N35" s="20">
        <f t="shared" si="24"/>
        <v>1.0043981304808975E-3</v>
      </c>
      <c r="O35" s="21">
        <f t="shared" si="25"/>
        <v>3.9182998161537176E-2</v>
      </c>
      <c r="P35" s="24">
        <f t="shared" si="26"/>
        <v>1.0144155038766851</v>
      </c>
      <c r="Q35" s="24">
        <f t="shared" si="27"/>
        <v>3.9747840823434959E-2</v>
      </c>
      <c r="R35" s="10">
        <v>1</v>
      </c>
      <c r="S35" s="10">
        <v>1</v>
      </c>
      <c r="T35" s="10">
        <v>537</v>
      </c>
      <c r="U35" s="18">
        <v>1312490761.01</v>
      </c>
      <c r="V35" s="18">
        <v>1560342273.3199999</v>
      </c>
    </row>
    <row r="36" spans="1:22">
      <c r="A36" s="100">
        <v>29</v>
      </c>
      <c r="B36" s="19" t="s">
        <v>229</v>
      </c>
      <c r="C36" s="19" t="s">
        <v>60</v>
      </c>
      <c r="D36" s="10">
        <v>75814099036.309998</v>
      </c>
      <c r="E36" s="10">
        <v>1256688254.3</v>
      </c>
      <c r="F36" s="10">
        <v>0</v>
      </c>
      <c r="G36" s="10">
        <v>110701885.95</v>
      </c>
      <c r="H36" s="12">
        <f t="shared" si="21"/>
        <v>1145986368.3499999</v>
      </c>
      <c r="I36" s="45">
        <v>67012080706.959999</v>
      </c>
      <c r="J36" s="13">
        <f t="shared" si="14"/>
        <v>1.7828296912679988E-2</v>
      </c>
      <c r="K36" s="45">
        <v>72539414959.029999</v>
      </c>
      <c r="L36" s="13">
        <f t="shared" si="22"/>
        <v>1.805918964897801E-2</v>
      </c>
      <c r="M36" s="13">
        <f t="shared" si="23"/>
        <v>8.2482653780602877E-2</v>
      </c>
      <c r="N36" s="20">
        <f t="shared" si="24"/>
        <v>1.5260928973927352E-3</v>
      </c>
      <c r="O36" s="21">
        <f t="shared" si="25"/>
        <v>1.579811980834487E-2</v>
      </c>
      <c r="P36" s="24">
        <f t="shared" si="26"/>
        <v>100.00000000004135</v>
      </c>
      <c r="Q36" s="24">
        <f t="shared" si="27"/>
        <v>1.5798119808351401</v>
      </c>
      <c r="R36" s="10">
        <v>100</v>
      </c>
      <c r="S36" s="10">
        <v>100</v>
      </c>
      <c r="T36" s="10">
        <v>5149</v>
      </c>
      <c r="U36" s="18">
        <v>670120807.07000005</v>
      </c>
      <c r="V36" s="18">
        <v>725394149.59000003</v>
      </c>
    </row>
    <row r="37" spans="1:22">
      <c r="A37" s="100">
        <v>30</v>
      </c>
      <c r="B37" s="19" t="s">
        <v>61</v>
      </c>
      <c r="C37" s="19" t="s">
        <v>62</v>
      </c>
      <c r="D37" s="10">
        <v>11918168274.77</v>
      </c>
      <c r="E37" s="10">
        <v>468773057.06999999</v>
      </c>
      <c r="F37" s="10">
        <v>0</v>
      </c>
      <c r="G37" s="10">
        <v>29776321.050000001</v>
      </c>
      <c r="H37" s="12">
        <f t="shared" si="21"/>
        <v>438996736.01999998</v>
      </c>
      <c r="I37" s="45">
        <v>26369828600</v>
      </c>
      <c r="J37" s="13">
        <f t="shared" si="14"/>
        <v>7.0155877695117141E-3</v>
      </c>
      <c r="K37" s="45">
        <v>27512771800</v>
      </c>
      <c r="L37" s="13">
        <f t="shared" si="22"/>
        <v>6.8494950501858595E-3</v>
      </c>
      <c r="M37" s="13">
        <f t="shared" si="23"/>
        <v>4.334283765500091E-2</v>
      </c>
      <c r="N37" s="20">
        <f t="shared" si="24"/>
        <v>1.0822726719959201E-3</v>
      </c>
      <c r="O37" s="21">
        <f t="shared" si="25"/>
        <v>1.5956107193096408E-2</v>
      </c>
      <c r="P37" s="24">
        <f t="shared" si="26"/>
        <v>100</v>
      </c>
      <c r="Q37" s="24">
        <f t="shared" si="27"/>
        <v>1.5956107193096407</v>
      </c>
      <c r="R37" s="10">
        <v>100</v>
      </c>
      <c r="S37" s="10">
        <v>100</v>
      </c>
      <c r="T37" s="10">
        <v>5302</v>
      </c>
      <c r="U37" s="18">
        <v>263698286</v>
      </c>
      <c r="V37" s="18">
        <v>275127718</v>
      </c>
    </row>
    <row r="38" spans="1:22">
      <c r="A38" s="100">
        <v>31</v>
      </c>
      <c r="B38" s="19" t="s">
        <v>63</v>
      </c>
      <c r="C38" s="19" t="s">
        <v>64</v>
      </c>
      <c r="D38" s="10">
        <v>59880231138.660004</v>
      </c>
      <c r="E38" s="10">
        <v>746639298.63999999</v>
      </c>
      <c r="F38" s="10">
        <v>0</v>
      </c>
      <c r="G38" s="10">
        <v>70981683.420000002</v>
      </c>
      <c r="H38" s="12">
        <f t="shared" si="21"/>
        <v>675657615.22000003</v>
      </c>
      <c r="I38" s="45">
        <v>38183707062.849998</v>
      </c>
      <c r="J38" s="13">
        <f t="shared" si="14"/>
        <v>1.0158623035750354E-2</v>
      </c>
      <c r="K38" s="45">
        <v>60419732474.919998</v>
      </c>
      <c r="L38" s="13">
        <f t="shared" si="22"/>
        <v>1.5041910772527775E-2</v>
      </c>
      <c r="M38" s="13">
        <f t="shared" si="23"/>
        <v>0.58234328519935807</v>
      </c>
      <c r="N38" s="20">
        <f t="shared" si="24"/>
        <v>1.1748096277894682E-3</v>
      </c>
      <c r="O38" s="21">
        <f t="shared" si="25"/>
        <v>1.1182730997699517E-2</v>
      </c>
      <c r="P38" s="24">
        <f t="shared" si="26"/>
        <v>1</v>
      </c>
      <c r="Q38" s="24">
        <f t="shared" si="27"/>
        <v>1.1182730997699517E-2</v>
      </c>
      <c r="R38" s="10">
        <v>1</v>
      </c>
      <c r="S38" s="10">
        <v>1</v>
      </c>
      <c r="T38" s="10">
        <v>9291</v>
      </c>
      <c r="U38" s="18">
        <v>38183707062.849998</v>
      </c>
      <c r="V38" s="18">
        <v>60419732474.919998</v>
      </c>
    </row>
    <row r="39" spans="1:22">
      <c r="A39" s="100">
        <v>32</v>
      </c>
      <c r="B39" s="87" t="s">
        <v>307</v>
      </c>
      <c r="C39" s="88" t="s">
        <v>110</v>
      </c>
      <c r="D39" s="10">
        <v>345744970.29000002</v>
      </c>
      <c r="E39" s="10">
        <v>9732652.4100000001</v>
      </c>
      <c r="F39" s="10">
        <v>0</v>
      </c>
      <c r="G39" s="10">
        <v>1365754.59</v>
      </c>
      <c r="H39" s="12">
        <f t="shared" ref="H39" si="28">(E39+F39)-G39</f>
        <v>8366897.8200000003</v>
      </c>
      <c r="I39" s="18">
        <v>409082897.19999999</v>
      </c>
      <c r="J39" s="13">
        <f t="shared" si="14"/>
        <v>1.0883487389496107E-4</v>
      </c>
      <c r="K39" s="45">
        <v>870447105.01999998</v>
      </c>
      <c r="L39" s="13">
        <f t="shared" si="22"/>
        <v>2.1670383415469251E-4</v>
      </c>
      <c r="M39" s="13">
        <f t="shared" si="23"/>
        <v>1.1278012622327738</v>
      </c>
      <c r="N39" s="20">
        <f t="shared" si="24"/>
        <v>1.5690265176637236E-3</v>
      </c>
      <c r="O39" s="21">
        <f t="shared" si="25"/>
        <v>9.6121840968243066E-3</v>
      </c>
      <c r="P39" s="24">
        <f t="shared" si="26"/>
        <v>984.99068702324621</v>
      </c>
      <c r="Q39" s="24">
        <f t="shared" si="27"/>
        <v>9.4679118173248948</v>
      </c>
      <c r="R39" s="10">
        <v>1000</v>
      </c>
      <c r="S39" s="10">
        <v>1000</v>
      </c>
      <c r="T39" s="10">
        <v>32</v>
      </c>
      <c r="U39" s="18">
        <v>409162</v>
      </c>
      <c r="V39" s="18">
        <v>883711</v>
      </c>
    </row>
    <row r="40" spans="1:22">
      <c r="A40" s="100">
        <v>33</v>
      </c>
      <c r="B40" s="19" t="s">
        <v>65</v>
      </c>
      <c r="C40" s="19" t="s">
        <v>66</v>
      </c>
      <c r="D40" s="10">
        <v>30539322733.740002</v>
      </c>
      <c r="E40" s="10">
        <v>1101528920.6800001</v>
      </c>
      <c r="F40" s="10"/>
      <c r="G40" s="10">
        <v>122531025.44</v>
      </c>
      <c r="H40" s="12">
        <f t="shared" si="21"/>
        <v>978997895.24000001</v>
      </c>
      <c r="I40" s="45">
        <v>79161506627.479996</v>
      </c>
      <c r="J40" s="13">
        <f t="shared" si="14"/>
        <v>2.106060324229294E-2</v>
      </c>
      <c r="K40" s="45">
        <v>82901819507.970001</v>
      </c>
      <c r="L40" s="13">
        <f t="shared" si="22"/>
        <v>2.0638982015299602E-2</v>
      </c>
      <c r="M40" s="13">
        <f t="shared" si="23"/>
        <v>4.7249137110177225E-2</v>
      </c>
      <c r="N40" s="20">
        <f t="shared" si="24"/>
        <v>1.4780257679171942E-3</v>
      </c>
      <c r="O40" s="21">
        <f t="shared" si="25"/>
        <v>1.1809124347938845E-2</v>
      </c>
      <c r="P40" s="24">
        <f t="shared" si="26"/>
        <v>104.8038763253136</v>
      </c>
      <c r="Q40" s="24">
        <f t="shared" si="27"/>
        <v>1.2376420076716321</v>
      </c>
      <c r="R40" s="10">
        <v>100</v>
      </c>
      <c r="S40" s="10">
        <v>100</v>
      </c>
      <c r="T40" s="10">
        <v>7754</v>
      </c>
      <c r="U40" s="18">
        <v>766993350</v>
      </c>
      <c r="V40" s="18">
        <v>791018638</v>
      </c>
    </row>
    <row r="41" spans="1:22">
      <c r="A41" s="100">
        <v>34</v>
      </c>
      <c r="B41" s="19" t="s">
        <v>67</v>
      </c>
      <c r="C41" s="19" t="s">
        <v>66</v>
      </c>
      <c r="D41" s="10">
        <v>4270543915.0700002</v>
      </c>
      <c r="E41" s="10">
        <v>171032454.19999999</v>
      </c>
      <c r="F41" s="10">
        <v>0</v>
      </c>
      <c r="G41" s="10">
        <v>9108092.1500000004</v>
      </c>
      <c r="H41" s="12">
        <f t="shared" si="21"/>
        <v>161924362.04999998</v>
      </c>
      <c r="I41" s="45">
        <v>10664030999.610001</v>
      </c>
      <c r="J41" s="13">
        <f t="shared" si="14"/>
        <v>2.8371229327807499E-3</v>
      </c>
      <c r="K41" s="45">
        <v>11746490929.280001</v>
      </c>
      <c r="L41" s="13">
        <f t="shared" si="22"/>
        <v>2.9243702547322573E-3</v>
      </c>
      <c r="M41" s="13">
        <f t="shared" si="23"/>
        <v>0.10150569983429224</v>
      </c>
      <c r="N41" s="20">
        <f t="shared" si="24"/>
        <v>7.7538834404550802E-4</v>
      </c>
      <c r="O41" s="21">
        <f t="shared" si="25"/>
        <v>1.3784913556301117E-2</v>
      </c>
      <c r="P41" s="24">
        <f t="shared" si="26"/>
        <v>1033294.4167206193</v>
      </c>
      <c r="Q41" s="24">
        <f t="shared" si="27"/>
        <v>14243.874212702322</v>
      </c>
      <c r="R41" s="10">
        <v>1000000</v>
      </c>
      <c r="S41" s="10">
        <v>1000000</v>
      </c>
      <c r="T41" s="10">
        <v>76</v>
      </c>
      <c r="U41" s="18">
        <v>10368</v>
      </c>
      <c r="V41" s="18">
        <v>11368</v>
      </c>
    </row>
    <row r="42" spans="1:22">
      <c r="A42" s="100">
        <v>35</v>
      </c>
      <c r="B42" s="93" t="s">
        <v>68</v>
      </c>
      <c r="C42" s="93" t="s">
        <v>69</v>
      </c>
      <c r="D42" s="10">
        <v>7133064492.9899998</v>
      </c>
      <c r="E42" s="10">
        <v>130536208.29000001</v>
      </c>
      <c r="F42" s="10">
        <v>0</v>
      </c>
      <c r="G42" s="10">
        <v>11660095.960000001</v>
      </c>
      <c r="H42" s="12">
        <f t="shared" si="21"/>
        <v>118876112.33000001</v>
      </c>
      <c r="I42" s="45">
        <v>6643488974.0699997</v>
      </c>
      <c r="J42" s="13">
        <f t="shared" si="14"/>
        <v>1.7674737557213933E-3</v>
      </c>
      <c r="K42" s="45">
        <v>6843299442.1999998</v>
      </c>
      <c r="L42" s="13">
        <f t="shared" si="22"/>
        <v>1.7036867821616051E-3</v>
      </c>
      <c r="M42" s="13">
        <f t="shared" si="23"/>
        <v>3.0076134529593453E-2</v>
      </c>
      <c r="N42" s="20">
        <f t="shared" si="24"/>
        <v>1.7038704879837154E-3</v>
      </c>
      <c r="O42" s="21">
        <f t="shared" si="25"/>
        <v>1.7371169175637219E-2</v>
      </c>
      <c r="P42" s="24">
        <f t="shared" si="26"/>
        <v>1.000449233416808</v>
      </c>
      <c r="Q42" s="24">
        <f t="shared" si="27"/>
        <v>1.7378972885319942E-2</v>
      </c>
      <c r="R42" s="10">
        <v>1</v>
      </c>
      <c r="S42" s="10">
        <v>1</v>
      </c>
      <c r="T42" s="10">
        <v>1031</v>
      </c>
      <c r="U42" s="18">
        <v>6793577994.6899996</v>
      </c>
      <c r="V42" s="18">
        <v>6840226583.8400002</v>
      </c>
    </row>
    <row r="43" spans="1:22">
      <c r="A43" s="100">
        <v>36</v>
      </c>
      <c r="B43" s="19" t="s">
        <v>70</v>
      </c>
      <c r="C43" s="19" t="s">
        <v>71</v>
      </c>
      <c r="D43" s="10">
        <v>1652887859.8800001</v>
      </c>
      <c r="E43" s="10">
        <v>55125397.350000001</v>
      </c>
      <c r="F43" s="10">
        <v>0</v>
      </c>
      <c r="G43" s="10">
        <v>3192737.6</v>
      </c>
      <c r="H43" s="12">
        <f>(E43+F43)-G43</f>
        <v>51932659.75</v>
      </c>
      <c r="I43" s="45">
        <v>2681439387.1500001</v>
      </c>
      <c r="J43" s="13">
        <f t="shared" si="14"/>
        <v>7.133862587630367E-4</v>
      </c>
      <c r="K43" s="45">
        <v>2995845553.2600002</v>
      </c>
      <c r="L43" s="13">
        <f t="shared" si="22"/>
        <v>7.4583649504103003E-4</v>
      </c>
      <c r="M43" s="13">
        <f t="shared" si="23"/>
        <v>0.11725275895352999</v>
      </c>
      <c r="N43" s="20">
        <f t="shared" si="24"/>
        <v>1.0657216946733943E-3</v>
      </c>
      <c r="O43" s="21">
        <f t="shared" si="25"/>
        <v>1.7334892212146333E-2</v>
      </c>
      <c r="P43" s="24">
        <f t="shared" si="26"/>
        <v>0.91494526604640858</v>
      </c>
      <c r="Q43" s="24">
        <f t="shared" si="27"/>
        <v>1.5860477566928041E-2</v>
      </c>
      <c r="R43" s="10">
        <v>1</v>
      </c>
      <c r="S43" s="10">
        <v>1</v>
      </c>
      <c r="T43" s="10">
        <v>1551</v>
      </c>
      <c r="U43" s="18">
        <v>2862098507.2600002</v>
      </c>
      <c r="V43" s="18">
        <v>3274344012.0799999</v>
      </c>
    </row>
    <row r="44" spans="1:22">
      <c r="A44" s="100">
        <v>37</v>
      </c>
      <c r="B44" s="19" t="s">
        <v>72</v>
      </c>
      <c r="C44" s="19" t="s">
        <v>73</v>
      </c>
      <c r="D44" s="10">
        <v>644903534483.69995</v>
      </c>
      <c r="E44" s="10">
        <v>10676977581.66</v>
      </c>
      <c r="F44" s="10">
        <v>0</v>
      </c>
      <c r="G44" s="10">
        <v>956269786.25999999</v>
      </c>
      <c r="H44" s="12">
        <f t="shared" ref="H44" si="29">(E44+F44)-G44</f>
        <v>9720707795.3999996</v>
      </c>
      <c r="I44" s="45">
        <v>597370724273.81995</v>
      </c>
      <c r="J44" s="13">
        <f t="shared" si="14"/>
        <v>0.158928099634283</v>
      </c>
      <c r="K44" s="45">
        <v>610727831178.16003</v>
      </c>
      <c r="L44" s="13">
        <f t="shared" si="22"/>
        <v>0.15204492252087637</v>
      </c>
      <c r="M44" s="13">
        <f t="shared" si="23"/>
        <v>2.2359828430791196E-2</v>
      </c>
      <c r="N44" s="20">
        <f t="shared" si="24"/>
        <v>1.5657871435386401E-3</v>
      </c>
      <c r="O44" s="21">
        <f t="shared" si="25"/>
        <v>1.591659541149075E-2</v>
      </c>
      <c r="P44" s="24">
        <f t="shared" si="26"/>
        <v>100.05493645095608</v>
      </c>
      <c r="Q44" s="24">
        <f t="shared" si="27"/>
        <v>1.5925339424122862</v>
      </c>
      <c r="R44" s="10">
        <v>100</v>
      </c>
      <c r="S44" s="10">
        <v>100</v>
      </c>
      <c r="T44" s="10">
        <v>33243</v>
      </c>
      <c r="U44" s="18">
        <v>5970479521</v>
      </c>
      <c r="V44" s="18">
        <v>6103925032</v>
      </c>
    </row>
    <row r="45" spans="1:22">
      <c r="A45" s="100">
        <v>38</v>
      </c>
      <c r="B45" s="19" t="s">
        <v>265</v>
      </c>
      <c r="C45" s="19" t="s">
        <v>266</v>
      </c>
      <c r="D45" s="10">
        <v>2236462539.75</v>
      </c>
      <c r="E45" s="10">
        <v>35919105.450000003</v>
      </c>
      <c r="F45" s="10">
        <v>0</v>
      </c>
      <c r="G45" s="10">
        <v>32644940.309999999</v>
      </c>
      <c r="H45" s="12">
        <f>(E45+F45)-G45</f>
        <v>3274165.1400000043</v>
      </c>
      <c r="I45" s="45">
        <v>1998005212.76</v>
      </c>
      <c r="J45" s="13">
        <f t="shared" si="14"/>
        <v>5.3156132133751167E-4</v>
      </c>
      <c r="K45" s="45">
        <v>2101529689.1300001</v>
      </c>
      <c r="L45" s="13">
        <f t="shared" si="22"/>
        <v>5.2319036802807935E-4</v>
      </c>
      <c r="M45" s="13">
        <f t="shared" si="23"/>
        <v>5.1813917055298225E-2</v>
      </c>
      <c r="N45" s="20">
        <f t="shared" si="24"/>
        <v>1.5533894419314383E-2</v>
      </c>
      <c r="O45" s="21">
        <f t="shared" si="25"/>
        <v>1.5579913797722537E-3</v>
      </c>
      <c r="P45" s="24">
        <f t="shared" si="26"/>
        <v>0.92526938650442614</v>
      </c>
      <c r="Q45" s="24">
        <f t="shared" si="27"/>
        <v>1.4415617281410575E-3</v>
      </c>
      <c r="R45" s="10">
        <v>1</v>
      </c>
      <c r="S45" s="10">
        <v>1</v>
      </c>
      <c r="T45" s="10">
        <v>391</v>
      </c>
      <c r="U45" s="18">
        <v>2050030489.52</v>
      </c>
      <c r="V45" s="18">
        <v>2271262531.52</v>
      </c>
    </row>
    <row r="46" spans="1:22" ht="15.6" customHeight="1">
      <c r="A46" s="100">
        <v>39</v>
      </c>
      <c r="B46" s="19" t="s">
        <v>74</v>
      </c>
      <c r="C46" s="19" t="s">
        <v>75</v>
      </c>
      <c r="D46" s="10">
        <v>1304912440.05</v>
      </c>
      <c r="E46" s="10">
        <v>20447206.879999999</v>
      </c>
      <c r="F46" s="10">
        <v>0</v>
      </c>
      <c r="G46" s="10">
        <v>1291345.56</v>
      </c>
      <c r="H46" s="12">
        <f t="shared" si="21"/>
        <v>19155861.32</v>
      </c>
      <c r="I46" s="45">
        <v>1214137034.53</v>
      </c>
      <c r="J46" s="13">
        <f t="shared" si="14"/>
        <v>3.2301631759411168E-4</v>
      </c>
      <c r="K46" s="45">
        <v>1245377083.3699999</v>
      </c>
      <c r="L46" s="13">
        <f t="shared" si="22"/>
        <v>3.1004524844558616E-4</v>
      </c>
      <c r="M46" s="13">
        <f t="shared" si="23"/>
        <v>2.5730249511821481E-2</v>
      </c>
      <c r="N46" s="20">
        <f t="shared" si="24"/>
        <v>1.0369112915628808E-3</v>
      </c>
      <c r="O46" s="21">
        <f t="shared" si="25"/>
        <v>1.5381575248007691E-2</v>
      </c>
      <c r="P46" s="24">
        <f t="shared" si="26"/>
        <v>9.9404360519478825</v>
      </c>
      <c r="Q46" s="24">
        <f t="shared" si="27"/>
        <v>0.15289956513104483</v>
      </c>
      <c r="R46" s="10">
        <v>10</v>
      </c>
      <c r="S46" s="10">
        <v>10</v>
      </c>
      <c r="T46" s="10">
        <v>484</v>
      </c>
      <c r="U46" s="18">
        <v>122143743</v>
      </c>
      <c r="V46" s="18">
        <v>125283949</v>
      </c>
    </row>
    <row r="47" spans="1:22">
      <c r="A47" s="100">
        <v>40</v>
      </c>
      <c r="B47" s="19" t="s">
        <v>76</v>
      </c>
      <c r="C47" s="19" t="s">
        <v>77</v>
      </c>
      <c r="D47" s="10">
        <v>1952338926.1600001</v>
      </c>
      <c r="E47" s="10">
        <v>145927609.19999999</v>
      </c>
      <c r="F47" s="10">
        <v>0</v>
      </c>
      <c r="G47" s="10">
        <v>14830197.869999999</v>
      </c>
      <c r="H47" s="12">
        <f t="shared" si="21"/>
        <v>131097411.32999998</v>
      </c>
      <c r="I47" s="45">
        <v>8154528939.4899998</v>
      </c>
      <c r="J47" s="13">
        <f t="shared" si="14"/>
        <v>2.1694799144054873E-3</v>
      </c>
      <c r="K47" s="45">
        <v>8854063898.2099991</v>
      </c>
      <c r="L47" s="13">
        <f t="shared" si="22"/>
        <v>2.2042805169059233E-3</v>
      </c>
      <c r="M47" s="13">
        <f t="shared" si="23"/>
        <v>8.5784839800169946E-2</v>
      </c>
      <c r="N47" s="20">
        <f t="shared" si="24"/>
        <v>1.6749594356325098E-3</v>
      </c>
      <c r="O47" s="21">
        <f t="shared" si="25"/>
        <v>1.4806467723426253E-2</v>
      </c>
      <c r="P47" s="24">
        <f t="shared" si="26"/>
        <v>99.63755102896296</v>
      </c>
      <c r="Q47" s="24">
        <f t="shared" si="27"/>
        <v>1.4752801833515765</v>
      </c>
      <c r="R47" s="10">
        <v>100</v>
      </c>
      <c r="S47" s="10">
        <v>100</v>
      </c>
      <c r="T47" s="10">
        <v>1746</v>
      </c>
      <c r="U47" s="18">
        <v>81648564</v>
      </c>
      <c r="V47" s="18">
        <v>88862721</v>
      </c>
    </row>
    <row r="48" spans="1:22">
      <c r="A48" s="100">
        <v>41</v>
      </c>
      <c r="B48" s="87" t="s">
        <v>249</v>
      </c>
      <c r="C48" s="87" t="s">
        <v>225</v>
      </c>
      <c r="D48" s="10">
        <v>119566131.2</v>
      </c>
      <c r="E48" s="10">
        <v>6771922.1900000004</v>
      </c>
      <c r="F48" s="10">
        <v>0</v>
      </c>
      <c r="G48" s="10">
        <v>170792.37</v>
      </c>
      <c r="H48" s="12">
        <f t="shared" si="21"/>
        <v>6601129.8200000003</v>
      </c>
      <c r="I48" s="45">
        <v>113330849.73</v>
      </c>
      <c r="J48" s="13">
        <f t="shared" si="14"/>
        <v>3.0151220750602754E-5</v>
      </c>
      <c r="K48" s="45">
        <v>113330849.73</v>
      </c>
      <c r="L48" s="13">
        <f t="shared" si="22"/>
        <v>2.8214499793110358E-5</v>
      </c>
      <c r="M48" s="13">
        <f t="shared" si="23"/>
        <v>0</v>
      </c>
      <c r="N48" s="20">
        <f t="shared" si="24"/>
        <v>1.5070245251570654E-3</v>
      </c>
      <c r="O48" s="21">
        <f t="shared" si="25"/>
        <v>5.8246539540880223E-2</v>
      </c>
      <c r="P48" s="24">
        <f t="shared" si="26"/>
        <v>0.95705868707611397</v>
      </c>
      <c r="Q48" s="24">
        <f t="shared" si="27"/>
        <v>5.5745356659721787E-2</v>
      </c>
      <c r="R48" s="10">
        <v>1</v>
      </c>
      <c r="S48" s="10">
        <v>1</v>
      </c>
      <c r="T48" s="10">
        <v>92</v>
      </c>
      <c r="U48" s="18">
        <v>110326778.73999999</v>
      </c>
      <c r="V48" s="18">
        <v>118415778.73999999</v>
      </c>
    </row>
    <row r="49" spans="1:22">
      <c r="A49" s="100">
        <v>42</v>
      </c>
      <c r="B49" s="93" t="s">
        <v>267</v>
      </c>
      <c r="C49" s="93" t="s">
        <v>36</v>
      </c>
      <c r="D49" s="10">
        <v>683701172.86000001</v>
      </c>
      <c r="E49" s="10">
        <v>11309572.630000001</v>
      </c>
      <c r="F49" s="10">
        <v>0</v>
      </c>
      <c r="G49" s="10">
        <v>1266061.22</v>
      </c>
      <c r="H49" s="12">
        <f t="shared" si="21"/>
        <v>10043511.41</v>
      </c>
      <c r="I49" s="45">
        <v>609173436.51999998</v>
      </c>
      <c r="J49" s="13">
        <f t="shared" si="14"/>
        <v>1.6206816417309335E-4</v>
      </c>
      <c r="K49" s="45">
        <v>651872707</v>
      </c>
      <c r="L49" s="13">
        <f t="shared" si="22"/>
        <v>1.6228822426200465E-4</v>
      </c>
      <c r="M49" s="13">
        <f t="shared" si="23"/>
        <v>7.0093782690076545E-2</v>
      </c>
      <c r="N49" s="20">
        <f t="shared" si="24"/>
        <v>1.9421908700957471E-3</v>
      </c>
      <c r="O49" s="21">
        <f t="shared" si="25"/>
        <v>1.5407166617270264E-2</v>
      </c>
      <c r="P49" s="24">
        <f t="shared" si="26"/>
        <v>100</v>
      </c>
      <c r="Q49" s="24">
        <f t="shared" si="27"/>
        <v>1.5407166617270263</v>
      </c>
      <c r="R49" s="10">
        <v>100</v>
      </c>
      <c r="S49" s="10">
        <v>100</v>
      </c>
      <c r="T49" s="10">
        <v>4137</v>
      </c>
      <c r="U49" s="18">
        <v>6091734.3700000001</v>
      </c>
      <c r="V49" s="18">
        <v>6518727.0700000003</v>
      </c>
    </row>
    <row r="50" spans="1:22">
      <c r="A50" s="100">
        <v>43</v>
      </c>
      <c r="B50" s="93" t="s">
        <v>78</v>
      </c>
      <c r="C50" s="93" t="s">
        <v>36</v>
      </c>
      <c r="D50" s="10">
        <v>185192763391.03</v>
      </c>
      <c r="E50" s="10">
        <v>2888838353.23</v>
      </c>
      <c r="F50" s="10">
        <v>0</v>
      </c>
      <c r="G50" s="10">
        <v>177747580.24000001</v>
      </c>
      <c r="H50" s="12">
        <f t="shared" si="21"/>
        <v>2711090772.9899998</v>
      </c>
      <c r="I50" s="45">
        <v>146911779054.45001</v>
      </c>
      <c r="J50" s="13">
        <f t="shared" si="14"/>
        <v>3.9085293119106836E-2</v>
      </c>
      <c r="K50" s="45">
        <v>176543820412</v>
      </c>
      <c r="L50" s="13">
        <f t="shared" si="22"/>
        <v>4.3951806558904953E-2</v>
      </c>
      <c r="M50" s="13">
        <f t="shared" si="23"/>
        <v>0.20169956111257387</v>
      </c>
      <c r="N50" s="20">
        <f t="shared" si="24"/>
        <v>1.0068184761448506E-3</v>
      </c>
      <c r="O50" s="21">
        <f t="shared" si="25"/>
        <v>1.5356475047742436E-2</v>
      </c>
      <c r="P50" s="24">
        <f t="shared" si="26"/>
        <v>100</v>
      </c>
      <c r="Q50" s="24">
        <f t="shared" si="27"/>
        <v>1.5356475047742437</v>
      </c>
      <c r="R50" s="10">
        <v>100</v>
      </c>
      <c r="S50" s="10">
        <v>100</v>
      </c>
      <c r="T50" s="10">
        <v>17714</v>
      </c>
      <c r="U50" s="18">
        <v>1469117790.54</v>
      </c>
      <c r="V50" s="18">
        <v>1765438204.1199999</v>
      </c>
    </row>
    <row r="51" spans="1:22">
      <c r="A51" s="100">
        <v>44</v>
      </c>
      <c r="B51" s="19" t="s">
        <v>79</v>
      </c>
      <c r="C51" s="19" t="s">
        <v>38</v>
      </c>
      <c r="D51" s="10">
        <v>33493461099.18</v>
      </c>
      <c r="E51" s="10">
        <v>598162414.27999997</v>
      </c>
      <c r="F51" s="10">
        <v>0</v>
      </c>
      <c r="G51" s="10">
        <v>38068712.390000001</v>
      </c>
      <c r="H51" s="12">
        <f t="shared" si="21"/>
        <v>560093701.88999999</v>
      </c>
      <c r="I51" s="45">
        <v>31054579882.060001</v>
      </c>
      <c r="J51" s="13">
        <f t="shared" si="14"/>
        <v>8.2619471712419342E-3</v>
      </c>
      <c r="K51" s="45">
        <v>33347449775.950001</v>
      </c>
      <c r="L51" s="13">
        <f t="shared" si="22"/>
        <v>8.3020785341842984E-3</v>
      </c>
      <c r="M51" s="13">
        <f t="shared" si="23"/>
        <v>7.3833550561557368E-2</v>
      </c>
      <c r="N51" s="20">
        <f t="shared" si="24"/>
        <v>1.1415779211235201E-3</v>
      </c>
      <c r="O51" s="21">
        <f t="shared" si="25"/>
        <v>1.6795698191408224E-2</v>
      </c>
      <c r="P51" s="24">
        <f t="shared" si="26"/>
        <v>1.0004798771928767</v>
      </c>
      <c r="Q51" s="24">
        <f t="shared" si="27"/>
        <v>1.6803758063908717E-2</v>
      </c>
      <c r="R51" s="10">
        <v>1</v>
      </c>
      <c r="S51" s="10">
        <v>1</v>
      </c>
      <c r="T51" s="10">
        <v>2346</v>
      </c>
      <c r="U51" s="18">
        <v>31041104249</v>
      </c>
      <c r="V51" s="18">
        <v>33331454771</v>
      </c>
    </row>
    <row r="52" spans="1:22">
      <c r="A52" s="100">
        <v>45</v>
      </c>
      <c r="B52" s="19" t="s">
        <v>275</v>
      </c>
      <c r="C52" s="93" t="s">
        <v>276</v>
      </c>
      <c r="D52" s="10">
        <v>1717717596.47</v>
      </c>
      <c r="E52" s="10">
        <v>74320650.459999993</v>
      </c>
      <c r="F52" s="10"/>
      <c r="G52" s="10">
        <v>9080321.8599999994</v>
      </c>
      <c r="H52" s="12">
        <f t="shared" si="21"/>
        <v>65240328.599999994</v>
      </c>
      <c r="I52" s="45">
        <v>3851079938.9299998</v>
      </c>
      <c r="J52" s="13">
        <f t="shared" si="14"/>
        <v>1.0245644645171955E-3</v>
      </c>
      <c r="K52" s="45">
        <v>4292161308.3699999</v>
      </c>
      <c r="L52" s="13">
        <f t="shared" si="22"/>
        <v>1.0685632785381362E-3</v>
      </c>
      <c r="M52" s="13">
        <f t="shared" si="23"/>
        <v>0.11453446213390002</v>
      </c>
      <c r="N52" s="20">
        <f t="shared" si="24"/>
        <v>2.1155593202643081E-3</v>
      </c>
      <c r="O52" s="21">
        <f t="shared" si="25"/>
        <v>1.5199878083048048E-2</v>
      </c>
      <c r="P52" s="24">
        <f t="shared" si="26"/>
        <v>103.82912244288718</v>
      </c>
      <c r="Q52" s="24">
        <f t="shared" si="27"/>
        <v>1.578190002601753</v>
      </c>
      <c r="R52" s="10">
        <v>100</v>
      </c>
      <c r="S52" s="10">
        <v>100</v>
      </c>
      <c r="T52" s="10">
        <v>216</v>
      </c>
      <c r="U52" s="18">
        <v>37668652.82</v>
      </c>
      <c r="V52" s="18">
        <v>41338703.509999998</v>
      </c>
    </row>
    <row r="53" spans="1:22">
      <c r="A53" s="100">
        <v>46</v>
      </c>
      <c r="B53" s="19" t="s">
        <v>80</v>
      </c>
      <c r="C53" s="19" t="s">
        <v>40</v>
      </c>
      <c r="D53" s="10">
        <v>68745879060.690002</v>
      </c>
      <c r="E53" s="10">
        <v>1544321038.6400001</v>
      </c>
      <c r="F53" s="10">
        <v>0</v>
      </c>
      <c r="G53" s="10">
        <v>84987387.239999995</v>
      </c>
      <c r="H53" s="12">
        <f t="shared" si="21"/>
        <v>1459333651.4000001</v>
      </c>
      <c r="I53" s="45">
        <v>56477355953.720001</v>
      </c>
      <c r="J53" s="13">
        <f t="shared" si="14"/>
        <v>1.5025575391236241E-2</v>
      </c>
      <c r="K53" s="45">
        <v>67442139836.230003</v>
      </c>
      <c r="L53" s="13">
        <f t="shared" si="22"/>
        <v>1.6790187711374104E-2</v>
      </c>
      <c r="M53" s="13">
        <f t="shared" si="23"/>
        <v>0.19414478063553511</v>
      </c>
      <c r="N53" s="20">
        <f t="shared" si="24"/>
        <v>1.2601525907448249E-3</v>
      </c>
      <c r="O53" s="21">
        <f t="shared" si="25"/>
        <v>2.1638305886256062E-2</v>
      </c>
      <c r="P53" s="24">
        <f t="shared" si="26"/>
        <v>10.004372168366825</v>
      </c>
      <c r="Q53" s="24">
        <f t="shared" si="27"/>
        <v>0.21647766517906819</v>
      </c>
      <c r="R53" s="10">
        <v>10</v>
      </c>
      <c r="S53" s="10">
        <v>10</v>
      </c>
      <c r="T53" s="10">
        <v>6859</v>
      </c>
      <c r="U53" s="18">
        <v>5639149989.6400003</v>
      </c>
      <c r="V53" s="18">
        <v>6741266588.3699999</v>
      </c>
    </row>
    <row r="54" spans="1:22" ht="14.1" customHeight="1">
      <c r="A54" s="100">
        <v>47</v>
      </c>
      <c r="B54" s="19" t="s">
        <v>81</v>
      </c>
      <c r="C54" s="19" t="s">
        <v>260</v>
      </c>
      <c r="D54" s="10">
        <v>12929400549.620001</v>
      </c>
      <c r="E54" s="10">
        <v>483757035</v>
      </c>
      <c r="F54" s="10">
        <v>1698630.14</v>
      </c>
      <c r="G54" s="10">
        <v>34137891.939999998</v>
      </c>
      <c r="H54" s="12">
        <f t="shared" si="21"/>
        <v>451317773.19999999</v>
      </c>
      <c r="I54" s="45">
        <v>25594071636</v>
      </c>
      <c r="J54" s="13">
        <f t="shared" si="14"/>
        <v>6.809200721976944E-3</v>
      </c>
      <c r="K54" s="45">
        <v>29081291036</v>
      </c>
      <c r="L54" s="13">
        <f t="shared" si="22"/>
        <v>7.2399887751075816E-3</v>
      </c>
      <c r="M54" s="13">
        <f t="shared" si="23"/>
        <v>0.13625106038599039</v>
      </c>
      <c r="N54" s="20">
        <f t="shared" si="24"/>
        <v>1.1738781437777431E-3</v>
      </c>
      <c r="O54" s="21">
        <f t="shared" si="25"/>
        <v>1.5519179414741579E-2</v>
      </c>
      <c r="P54" s="24">
        <f t="shared" si="26"/>
        <v>100.00000012379093</v>
      </c>
      <c r="Q54" s="24">
        <f t="shared" si="27"/>
        <v>1.5519179433952914</v>
      </c>
      <c r="R54" s="10">
        <v>100</v>
      </c>
      <c r="S54" s="10">
        <v>100</v>
      </c>
      <c r="T54" s="10">
        <v>4897</v>
      </c>
      <c r="U54" s="18">
        <v>255940716</v>
      </c>
      <c r="V54" s="18">
        <v>290812910</v>
      </c>
    </row>
    <row r="55" spans="1:22">
      <c r="A55" s="100">
        <v>48</v>
      </c>
      <c r="B55" s="19" t="s">
        <v>82</v>
      </c>
      <c r="C55" s="93" t="s">
        <v>83</v>
      </c>
      <c r="D55" s="10">
        <v>158596088.37</v>
      </c>
      <c r="E55" s="10">
        <v>3894783.28</v>
      </c>
      <c r="F55" s="10">
        <v>0</v>
      </c>
      <c r="G55" s="10">
        <v>3678030.56</v>
      </c>
      <c r="H55" s="12">
        <f t="shared" si="21"/>
        <v>216752.71999999974</v>
      </c>
      <c r="I55" s="45">
        <v>261584425.97999999</v>
      </c>
      <c r="J55" s="13">
        <f t="shared" si="14"/>
        <v>6.9593493664195835E-5</v>
      </c>
      <c r="K55" s="45">
        <v>260183995.94999999</v>
      </c>
      <c r="L55" s="13">
        <f t="shared" si="22"/>
        <v>6.4774607420583585E-5</v>
      </c>
      <c r="M55" s="13">
        <f t="shared" si="23"/>
        <v>-5.3536445251028599E-3</v>
      </c>
      <c r="N55" s="20">
        <f t="shared" si="24"/>
        <v>1.413626747706194E-2</v>
      </c>
      <c r="O55" s="21">
        <f t="shared" si="25"/>
        <v>8.3307476006961429E-4</v>
      </c>
      <c r="P55" s="24">
        <f t="shared" si="26"/>
        <v>1.1255836596782194</v>
      </c>
      <c r="Q55" s="24">
        <f t="shared" si="27"/>
        <v>9.3769533722471105E-4</v>
      </c>
      <c r="R55" s="10">
        <v>1</v>
      </c>
      <c r="S55" s="10">
        <v>1</v>
      </c>
      <c r="T55" s="10">
        <v>96</v>
      </c>
      <c r="U55" s="18">
        <v>261774404</v>
      </c>
      <c r="V55" s="18">
        <v>231154738</v>
      </c>
    </row>
    <row r="56" spans="1:22" ht="15" customHeight="1">
      <c r="A56" s="100">
        <v>49</v>
      </c>
      <c r="B56" s="93" t="s">
        <v>84</v>
      </c>
      <c r="C56" s="93" t="s">
        <v>42</v>
      </c>
      <c r="D56" s="10">
        <v>1879568789.8299999</v>
      </c>
      <c r="E56" s="10">
        <v>70244823.989999995</v>
      </c>
      <c r="F56" s="10">
        <v>0</v>
      </c>
      <c r="G56" s="10">
        <v>2321679.59</v>
      </c>
      <c r="H56" s="12">
        <f t="shared" si="21"/>
        <v>67923144.399999991</v>
      </c>
      <c r="I56" s="45">
        <v>1816786419.0799999</v>
      </c>
      <c r="J56" s="13">
        <f t="shared" si="14"/>
        <v>4.8334878375025277E-4</v>
      </c>
      <c r="K56" s="45">
        <v>1900434044.4000001</v>
      </c>
      <c r="L56" s="13">
        <f t="shared" si="22"/>
        <v>4.7312621479753976E-4</v>
      </c>
      <c r="M56" s="13">
        <f t="shared" si="23"/>
        <v>4.6041529395820992E-2</v>
      </c>
      <c r="N56" s="20">
        <f t="shared" si="24"/>
        <v>1.221657545465091E-3</v>
      </c>
      <c r="O56" s="21">
        <f t="shared" si="25"/>
        <v>3.5740858568677397E-2</v>
      </c>
      <c r="P56" s="24">
        <f t="shared" si="26"/>
        <v>10.85414514970817</v>
      </c>
      <c r="Q56" s="24">
        <f t="shared" si="27"/>
        <v>0.38793646667961545</v>
      </c>
      <c r="R56" s="10">
        <v>10</v>
      </c>
      <c r="S56" s="10">
        <v>10</v>
      </c>
      <c r="T56" s="10">
        <v>862</v>
      </c>
      <c r="U56" s="18">
        <v>167400988.59999999</v>
      </c>
      <c r="V56" s="18">
        <v>175088320.47</v>
      </c>
    </row>
    <row r="57" spans="1:22" ht="15" customHeight="1">
      <c r="A57" s="100">
        <v>50</v>
      </c>
      <c r="B57" s="10" t="s">
        <v>208</v>
      </c>
      <c r="C57" s="10" t="s">
        <v>209</v>
      </c>
      <c r="D57" s="10">
        <v>585196137.41999996</v>
      </c>
      <c r="E57" s="10">
        <v>17638812.57</v>
      </c>
      <c r="F57" s="10">
        <v>0</v>
      </c>
      <c r="G57" s="10">
        <v>1593482.43</v>
      </c>
      <c r="H57" s="12">
        <f t="shared" si="21"/>
        <v>16045330.140000001</v>
      </c>
      <c r="I57" s="45">
        <v>916320700</v>
      </c>
      <c r="J57" s="13">
        <f t="shared" si="14"/>
        <v>2.4378346910720582E-4</v>
      </c>
      <c r="K57" s="45">
        <v>941250240</v>
      </c>
      <c r="L57" s="13">
        <f t="shared" si="22"/>
        <v>2.3433076488012206E-4</v>
      </c>
      <c r="M57" s="13">
        <f t="shared" si="23"/>
        <v>2.720612990626535E-2</v>
      </c>
      <c r="N57" s="20">
        <f t="shared" si="24"/>
        <v>1.6929423890505461E-3</v>
      </c>
      <c r="O57" s="21">
        <f t="shared" si="25"/>
        <v>1.7046827143438498E-2</v>
      </c>
      <c r="P57" s="24">
        <f t="shared" si="26"/>
        <v>1</v>
      </c>
      <c r="Q57" s="24">
        <f t="shared" si="27"/>
        <v>1.7046827143438498E-2</v>
      </c>
      <c r="R57" s="10">
        <v>1</v>
      </c>
      <c r="S57" s="10">
        <v>1</v>
      </c>
      <c r="T57" s="10">
        <v>138</v>
      </c>
      <c r="U57" s="18">
        <v>916320700</v>
      </c>
      <c r="V57" s="18">
        <v>941250240</v>
      </c>
    </row>
    <row r="58" spans="1:22" ht="15" customHeight="1">
      <c r="A58" s="100">
        <v>51</v>
      </c>
      <c r="B58" s="10" t="s">
        <v>295</v>
      </c>
      <c r="C58" s="10" t="s">
        <v>296</v>
      </c>
      <c r="D58" s="10">
        <v>775134356.13</v>
      </c>
      <c r="E58" s="10">
        <v>11675731.84</v>
      </c>
      <c r="F58" s="10">
        <v>0</v>
      </c>
      <c r="G58" s="10">
        <v>0</v>
      </c>
      <c r="H58" s="12">
        <f t="shared" si="21"/>
        <v>11675731.84</v>
      </c>
      <c r="I58" s="45">
        <v>806351693.94000006</v>
      </c>
      <c r="J58" s="13">
        <f t="shared" si="14"/>
        <v>2.1452665346222681E-4</v>
      </c>
      <c r="K58" s="45">
        <v>1177379513.9200001</v>
      </c>
      <c r="L58" s="13">
        <f t="shared" si="22"/>
        <v>2.9311678268582425E-4</v>
      </c>
      <c r="M58" s="13">
        <f t="shared" si="23"/>
        <v>0.46013150684545828</v>
      </c>
      <c r="N58" s="20">
        <f t="shared" si="24"/>
        <v>0</v>
      </c>
      <c r="O58" s="21">
        <f t="shared" si="25"/>
        <v>9.9167105440169361E-3</v>
      </c>
      <c r="P58" s="24">
        <f t="shared" si="26"/>
        <v>0.99999998582445215</v>
      </c>
      <c r="Q58" s="24">
        <f t="shared" si="27"/>
        <v>9.9167104034421326E-3</v>
      </c>
      <c r="R58" s="10">
        <v>1</v>
      </c>
      <c r="S58" s="10">
        <v>1</v>
      </c>
      <c r="T58" s="10">
        <v>1154</v>
      </c>
      <c r="U58" s="18">
        <v>806351693.92999995</v>
      </c>
      <c r="V58" s="18">
        <v>1177379530.6099999</v>
      </c>
    </row>
    <row r="59" spans="1:22" ht="15" customHeight="1">
      <c r="A59" s="100">
        <v>52</v>
      </c>
      <c r="B59" s="87" t="s">
        <v>210</v>
      </c>
      <c r="C59" s="88" t="s">
        <v>211</v>
      </c>
      <c r="D59" s="10">
        <v>13658893632.84</v>
      </c>
      <c r="E59" s="10">
        <v>631886484.92999995</v>
      </c>
      <c r="F59" s="10">
        <v>0</v>
      </c>
      <c r="G59" s="10">
        <v>18295122.199999999</v>
      </c>
      <c r="H59" s="12">
        <f t="shared" si="21"/>
        <v>613591362.7299999</v>
      </c>
      <c r="I59" s="45">
        <v>13104819424.26</v>
      </c>
      <c r="J59" s="13">
        <f t="shared" si="14"/>
        <v>3.4864849623822735E-3</v>
      </c>
      <c r="K59" s="45">
        <v>13607459481.08</v>
      </c>
      <c r="L59" s="13">
        <f t="shared" si="22"/>
        <v>3.3876712618705362E-3</v>
      </c>
      <c r="M59" s="13">
        <f t="shared" si="23"/>
        <v>3.8355359242073846E-2</v>
      </c>
      <c r="N59" s="20">
        <f t="shared" si="24"/>
        <v>1.3444921313517627E-3</v>
      </c>
      <c r="O59" s="21">
        <f t="shared" si="25"/>
        <v>4.5092279244567719E-2</v>
      </c>
      <c r="P59" s="24">
        <f t="shared" si="26"/>
        <v>100.00000000058792</v>
      </c>
      <c r="Q59" s="24">
        <f t="shared" si="27"/>
        <v>4.509227924483282</v>
      </c>
      <c r="R59" s="10">
        <v>100</v>
      </c>
      <c r="S59" s="10">
        <v>100</v>
      </c>
      <c r="T59" s="10">
        <v>102</v>
      </c>
      <c r="U59" s="18">
        <v>130268923.14</v>
      </c>
      <c r="V59" s="18">
        <v>136074594.81</v>
      </c>
    </row>
    <row r="60" spans="1:22" ht="15" customHeight="1">
      <c r="A60" s="100">
        <v>53</v>
      </c>
      <c r="B60" s="87" t="s">
        <v>212</v>
      </c>
      <c r="C60" s="88" t="s">
        <v>110</v>
      </c>
      <c r="D60" s="10">
        <v>33413982.73</v>
      </c>
      <c r="E60" s="10">
        <v>1221293.45</v>
      </c>
      <c r="F60" s="10">
        <v>0</v>
      </c>
      <c r="G60" s="10">
        <v>75656.23</v>
      </c>
      <c r="H60" s="12">
        <f t="shared" si="21"/>
        <v>1145637.22</v>
      </c>
      <c r="I60" s="45">
        <v>67453856.980000004</v>
      </c>
      <c r="J60" s="13">
        <f t="shared" si="14"/>
        <v>1.7945829728877356E-5</v>
      </c>
      <c r="K60" s="45">
        <v>68568386.780000001</v>
      </c>
      <c r="L60" s="13">
        <f t="shared" si="22"/>
        <v>1.7070574686656601E-5</v>
      </c>
      <c r="M60" s="13">
        <f t="shared" si="23"/>
        <v>1.6522847616118583E-2</v>
      </c>
      <c r="N60" s="20">
        <f t="shared" si="24"/>
        <v>1.1033689656829927E-3</v>
      </c>
      <c r="O60" s="21">
        <f t="shared" si="25"/>
        <v>1.6707950613972428E-2</v>
      </c>
      <c r="P60" s="24">
        <f t="shared" si="26"/>
        <v>1327.275638876522</v>
      </c>
      <c r="Q60" s="24">
        <f t="shared" si="27"/>
        <v>22.176055825477633</v>
      </c>
      <c r="R60" s="10">
        <v>1000</v>
      </c>
      <c r="S60" s="10">
        <v>1000</v>
      </c>
      <c r="T60" s="10">
        <v>23</v>
      </c>
      <c r="U60" s="18">
        <v>51662</v>
      </c>
      <c r="V60" s="18">
        <v>51661</v>
      </c>
    </row>
    <row r="61" spans="1:22">
      <c r="A61" s="100">
        <v>54</v>
      </c>
      <c r="B61" s="19" t="s">
        <v>85</v>
      </c>
      <c r="C61" s="19" t="s">
        <v>46</v>
      </c>
      <c r="D61" s="10">
        <v>1950980812142.6399</v>
      </c>
      <c r="E61" s="10">
        <v>32176506330.360001</v>
      </c>
      <c r="F61" s="10">
        <v>0</v>
      </c>
      <c r="G61" s="10">
        <v>2446402765.48</v>
      </c>
      <c r="H61" s="12">
        <f t="shared" si="21"/>
        <v>29730103564.880001</v>
      </c>
      <c r="I61" s="45">
        <v>1830080176477.53</v>
      </c>
      <c r="J61" s="13">
        <f t="shared" si="14"/>
        <v>0.4868855349071779</v>
      </c>
      <c r="K61" s="45">
        <v>1952616825094.8701</v>
      </c>
      <c r="L61" s="13">
        <f t="shared" si="22"/>
        <v>0.48611747938813427</v>
      </c>
      <c r="M61" s="13">
        <f t="shared" si="23"/>
        <v>6.6956983738927792E-2</v>
      </c>
      <c r="N61" s="20">
        <f t="shared" si="24"/>
        <v>1.2528841982917662E-3</v>
      </c>
      <c r="O61" s="21">
        <f t="shared" si="25"/>
        <v>1.5225774551766207E-2</v>
      </c>
      <c r="P61" s="24">
        <f t="shared" si="26"/>
        <v>1.0000000000000051</v>
      </c>
      <c r="Q61" s="24">
        <f t="shared" si="27"/>
        <v>1.5225774551766285E-2</v>
      </c>
      <c r="R61" s="10">
        <v>100</v>
      </c>
      <c r="S61" s="10">
        <v>100</v>
      </c>
      <c r="T61" s="10">
        <v>229769</v>
      </c>
      <c r="U61" s="18">
        <v>1830080176477.53</v>
      </c>
      <c r="V61" s="18">
        <v>1952616825094.8601</v>
      </c>
    </row>
    <row r="62" spans="1:22">
      <c r="A62" s="100">
        <v>55</v>
      </c>
      <c r="B62" s="19" t="s">
        <v>297</v>
      </c>
      <c r="C62" s="19" t="s">
        <v>298</v>
      </c>
      <c r="D62" s="10">
        <v>2898618557.5500002</v>
      </c>
      <c r="E62" s="10">
        <v>274185877.61000001</v>
      </c>
      <c r="F62" s="10">
        <v>0</v>
      </c>
      <c r="G62" s="10">
        <v>41806809.399999999</v>
      </c>
      <c r="H62" s="12">
        <f t="shared" si="21"/>
        <v>232379068.21000001</v>
      </c>
      <c r="I62" s="45">
        <v>4940279464.0200005</v>
      </c>
      <c r="J62" s="13">
        <f t="shared" si="14"/>
        <v>1.3143416558175354E-3</v>
      </c>
      <c r="K62" s="45">
        <v>5788177976.4849997</v>
      </c>
      <c r="L62" s="13">
        <f t="shared" si="22"/>
        <v>1.4410069871451051E-3</v>
      </c>
      <c r="M62" s="13">
        <f t="shared" si="23"/>
        <v>0.17162966561714463</v>
      </c>
      <c r="N62" s="20">
        <f t="shared" si="24"/>
        <v>7.2227926594247739E-3</v>
      </c>
      <c r="O62" s="21">
        <f t="shared" si="25"/>
        <v>4.01471877945117E-2</v>
      </c>
      <c r="P62" s="24">
        <f t="shared" si="26"/>
        <v>100.00000000008639</v>
      </c>
      <c r="Q62" s="24">
        <f t="shared" si="27"/>
        <v>4.014718779454638</v>
      </c>
      <c r="R62" s="10">
        <v>100</v>
      </c>
      <c r="S62" s="10">
        <v>100</v>
      </c>
      <c r="T62" s="10">
        <v>705</v>
      </c>
      <c r="U62" s="18">
        <v>49402794.640199997</v>
      </c>
      <c r="V62" s="18">
        <v>57881779.764799997</v>
      </c>
    </row>
    <row r="63" spans="1:22">
      <c r="A63" s="100">
        <v>56</v>
      </c>
      <c r="B63" s="19" t="s">
        <v>86</v>
      </c>
      <c r="C63" s="19" t="s">
        <v>87</v>
      </c>
      <c r="D63" s="10">
        <v>6494621194.5799999</v>
      </c>
      <c r="E63" s="10">
        <v>111476052.08</v>
      </c>
      <c r="F63" s="10">
        <v>0</v>
      </c>
      <c r="G63" s="10">
        <v>8947837.5199999996</v>
      </c>
      <c r="H63" s="12">
        <f t="shared" si="21"/>
        <v>102528214.56</v>
      </c>
      <c r="I63" s="45">
        <v>6104226939.5100002</v>
      </c>
      <c r="J63" s="13">
        <f t="shared" si="14"/>
        <v>1.6240052413215259E-3</v>
      </c>
      <c r="K63" s="45">
        <v>6790257324.3000002</v>
      </c>
      <c r="L63" s="13">
        <f t="shared" si="22"/>
        <v>1.6904815796233636E-3</v>
      </c>
      <c r="M63" s="13">
        <f t="shared" si="23"/>
        <v>0.11238612056665592</v>
      </c>
      <c r="N63" s="20">
        <f t="shared" si="24"/>
        <v>1.317746455348424E-3</v>
      </c>
      <c r="O63" s="21">
        <f t="shared" si="25"/>
        <v>1.5099312097214154E-2</v>
      </c>
      <c r="P63" s="24">
        <f t="shared" si="26"/>
        <v>1.0418677592386001</v>
      </c>
      <c r="Q63" s="24">
        <f t="shared" si="27"/>
        <v>1.5731486460768798E-2</v>
      </c>
      <c r="R63" s="10">
        <v>1</v>
      </c>
      <c r="S63" s="10">
        <v>1</v>
      </c>
      <c r="T63" s="10">
        <v>552</v>
      </c>
      <c r="U63" s="18">
        <v>5922515502.8199997</v>
      </c>
      <c r="V63" s="18">
        <v>6517388856.7799997</v>
      </c>
    </row>
    <row r="64" spans="1:22">
      <c r="A64" s="100">
        <v>57</v>
      </c>
      <c r="B64" s="19" t="s">
        <v>88</v>
      </c>
      <c r="C64" s="19" t="s">
        <v>50</v>
      </c>
      <c r="D64" s="10">
        <v>63147200478</v>
      </c>
      <c r="E64" s="10">
        <v>3002962870</v>
      </c>
      <c r="F64" s="10">
        <v>0</v>
      </c>
      <c r="G64" s="10">
        <v>261998946</v>
      </c>
      <c r="H64" s="12">
        <f t="shared" si="21"/>
        <v>2740963924</v>
      </c>
      <c r="I64" s="45">
        <v>179173253532</v>
      </c>
      <c r="J64" s="13">
        <f t="shared" si="14"/>
        <v>4.7668329785909971E-2</v>
      </c>
      <c r="K64" s="45">
        <v>178297038992</v>
      </c>
      <c r="L64" s="13">
        <f t="shared" si="22"/>
        <v>4.438828246445526E-2</v>
      </c>
      <c r="M64" s="13">
        <f t="shared" si="23"/>
        <v>-4.8903199709074306E-3</v>
      </c>
      <c r="N64" s="20">
        <f t="shared" si="24"/>
        <v>1.4694520306181619E-3</v>
      </c>
      <c r="O64" s="21">
        <f t="shared" si="25"/>
        <v>1.5373019874564402E-2</v>
      </c>
      <c r="P64" s="24">
        <f t="shared" si="26"/>
        <v>1.0374348394021862</v>
      </c>
      <c r="Q64" s="24">
        <f t="shared" si="27"/>
        <v>1.5948506404695337E-2</v>
      </c>
      <c r="R64" s="10">
        <v>1</v>
      </c>
      <c r="S64" s="10">
        <v>1</v>
      </c>
      <c r="T64" s="10">
        <v>16511</v>
      </c>
      <c r="U64" s="18">
        <v>175473856413.20999</v>
      </c>
      <c r="V64" s="18">
        <v>171863361649.53</v>
      </c>
    </row>
    <row r="65" spans="1:23">
      <c r="A65" s="100">
        <v>58</v>
      </c>
      <c r="B65" s="96" t="s">
        <v>89</v>
      </c>
      <c r="C65" s="19" t="s">
        <v>90</v>
      </c>
      <c r="D65" s="10">
        <v>1391288031.73</v>
      </c>
      <c r="E65" s="10">
        <v>34608992.409999996</v>
      </c>
      <c r="F65" s="10">
        <v>0</v>
      </c>
      <c r="G65" s="10">
        <v>3787412.87</v>
      </c>
      <c r="H65" s="12">
        <f t="shared" si="21"/>
        <v>30821579.539999995</v>
      </c>
      <c r="I65" s="45">
        <v>2012444874.1800001</v>
      </c>
      <c r="J65" s="13">
        <f t="shared" si="14"/>
        <v>5.3540293569119925E-4</v>
      </c>
      <c r="K65" s="45">
        <v>2257408216.77</v>
      </c>
      <c r="L65" s="13">
        <f t="shared" si="22"/>
        <v>5.6199740685578621E-4</v>
      </c>
      <c r="M65" s="13">
        <f t="shared" si="23"/>
        <v>0.12172424980824073</v>
      </c>
      <c r="N65" s="20">
        <f t="shared" si="24"/>
        <v>1.6777704811490404E-3</v>
      </c>
      <c r="O65" s="21">
        <f t="shared" si="25"/>
        <v>1.3653525007586303E-2</v>
      </c>
      <c r="P65" s="24">
        <f t="shared" si="26"/>
        <v>1.01244618641115</v>
      </c>
      <c r="Q65" s="24">
        <f t="shared" si="27"/>
        <v>1.382345932500002E-2</v>
      </c>
      <c r="R65" s="10">
        <v>1</v>
      </c>
      <c r="S65" s="10">
        <v>1</v>
      </c>
      <c r="T65" s="10">
        <v>158</v>
      </c>
      <c r="U65" s="18">
        <v>1958297189.45</v>
      </c>
      <c r="V65" s="18">
        <v>2229657484.0900002</v>
      </c>
    </row>
    <row r="66" spans="1:23">
      <c r="A66" s="100">
        <v>59</v>
      </c>
      <c r="B66" s="19" t="s">
        <v>91</v>
      </c>
      <c r="C66" s="19" t="s">
        <v>92</v>
      </c>
      <c r="D66" s="10">
        <v>7306022175.3900003</v>
      </c>
      <c r="E66" s="10">
        <v>109538986.38</v>
      </c>
      <c r="F66" s="10">
        <v>0</v>
      </c>
      <c r="G66" s="10">
        <v>9767864.8699999992</v>
      </c>
      <c r="H66" s="12">
        <f t="shared" si="21"/>
        <v>99771121.50999999</v>
      </c>
      <c r="I66" s="45">
        <v>7077623521.6400003</v>
      </c>
      <c r="J66" s="13">
        <f t="shared" si="14"/>
        <v>1.8829735213230022E-3</v>
      </c>
      <c r="K66" s="45">
        <v>7311165181.4499998</v>
      </c>
      <c r="L66" s="13">
        <f t="shared" si="22"/>
        <v>1.8201651976567834E-3</v>
      </c>
      <c r="M66" s="13">
        <f t="shared" si="23"/>
        <v>3.2997186004022447E-2</v>
      </c>
      <c r="N66" s="20">
        <f t="shared" si="24"/>
        <v>1.3360202686684163E-3</v>
      </c>
      <c r="O66" s="21">
        <f t="shared" si="25"/>
        <v>1.3646405057724699E-2</v>
      </c>
      <c r="P66" s="24">
        <f t="shared" si="26"/>
        <v>1.0393536157752321</v>
      </c>
      <c r="Q66" s="24">
        <f t="shared" si="27"/>
        <v>1.4183440439079579E-2</v>
      </c>
      <c r="R66" s="10">
        <v>1</v>
      </c>
      <c r="S66" s="10">
        <v>1</v>
      </c>
      <c r="T66" s="10">
        <v>489</v>
      </c>
      <c r="U66" s="18">
        <v>6899416976.5699997</v>
      </c>
      <c r="V66" s="18">
        <v>7034338525.8699999</v>
      </c>
    </row>
    <row r="67" spans="1:23">
      <c r="A67" s="100">
        <v>60</v>
      </c>
      <c r="B67" s="87" t="s">
        <v>293</v>
      </c>
      <c r="C67" s="87" t="s">
        <v>291</v>
      </c>
      <c r="D67" s="10">
        <v>3385677892.8400002</v>
      </c>
      <c r="E67" s="10">
        <v>166949324.27000001</v>
      </c>
      <c r="F67" s="10"/>
      <c r="G67" s="10">
        <v>22909252.989999998</v>
      </c>
      <c r="H67" s="12">
        <f t="shared" si="21"/>
        <v>144040071.28</v>
      </c>
      <c r="I67" s="45">
        <v>7569241753.0900002</v>
      </c>
      <c r="J67" s="13">
        <f t="shared" si="14"/>
        <v>2.0137665918486709E-3</v>
      </c>
      <c r="K67" s="45">
        <v>8598462609.5900002</v>
      </c>
      <c r="L67" s="13">
        <f t="shared" si="22"/>
        <v>2.1406468062078318E-3</v>
      </c>
      <c r="M67" s="13">
        <f t="shared" si="23"/>
        <v>0.13597410283267014</v>
      </c>
      <c r="N67" s="20">
        <f t="shared" si="24"/>
        <v>2.6643429215414565E-3</v>
      </c>
      <c r="O67" s="21">
        <f t="shared" si="25"/>
        <v>1.6751840162606495E-2</v>
      </c>
      <c r="P67" s="24">
        <f t="shared" si="26"/>
        <v>1.0010982983534404</v>
      </c>
      <c r="Q67" s="24">
        <f t="shared" si="27"/>
        <v>1.6770238681074183E-2</v>
      </c>
      <c r="R67" s="10">
        <v>1</v>
      </c>
      <c r="S67" s="10">
        <v>1</v>
      </c>
      <c r="T67" s="10">
        <v>4582</v>
      </c>
      <c r="U67" s="18">
        <v>7565048139.8299999</v>
      </c>
      <c r="V67" s="18">
        <v>8589029292.8599997</v>
      </c>
    </row>
    <row r="68" spans="1:23">
      <c r="A68" s="100">
        <v>61</v>
      </c>
      <c r="B68" s="19" t="s">
        <v>93</v>
      </c>
      <c r="C68" s="19" t="s">
        <v>94</v>
      </c>
      <c r="D68" s="10">
        <v>115415493408.06</v>
      </c>
      <c r="E68" s="10">
        <v>2092154163.2</v>
      </c>
      <c r="F68" s="10">
        <v>0</v>
      </c>
      <c r="G68" s="10">
        <v>147159179.99000001</v>
      </c>
      <c r="H68" s="12">
        <f t="shared" si="21"/>
        <v>1944994983.21</v>
      </c>
      <c r="I68" s="45">
        <v>130988795223.33</v>
      </c>
      <c r="J68" s="13">
        <f t="shared" si="14"/>
        <v>3.4849046751554098E-2</v>
      </c>
      <c r="K68" s="45">
        <v>123025012924.07001</v>
      </c>
      <c r="L68" s="13">
        <f t="shared" si="22"/>
        <v>3.0627928846938966E-2</v>
      </c>
      <c r="M68" s="13">
        <f t="shared" si="23"/>
        <v>-6.079743145726399E-2</v>
      </c>
      <c r="N68" s="20">
        <f t="shared" si="24"/>
        <v>1.196172847230875E-3</v>
      </c>
      <c r="O68" s="21">
        <f t="shared" si="25"/>
        <v>1.5809752317688715E-2</v>
      </c>
      <c r="P68" s="24">
        <f t="shared" si="26"/>
        <v>1.0469890902276364</v>
      </c>
      <c r="Q68" s="24">
        <f t="shared" si="27"/>
        <v>1.6552638195821177E-2</v>
      </c>
      <c r="R68" s="10">
        <v>1</v>
      </c>
      <c r="S68" s="10">
        <v>1</v>
      </c>
      <c r="T68" s="10">
        <v>6271</v>
      </c>
      <c r="U68" s="18">
        <v>127275672848.06</v>
      </c>
      <c r="V68" s="18">
        <v>117503624509.89999</v>
      </c>
    </row>
    <row r="69" spans="1:23" ht="15" customHeight="1">
      <c r="A69" s="136" t="s">
        <v>51</v>
      </c>
      <c r="B69" s="136"/>
      <c r="C69" s="136"/>
      <c r="D69" s="136"/>
      <c r="E69" s="136"/>
      <c r="F69" s="136"/>
      <c r="G69" s="136"/>
      <c r="H69" s="136"/>
      <c r="I69" s="26">
        <f>SUM(I27:I68)</f>
        <v>3758748299693.1196</v>
      </c>
      <c r="J69" s="35">
        <f>(I69/$I$237)</f>
        <v>0.56604018569364267</v>
      </c>
      <c r="K69" s="37">
        <f>SUM(K27:K68)</f>
        <v>4016759133106.2349</v>
      </c>
      <c r="L69" s="35">
        <f>(K69/$K$237)</f>
        <v>0.58700743622155238</v>
      </c>
      <c r="M69" s="35">
        <f t="shared" si="16"/>
        <v>6.8642753608742668E-2</v>
      </c>
      <c r="N69" s="20"/>
      <c r="O69" s="20"/>
      <c r="P69" s="38"/>
      <c r="Q69" s="38"/>
      <c r="R69" s="37"/>
      <c r="S69" s="37"/>
      <c r="T69" s="37">
        <f>SUM(T27:T68)</f>
        <v>487409</v>
      </c>
      <c r="U69" s="37"/>
      <c r="V69" s="37"/>
    </row>
    <row r="70" spans="1:23" ht="6" customHeigh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5"/>
    </row>
    <row r="71" spans="1:23">
      <c r="A71" s="135" t="s">
        <v>95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</row>
    <row r="72" spans="1:23">
      <c r="A72" s="100">
        <v>62</v>
      </c>
      <c r="B72" s="19" t="s">
        <v>96</v>
      </c>
      <c r="C72" s="19" t="s">
        <v>24</v>
      </c>
      <c r="D72" s="10">
        <v>845902174.22000003</v>
      </c>
      <c r="E72" s="10">
        <v>8313586.2599999998</v>
      </c>
      <c r="F72" s="10">
        <v>0</v>
      </c>
      <c r="G72" s="10">
        <v>812273.92</v>
      </c>
      <c r="H72" s="12">
        <f t="shared" ref="H72:H110" si="30">(E72+F72)-G72</f>
        <v>7501312.3399999999</v>
      </c>
      <c r="I72" s="10">
        <v>577845034.11000001</v>
      </c>
      <c r="J72" s="13">
        <f t="shared" ref="J72:J110" si="31">(I72/$I$111)</f>
        <v>2.5106698632706265E-3</v>
      </c>
      <c r="K72" s="10">
        <v>849735007.03999996</v>
      </c>
      <c r="L72" s="13">
        <f t="shared" ref="L72" si="32">(K72/$K$111)</f>
        <v>3.692332001864417E-3</v>
      </c>
      <c r="M72" s="13">
        <f t="shared" ref="M72:M111" si="33">((K72-I72)/I72)</f>
        <v>0.47052402786287906</v>
      </c>
      <c r="N72" s="20">
        <f t="shared" ref="N72" si="34">(G72/K72)</f>
        <v>9.5591438892167881E-4</v>
      </c>
      <c r="O72" s="21">
        <f t="shared" ref="O72" si="35">H72/K72</f>
        <v>8.8278254724733114E-3</v>
      </c>
      <c r="P72" s="24">
        <f t="shared" ref="P72" si="36">K72/V72</f>
        <v>1.7019446099888706</v>
      </c>
      <c r="Q72" s="24">
        <f t="shared" ref="Q72" si="37">H72/V72</f>
        <v>1.5024469980798408E-2</v>
      </c>
      <c r="R72" s="10">
        <v>1.66</v>
      </c>
      <c r="S72" s="10">
        <v>1.66</v>
      </c>
      <c r="T72" s="17">
        <v>393</v>
      </c>
      <c r="U72" s="10">
        <v>352086641.08999997</v>
      </c>
      <c r="V72" s="10">
        <v>499273009.26999998</v>
      </c>
    </row>
    <row r="73" spans="1:23" ht="12.9" customHeight="1">
      <c r="A73" s="100">
        <v>63</v>
      </c>
      <c r="B73" s="19" t="s">
        <v>97</v>
      </c>
      <c r="C73" s="93" t="s">
        <v>26</v>
      </c>
      <c r="D73" s="10">
        <v>1090481907.8</v>
      </c>
      <c r="E73" s="10">
        <v>15781695.789999999</v>
      </c>
      <c r="F73" s="10">
        <v>9116141.9199999999</v>
      </c>
      <c r="G73" s="10">
        <v>2291105.35</v>
      </c>
      <c r="H73" s="12">
        <f t="shared" si="30"/>
        <v>22606732.359999999</v>
      </c>
      <c r="I73" s="10">
        <v>1340818813</v>
      </c>
      <c r="J73" s="13">
        <f t="shared" si="31"/>
        <v>5.8257027181868393E-3</v>
      </c>
      <c r="K73" s="10">
        <v>1375438061</v>
      </c>
      <c r="L73" s="13">
        <f t="shared" ref="L73:L110" si="38">(K73/$K$111)</f>
        <v>5.9766561659069977E-3</v>
      </c>
      <c r="M73" s="13">
        <f t="shared" ref="M73:M110" si="39">((K73-I73)/I73)</f>
        <v>2.5819482591045655E-2</v>
      </c>
      <c r="N73" s="20">
        <f t="shared" ref="N73:N110" si="40">(G73/K73)</f>
        <v>1.6657277524618392E-3</v>
      </c>
      <c r="O73" s="21">
        <f t="shared" ref="O73:O110" si="41">H73/K73</f>
        <v>1.6436023548427891E-2</v>
      </c>
      <c r="P73" s="24">
        <f t="shared" ref="P73:P110" si="42">K73/V73</f>
        <v>1.3380020703010007</v>
      </c>
      <c r="Q73" s="24">
        <f t="shared" ref="Q73:Q110" si="43">H73/V73</f>
        <v>2.1991433535312518E-2</v>
      </c>
      <c r="R73" s="10">
        <v>1.3380000000000001</v>
      </c>
      <c r="S73" s="10">
        <v>1.3380000000000001</v>
      </c>
      <c r="T73" s="17">
        <v>1223</v>
      </c>
      <c r="U73" s="10">
        <v>1018904822</v>
      </c>
      <c r="V73" s="10">
        <v>1027979023</v>
      </c>
    </row>
    <row r="74" spans="1:23" ht="15" customHeight="1">
      <c r="A74" s="100">
        <v>64</v>
      </c>
      <c r="B74" s="19" t="s">
        <v>98</v>
      </c>
      <c r="C74" s="19" t="s">
        <v>99</v>
      </c>
      <c r="D74" s="10">
        <v>606834980.54999995</v>
      </c>
      <c r="E74" s="10">
        <v>9986611.8399999999</v>
      </c>
      <c r="F74" s="10">
        <v>0</v>
      </c>
      <c r="G74" s="10">
        <v>1374370.59</v>
      </c>
      <c r="H74" s="12">
        <f t="shared" si="30"/>
        <v>8612241.25</v>
      </c>
      <c r="I74" s="10">
        <v>805002790</v>
      </c>
      <c r="J74" s="13">
        <f t="shared" si="31"/>
        <v>3.4976440488316664E-3</v>
      </c>
      <c r="K74" s="10">
        <v>802124751</v>
      </c>
      <c r="L74" s="13">
        <f t="shared" si="38"/>
        <v>3.4854523622861746E-3</v>
      </c>
      <c r="M74" s="13">
        <f t="shared" si="39"/>
        <v>-3.5751913356722653E-3</v>
      </c>
      <c r="N74" s="20">
        <f t="shared" si="40"/>
        <v>1.7134125187965932E-3</v>
      </c>
      <c r="O74" s="21">
        <f t="shared" si="41"/>
        <v>1.0736785318322636E-2</v>
      </c>
      <c r="P74" s="24">
        <f t="shared" si="42"/>
        <v>1.1756105368229159</v>
      </c>
      <c r="Q74" s="24">
        <f t="shared" si="43"/>
        <v>1.2622277951825677E-2</v>
      </c>
      <c r="R74" s="10">
        <v>1.1756</v>
      </c>
      <c r="S74" s="10">
        <v>1.1756</v>
      </c>
      <c r="T74" s="17">
        <v>479</v>
      </c>
      <c r="U74" s="10">
        <v>692116224</v>
      </c>
      <c r="V74" s="10">
        <v>682304833</v>
      </c>
    </row>
    <row r="75" spans="1:23">
      <c r="A75" s="100">
        <v>65</v>
      </c>
      <c r="B75" s="19" t="s">
        <v>100</v>
      </c>
      <c r="C75" s="93" t="s">
        <v>101</v>
      </c>
      <c r="D75" s="10">
        <v>251186246.88999999</v>
      </c>
      <c r="E75" s="10">
        <v>4518746.92</v>
      </c>
      <c r="F75" s="10">
        <v>3569042.9</v>
      </c>
      <c r="G75" s="10">
        <v>489335.17</v>
      </c>
      <c r="H75" s="12">
        <f t="shared" si="30"/>
        <v>7598454.6500000004</v>
      </c>
      <c r="I75" s="10">
        <v>296283153.18000001</v>
      </c>
      <c r="J75" s="13">
        <f t="shared" si="31"/>
        <v>1.2873160445681289E-3</v>
      </c>
      <c r="K75" s="10">
        <v>308451598.70999998</v>
      </c>
      <c r="L75" s="13">
        <f t="shared" si="38"/>
        <v>1.3403069186362965E-3</v>
      </c>
      <c r="M75" s="13">
        <f t="shared" si="39"/>
        <v>4.1070325461965478E-2</v>
      </c>
      <c r="N75" s="20">
        <f t="shared" si="40"/>
        <v>1.5864244894384975E-3</v>
      </c>
      <c r="O75" s="21">
        <f t="shared" si="41"/>
        <v>2.4634187930223424E-2</v>
      </c>
      <c r="P75" s="24">
        <f t="shared" si="42"/>
        <v>1213.9653452374391</v>
      </c>
      <c r="Q75" s="24">
        <f t="shared" si="43"/>
        <v>29.905050455357635</v>
      </c>
      <c r="R75" s="10">
        <v>1213.9000000000001</v>
      </c>
      <c r="S75" s="10">
        <v>1213.9000000000001</v>
      </c>
      <c r="T75" s="17">
        <v>100</v>
      </c>
      <c r="U75" s="10">
        <v>254630</v>
      </c>
      <c r="V75" s="10">
        <v>254086</v>
      </c>
    </row>
    <row r="76" spans="1:23">
      <c r="A76" s="100">
        <v>66</v>
      </c>
      <c r="B76" s="19" t="s">
        <v>102</v>
      </c>
      <c r="C76" s="93" t="s">
        <v>103</v>
      </c>
      <c r="D76" s="10">
        <v>1642283823.0999999</v>
      </c>
      <c r="E76" s="10">
        <v>29523901.52</v>
      </c>
      <c r="F76" s="10">
        <v>0</v>
      </c>
      <c r="G76" s="10">
        <v>1300047.52</v>
      </c>
      <c r="H76" s="12">
        <f t="shared" si="30"/>
        <v>28223854</v>
      </c>
      <c r="I76" s="10">
        <v>1619252138.27</v>
      </c>
      <c r="J76" s="13">
        <f t="shared" si="31"/>
        <v>7.0354633242675048E-3</v>
      </c>
      <c r="K76" s="10">
        <v>1622628537.3399999</v>
      </c>
      <c r="L76" s="13">
        <f t="shared" si="38"/>
        <v>7.050766681284795E-3</v>
      </c>
      <c r="M76" s="13">
        <f t="shared" si="39"/>
        <v>2.0851595561931814E-3</v>
      </c>
      <c r="N76" s="20">
        <f t="shared" si="40"/>
        <v>8.011984814042455E-4</v>
      </c>
      <c r="O76" s="21">
        <f t="shared" si="41"/>
        <v>1.739390954276436E-2</v>
      </c>
      <c r="P76" s="24">
        <f t="shared" si="42"/>
        <v>1.0477039016681327</v>
      </c>
      <c r="Q76" s="24">
        <f t="shared" si="43"/>
        <v>1.8223666893216785E-2</v>
      </c>
      <c r="R76" s="10">
        <v>1.0548999999999999</v>
      </c>
      <c r="S76" s="10">
        <v>1.0548999999999999</v>
      </c>
      <c r="T76" s="17">
        <v>917</v>
      </c>
      <c r="U76" s="10">
        <v>1547655239</v>
      </c>
      <c r="V76" s="10">
        <v>1548747250.78</v>
      </c>
    </row>
    <row r="77" spans="1:23">
      <c r="A77" s="100">
        <v>67</v>
      </c>
      <c r="B77" s="19" t="s">
        <v>104</v>
      </c>
      <c r="C77" s="19" t="s">
        <v>105</v>
      </c>
      <c r="D77" s="10">
        <v>470747815.24000001</v>
      </c>
      <c r="E77" s="10">
        <v>6755966.7000000002</v>
      </c>
      <c r="F77" s="10">
        <v>0</v>
      </c>
      <c r="G77" s="10">
        <v>1036573.52</v>
      </c>
      <c r="H77" s="12">
        <f t="shared" si="30"/>
        <v>5719393.1799999997</v>
      </c>
      <c r="I77" s="10">
        <v>472279104.94999999</v>
      </c>
      <c r="J77" s="13">
        <f t="shared" si="31"/>
        <v>2.051998106510803E-3</v>
      </c>
      <c r="K77" s="10">
        <v>476896682.55000001</v>
      </c>
      <c r="L77" s="13">
        <f t="shared" si="38"/>
        <v>2.072247074645297E-3</v>
      </c>
      <c r="M77" s="13">
        <f t="shared" si="39"/>
        <v>9.7772218834218487E-3</v>
      </c>
      <c r="N77" s="20">
        <f t="shared" si="40"/>
        <v>2.1735808990269523E-3</v>
      </c>
      <c r="O77" s="21">
        <f t="shared" si="41"/>
        <v>1.1992939748328723E-2</v>
      </c>
      <c r="P77" s="24">
        <f t="shared" si="42"/>
        <v>2.7392821910027778</v>
      </c>
      <c r="Q77" s="24">
        <f t="shared" si="43"/>
        <v>3.2852046270366204E-2</v>
      </c>
      <c r="R77" s="10">
        <v>2.7323</v>
      </c>
      <c r="S77" s="10">
        <v>2.7323</v>
      </c>
      <c r="T77" s="17">
        <v>1390</v>
      </c>
      <c r="U77" s="10">
        <v>174500263.87</v>
      </c>
      <c r="V77" s="10">
        <v>174095492.65000001</v>
      </c>
    </row>
    <row r="78" spans="1:23">
      <c r="A78" s="100">
        <v>68</v>
      </c>
      <c r="B78" s="19" t="s">
        <v>310</v>
      </c>
      <c r="C78" s="19" t="s">
        <v>311</v>
      </c>
      <c r="D78" s="10">
        <f>534046240.1+42300240.25+105495000+100000000</f>
        <v>781841480.35000002</v>
      </c>
      <c r="E78" s="10">
        <v>12726721.99</v>
      </c>
      <c r="F78" s="10">
        <v>0</v>
      </c>
      <c r="G78" s="10">
        <v>3634124.91</v>
      </c>
      <c r="H78" s="12">
        <f t="shared" ref="H78" si="44">(E78+F78)-G78</f>
        <v>9092597.0800000001</v>
      </c>
      <c r="I78" s="10">
        <v>760832424.08000004</v>
      </c>
      <c r="J78" s="13">
        <f t="shared" si="31"/>
        <v>3.3057289158483325E-3</v>
      </c>
      <c r="K78" s="10">
        <v>882441588.83000004</v>
      </c>
      <c r="L78" s="13">
        <f t="shared" si="38"/>
        <v>3.8344510832418991E-3</v>
      </c>
      <c r="M78" s="13">
        <f t="shared" si="39"/>
        <v>0.15983699025057985</v>
      </c>
      <c r="N78" s="20">
        <f t="shared" si="40"/>
        <v>4.1182611472543647E-3</v>
      </c>
      <c r="O78" s="21">
        <f t="shared" si="41"/>
        <v>1.0303908151082919E-2</v>
      </c>
      <c r="P78" s="24">
        <f t="shared" si="42"/>
        <v>1067.9536880787905</v>
      </c>
      <c r="Q78" s="24">
        <f t="shared" si="43"/>
        <v>11.004096711574118</v>
      </c>
      <c r="R78" s="10">
        <v>1067.95</v>
      </c>
      <c r="S78" s="10">
        <v>1067.95</v>
      </c>
      <c r="T78" s="17">
        <v>214</v>
      </c>
      <c r="U78" s="10">
        <v>723427</v>
      </c>
      <c r="V78" s="10">
        <v>826292</v>
      </c>
    </row>
    <row r="79" spans="1:23">
      <c r="A79" s="100">
        <v>69</v>
      </c>
      <c r="B79" s="87" t="s">
        <v>245</v>
      </c>
      <c r="C79" s="88" t="s">
        <v>214</v>
      </c>
      <c r="D79" s="10">
        <v>229475027.63999999</v>
      </c>
      <c r="E79" s="10">
        <v>7925923.5499999998</v>
      </c>
      <c r="F79" s="10">
        <v>0</v>
      </c>
      <c r="G79" s="10">
        <v>467531.76</v>
      </c>
      <c r="H79" s="12">
        <f t="shared" si="30"/>
        <v>7458391.79</v>
      </c>
      <c r="I79" s="10">
        <v>220424409.38</v>
      </c>
      <c r="J79" s="13">
        <f t="shared" si="31"/>
        <v>9.5771857347872293E-4</v>
      </c>
      <c r="K79" s="10">
        <v>226010156.16999999</v>
      </c>
      <c r="L79" s="13">
        <f t="shared" si="38"/>
        <v>9.8207620665154323E-4</v>
      </c>
      <c r="M79" s="13">
        <f t="shared" si="39"/>
        <v>2.5340872209712765E-2</v>
      </c>
      <c r="N79" s="20">
        <f t="shared" si="40"/>
        <v>2.0686316399353873E-3</v>
      </c>
      <c r="O79" s="21">
        <f t="shared" si="41"/>
        <v>3.3000250592234263E-2</v>
      </c>
      <c r="P79" s="24">
        <f t="shared" si="42"/>
        <v>12.194514072890081</v>
      </c>
      <c r="Q79" s="24">
        <f t="shared" si="43"/>
        <v>0.4024220202558999</v>
      </c>
      <c r="R79" s="10">
        <v>12.1945</v>
      </c>
      <c r="S79" s="10">
        <v>12.243499999999999</v>
      </c>
      <c r="T79" s="17">
        <v>42</v>
      </c>
      <c r="U79" s="10">
        <v>18534098.789999999</v>
      </c>
      <c r="V79" s="10">
        <v>18533756.640000001</v>
      </c>
    </row>
    <row r="80" spans="1:23">
      <c r="A80" s="100">
        <v>70</v>
      </c>
      <c r="B80" s="93" t="s">
        <v>106</v>
      </c>
      <c r="C80" s="19" t="s">
        <v>60</v>
      </c>
      <c r="D80" s="10">
        <v>2128315059.97</v>
      </c>
      <c r="E80" s="10">
        <v>21746717.68</v>
      </c>
      <c r="F80" s="10">
        <v>0</v>
      </c>
      <c r="G80" s="10">
        <v>3789635.54</v>
      </c>
      <c r="H80" s="12">
        <f t="shared" si="30"/>
        <v>17957082.140000001</v>
      </c>
      <c r="I80" s="10">
        <v>2101277274.5999999</v>
      </c>
      <c r="J80" s="13">
        <f t="shared" si="31"/>
        <v>9.1298068102967853E-3</v>
      </c>
      <c r="K80" s="10">
        <v>2098960652.1300001</v>
      </c>
      <c r="L80" s="13">
        <f t="shared" si="38"/>
        <v>9.120560553943358E-3</v>
      </c>
      <c r="M80" s="13">
        <f t="shared" si="39"/>
        <v>-1.1024829983186219E-3</v>
      </c>
      <c r="N80" s="20">
        <f t="shared" si="40"/>
        <v>1.805481935144579E-3</v>
      </c>
      <c r="O80" s="21">
        <f t="shared" si="41"/>
        <v>8.5552257122006401E-3</v>
      </c>
      <c r="P80" s="24">
        <f t="shared" si="42"/>
        <v>4763.934997214782</v>
      </c>
      <c r="Q80" s="24">
        <f t="shared" si="43"/>
        <v>40.756539179424394</v>
      </c>
      <c r="R80" s="10">
        <v>4763.93</v>
      </c>
      <c r="S80" s="10">
        <v>4763.93</v>
      </c>
      <c r="T80" s="17">
        <v>1150</v>
      </c>
      <c r="U80" s="10">
        <v>444851.38</v>
      </c>
      <c r="V80" s="10">
        <v>440593.89</v>
      </c>
    </row>
    <row r="81" spans="1:24">
      <c r="A81" s="100">
        <v>71</v>
      </c>
      <c r="B81" s="19" t="s">
        <v>107</v>
      </c>
      <c r="C81" s="19" t="s">
        <v>62</v>
      </c>
      <c r="D81" s="10">
        <v>326520716.04000002</v>
      </c>
      <c r="E81" s="10">
        <v>4183918.48</v>
      </c>
      <c r="F81" s="10">
        <v>0</v>
      </c>
      <c r="G81" s="10">
        <v>691056.43</v>
      </c>
      <c r="H81" s="12">
        <f t="shared" si="30"/>
        <v>3492862.05</v>
      </c>
      <c r="I81" s="10">
        <v>340056164.66000003</v>
      </c>
      <c r="J81" s="13">
        <f t="shared" si="31"/>
        <v>1.4775047184514359E-3</v>
      </c>
      <c r="K81" s="10">
        <v>344515535.37</v>
      </c>
      <c r="L81" s="13">
        <f t="shared" si="38"/>
        <v>1.4970146290868571E-3</v>
      </c>
      <c r="M81" s="13">
        <f t="shared" si="39"/>
        <v>1.3113629963034525E-2</v>
      </c>
      <c r="N81" s="20">
        <f t="shared" si="40"/>
        <v>2.0058788619149639E-3</v>
      </c>
      <c r="O81" s="21">
        <f t="shared" si="41"/>
        <v>1.0138474731622086E-2</v>
      </c>
      <c r="P81" s="24">
        <f t="shared" si="42"/>
        <v>115.07383778827703</v>
      </c>
      <c r="Q81" s="24">
        <f t="shared" si="43"/>
        <v>1.1666731966872252</v>
      </c>
      <c r="R81" s="10">
        <v>115.3</v>
      </c>
      <c r="S81" s="10">
        <v>115.3</v>
      </c>
      <c r="T81" s="17">
        <v>91</v>
      </c>
      <c r="U81" s="10">
        <v>2989522</v>
      </c>
      <c r="V81" s="10">
        <v>2993865</v>
      </c>
      <c r="W81" s="15"/>
      <c r="X81" s="15"/>
    </row>
    <row r="82" spans="1:24">
      <c r="A82" s="100">
        <v>72</v>
      </c>
      <c r="B82" s="93" t="s">
        <v>108</v>
      </c>
      <c r="C82" s="93" t="s">
        <v>64</v>
      </c>
      <c r="D82" s="10">
        <v>434992904.87</v>
      </c>
      <c r="E82" s="10">
        <v>181804.29</v>
      </c>
      <c r="F82" s="10">
        <v>1367218.32</v>
      </c>
      <c r="G82" s="10">
        <v>864722.35</v>
      </c>
      <c r="H82" s="12">
        <f t="shared" si="30"/>
        <v>684300.26000000013</v>
      </c>
      <c r="I82" s="10">
        <v>438635153.50999999</v>
      </c>
      <c r="J82" s="13">
        <f t="shared" si="31"/>
        <v>1.9058190273882356E-3</v>
      </c>
      <c r="K82" s="10">
        <v>449005793.81999999</v>
      </c>
      <c r="L82" s="13">
        <f t="shared" si="38"/>
        <v>1.9510535023374413E-3</v>
      </c>
      <c r="M82" s="13">
        <f t="shared" si="39"/>
        <v>2.3642975778418937E-2</v>
      </c>
      <c r="N82" s="20">
        <f t="shared" si="40"/>
        <v>1.9258601156194764E-3</v>
      </c>
      <c r="O82" s="21">
        <f t="shared" si="41"/>
        <v>1.524034365298917E-3</v>
      </c>
      <c r="P82" s="24">
        <f t="shared" si="42"/>
        <v>1.4470463073758237</v>
      </c>
      <c r="Q82" s="24">
        <f t="shared" si="43"/>
        <v>2.2053483006196552E-3</v>
      </c>
      <c r="R82" s="10">
        <v>1.4470000000000001</v>
      </c>
      <c r="S82" s="10">
        <v>1.4470000000000001</v>
      </c>
      <c r="T82" s="17">
        <v>692</v>
      </c>
      <c r="U82" s="10">
        <v>299694052.83999997</v>
      </c>
      <c r="V82" s="10">
        <v>310291240.52999997</v>
      </c>
    </row>
    <row r="83" spans="1:24">
      <c r="A83" s="100">
        <v>73</v>
      </c>
      <c r="B83" s="87" t="s">
        <v>257</v>
      </c>
      <c r="C83" s="88" t="s">
        <v>64</v>
      </c>
      <c r="D83" s="16">
        <v>26560684.050000001</v>
      </c>
      <c r="E83" s="10">
        <v>2945711.87</v>
      </c>
      <c r="F83" s="10">
        <v>3055341.3</v>
      </c>
      <c r="G83" s="10">
        <v>684811.07</v>
      </c>
      <c r="H83" s="12">
        <f t="shared" si="30"/>
        <v>5316242.0999999996</v>
      </c>
      <c r="I83" s="10">
        <v>22547367.460000001</v>
      </c>
      <c r="J83" s="13">
        <f t="shared" si="31"/>
        <v>9.7965704706799549E-5</v>
      </c>
      <c r="K83" s="10">
        <v>26481477.59</v>
      </c>
      <c r="L83" s="13">
        <f t="shared" si="38"/>
        <v>1.1506929378232574E-4</v>
      </c>
      <c r="M83" s="13">
        <f t="shared" si="39"/>
        <v>0.1744820160038319</v>
      </c>
      <c r="N83" s="20">
        <f t="shared" si="40"/>
        <v>2.5860002247706904E-2</v>
      </c>
      <c r="O83" s="21">
        <f t="shared" si="41"/>
        <v>0.20075322768271556</v>
      </c>
      <c r="P83" s="24">
        <f t="shared" si="42"/>
        <v>1.0211003278479207</v>
      </c>
      <c r="Q83" s="24">
        <f t="shared" si="43"/>
        <v>0.20498918660334914</v>
      </c>
      <c r="R83" s="17">
        <v>0.89559999999999995</v>
      </c>
      <c r="S83" s="18">
        <v>1.0210999999999999</v>
      </c>
      <c r="T83" s="17">
        <v>1.0210999999999999</v>
      </c>
      <c r="U83" s="10">
        <v>25934256.280000001</v>
      </c>
      <c r="V83" s="10">
        <v>25934256.280000001</v>
      </c>
    </row>
    <row r="84" spans="1:24">
      <c r="A84" s="100">
        <v>74</v>
      </c>
      <c r="B84" s="19" t="s">
        <v>239</v>
      </c>
      <c r="C84" s="19" t="s">
        <v>48</v>
      </c>
      <c r="D84" s="10">
        <v>156295582.40000001</v>
      </c>
      <c r="E84" s="10">
        <v>803372.13</v>
      </c>
      <c r="F84" s="10">
        <v>0</v>
      </c>
      <c r="G84" s="10">
        <v>338079.46</v>
      </c>
      <c r="H84" s="12">
        <f t="shared" si="30"/>
        <v>465292.67</v>
      </c>
      <c r="I84" s="10">
        <v>155972977.91</v>
      </c>
      <c r="J84" s="13">
        <f t="shared" si="31"/>
        <v>6.7768455555969505E-4</v>
      </c>
      <c r="K84" s="10">
        <v>146809103.68000001</v>
      </c>
      <c r="L84" s="13">
        <f t="shared" si="38"/>
        <v>6.3792587947030194E-4</v>
      </c>
      <c r="M84" s="13">
        <f t="shared" si="39"/>
        <v>-5.8752960626857788E-2</v>
      </c>
      <c r="N84" s="20">
        <f t="shared" si="40"/>
        <v>2.3028507873524809E-3</v>
      </c>
      <c r="O84" s="21">
        <f t="shared" si="41"/>
        <v>3.1693720507564643E-3</v>
      </c>
      <c r="P84" s="24">
        <f t="shared" si="42"/>
        <v>131.54196680283761</v>
      </c>
      <c r="Q84" s="24">
        <f t="shared" si="43"/>
        <v>0.41690543308644812</v>
      </c>
      <c r="R84" s="10">
        <v>131.542</v>
      </c>
      <c r="S84" s="10">
        <v>131.542</v>
      </c>
      <c r="T84" s="17">
        <v>316</v>
      </c>
      <c r="U84" s="10">
        <v>1183875.55</v>
      </c>
      <c r="V84" s="10">
        <v>1116062.8600000001</v>
      </c>
    </row>
    <row r="85" spans="1:24">
      <c r="A85" s="100">
        <v>75</v>
      </c>
      <c r="B85" s="19" t="s">
        <v>109</v>
      </c>
      <c r="C85" s="19" t="s">
        <v>110</v>
      </c>
      <c r="D85" s="10">
        <v>1887617613.02</v>
      </c>
      <c r="E85" s="10">
        <v>38322061.100000001</v>
      </c>
      <c r="F85" s="10">
        <v>0</v>
      </c>
      <c r="G85" s="10">
        <v>4032734.36</v>
      </c>
      <c r="H85" s="12">
        <f t="shared" si="30"/>
        <v>34289326.740000002</v>
      </c>
      <c r="I85" s="10">
        <v>2324217707.8099999</v>
      </c>
      <c r="J85" s="13">
        <f t="shared" si="31"/>
        <v>1.0098457216416385E-2</v>
      </c>
      <c r="K85" s="10">
        <v>2588857168.6500001</v>
      </c>
      <c r="L85" s="13">
        <f t="shared" si="38"/>
        <v>1.124929547784599E-2</v>
      </c>
      <c r="M85" s="13">
        <f t="shared" si="39"/>
        <v>0.11386173504777113</v>
      </c>
      <c r="N85" s="20">
        <f t="shared" si="40"/>
        <v>1.5577276370572935E-3</v>
      </c>
      <c r="O85" s="21">
        <f t="shared" si="41"/>
        <v>1.3244966603499685E-2</v>
      </c>
      <c r="P85" s="24">
        <f t="shared" si="42"/>
        <v>1226.1521415509478</v>
      </c>
      <c r="Q85" s="24">
        <f t="shared" si="43"/>
        <v>16.240344165651923</v>
      </c>
      <c r="R85" s="10">
        <v>1241.6300000000001</v>
      </c>
      <c r="S85" s="10">
        <v>1241.6300000000001</v>
      </c>
      <c r="T85" s="17">
        <v>821</v>
      </c>
      <c r="U85" s="10">
        <v>1930707</v>
      </c>
      <c r="V85" s="10">
        <v>2111367</v>
      </c>
    </row>
    <row r="86" spans="1:24">
      <c r="A86" s="100">
        <v>76</v>
      </c>
      <c r="B86" s="19" t="s">
        <v>111</v>
      </c>
      <c r="C86" s="19" t="s">
        <v>66</v>
      </c>
      <c r="D86" s="10">
        <v>167246424.06</v>
      </c>
      <c r="E86" s="10">
        <v>1827194.03</v>
      </c>
      <c r="F86" s="10">
        <v>0</v>
      </c>
      <c r="G86" s="10">
        <v>546948.66</v>
      </c>
      <c r="H86" s="12">
        <f t="shared" si="30"/>
        <v>1280245.3700000001</v>
      </c>
      <c r="I86" s="10">
        <v>161560581.13</v>
      </c>
      <c r="J86" s="13">
        <f t="shared" si="31"/>
        <v>7.0196204551679897E-4</v>
      </c>
      <c r="K86" s="10">
        <v>157516688.84</v>
      </c>
      <c r="L86" s="13">
        <f t="shared" si="38"/>
        <v>6.8445327803738881E-4</v>
      </c>
      <c r="M86" s="13">
        <f t="shared" si="39"/>
        <v>-2.5030191533825116E-2</v>
      </c>
      <c r="N86" s="20">
        <f t="shared" si="40"/>
        <v>3.4723219744389848E-3</v>
      </c>
      <c r="O86" s="21">
        <f t="shared" si="41"/>
        <v>8.1276808154622203E-3</v>
      </c>
      <c r="P86" s="24">
        <f t="shared" si="42"/>
        <v>1112.5709945684034</v>
      </c>
      <c r="Q86" s="24">
        <f t="shared" si="43"/>
        <v>9.042621928393336</v>
      </c>
      <c r="R86" s="10">
        <v>1051.42</v>
      </c>
      <c r="S86" s="10">
        <v>1061.33</v>
      </c>
      <c r="T86" s="17">
        <v>284</v>
      </c>
      <c r="U86" s="10">
        <v>146048</v>
      </c>
      <c r="V86" s="10">
        <v>141579</v>
      </c>
    </row>
    <row r="87" spans="1:24">
      <c r="A87" s="100">
        <v>77</v>
      </c>
      <c r="B87" s="19" t="s">
        <v>112</v>
      </c>
      <c r="C87" s="93" t="s">
        <v>69</v>
      </c>
      <c r="D87" s="10">
        <v>711040724.12</v>
      </c>
      <c r="E87" s="10">
        <v>6404399.7199999997</v>
      </c>
      <c r="F87" s="10">
        <v>0</v>
      </c>
      <c r="G87" s="10">
        <v>1286458.95</v>
      </c>
      <c r="H87" s="12">
        <f t="shared" si="30"/>
        <v>5117940.7699999996</v>
      </c>
      <c r="I87" s="10">
        <v>664246301.00999999</v>
      </c>
      <c r="J87" s="13">
        <f t="shared" si="31"/>
        <v>2.8860733783122347E-3</v>
      </c>
      <c r="K87" s="10">
        <v>697781948.19000006</v>
      </c>
      <c r="L87" s="13">
        <f t="shared" si="38"/>
        <v>3.032054224292955E-3</v>
      </c>
      <c r="M87" s="13">
        <f t="shared" si="39"/>
        <v>5.0486765419707168E-2</v>
      </c>
      <c r="N87" s="20">
        <f t="shared" si="40"/>
        <v>1.8436403425697509E-3</v>
      </c>
      <c r="O87" s="21">
        <f t="shared" si="41"/>
        <v>7.3345846553863961E-3</v>
      </c>
      <c r="P87" s="24">
        <f t="shared" si="42"/>
        <v>1.1491637507943457</v>
      </c>
      <c r="Q87" s="24">
        <f t="shared" si="43"/>
        <v>8.4286388131024851E-3</v>
      </c>
      <c r="R87" s="10">
        <v>1.149</v>
      </c>
      <c r="S87" s="10">
        <v>1.149</v>
      </c>
      <c r="T87" s="17">
        <v>55</v>
      </c>
      <c r="U87" s="10">
        <v>605965047.63999999</v>
      </c>
      <c r="V87" s="10">
        <v>607208457.20000005</v>
      </c>
    </row>
    <row r="88" spans="1:24">
      <c r="A88" s="100">
        <v>78</v>
      </c>
      <c r="B88" s="19" t="s">
        <v>246</v>
      </c>
      <c r="C88" s="19" t="s">
        <v>30</v>
      </c>
      <c r="D88" s="10">
        <v>12001545116.309999</v>
      </c>
      <c r="E88" s="10">
        <v>102227894.34999999</v>
      </c>
      <c r="F88" s="10">
        <v>0</v>
      </c>
      <c r="G88" s="10">
        <v>13742149.390000001</v>
      </c>
      <c r="H88" s="12">
        <f t="shared" si="30"/>
        <v>88485744.959999993</v>
      </c>
      <c r="I88" s="10">
        <v>11733266791.65</v>
      </c>
      <c r="J88" s="13">
        <f t="shared" si="31"/>
        <v>5.09796876196775E-2</v>
      </c>
      <c r="K88" s="10">
        <v>11634649118.620001</v>
      </c>
      <c r="L88" s="13">
        <f t="shared" si="38"/>
        <v>5.0555746103469683E-2</v>
      </c>
      <c r="M88" s="13">
        <f t="shared" si="39"/>
        <v>-8.404962980998628E-3</v>
      </c>
      <c r="N88" s="20">
        <f t="shared" si="40"/>
        <v>1.1811399939863397E-3</v>
      </c>
      <c r="O88" s="21">
        <f t="shared" si="41"/>
        <v>7.6053642922834777E-3</v>
      </c>
      <c r="P88" s="24">
        <f t="shared" si="42"/>
        <v>1741.5094924342723</v>
      </c>
      <c r="Q88" s="24">
        <f t="shared" si="43"/>
        <v>13.244814108432339</v>
      </c>
      <c r="R88" s="10">
        <v>1741.5</v>
      </c>
      <c r="S88" s="10">
        <v>1741.5</v>
      </c>
      <c r="T88" s="17">
        <v>2060</v>
      </c>
      <c r="U88" s="10">
        <v>6764172.6699999999</v>
      </c>
      <c r="V88" s="10">
        <v>6680784.21</v>
      </c>
    </row>
    <row r="89" spans="1:24" ht="14.4" customHeight="1">
      <c r="A89" s="100">
        <v>79</v>
      </c>
      <c r="B89" s="19" t="s">
        <v>113</v>
      </c>
      <c r="C89" s="19" t="s">
        <v>75</v>
      </c>
      <c r="D89" s="10">
        <v>22425730.199999999</v>
      </c>
      <c r="E89" s="10">
        <v>288634.51</v>
      </c>
      <c r="F89" s="10">
        <v>0</v>
      </c>
      <c r="G89" s="10">
        <v>249568.7</v>
      </c>
      <c r="H89" s="12">
        <v>39065.81</v>
      </c>
      <c r="I89" s="10">
        <v>23239225.73</v>
      </c>
      <c r="J89" s="13">
        <f t="shared" si="31"/>
        <v>1.0097174889790164E-4</v>
      </c>
      <c r="K89" s="10">
        <v>23459741.420000002</v>
      </c>
      <c r="L89" s="13">
        <f t="shared" si="38"/>
        <v>1.0193902014496224E-4</v>
      </c>
      <c r="M89" s="13">
        <f t="shared" si="39"/>
        <v>9.4889430724592969E-3</v>
      </c>
      <c r="N89" s="20">
        <f t="shared" si="40"/>
        <v>1.0638169259071057E-2</v>
      </c>
      <c r="O89" s="21">
        <f t="shared" si="41"/>
        <v>1.6652276468271487E-3</v>
      </c>
      <c r="P89" s="24">
        <f t="shared" si="42"/>
        <v>0.71657041458073856</v>
      </c>
      <c r="Q89" s="24">
        <f t="shared" si="43"/>
        <v>1.1932528652582378E-3</v>
      </c>
      <c r="R89" s="10">
        <v>0.71660000000000001</v>
      </c>
      <c r="S89" s="10">
        <v>0.71660000000000001</v>
      </c>
      <c r="T89" s="17">
        <v>729</v>
      </c>
      <c r="U89" s="10">
        <v>32738919.920000002</v>
      </c>
      <c r="V89" s="10">
        <v>32738919.920000002</v>
      </c>
    </row>
    <row r="90" spans="1:24" ht="14.4" customHeight="1">
      <c r="A90" s="100">
        <v>80</v>
      </c>
      <c r="B90" s="19" t="s">
        <v>240</v>
      </c>
      <c r="C90" s="93" t="s">
        <v>36</v>
      </c>
      <c r="D90" s="10">
        <v>10554984119.200001</v>
      </c>
      <c r="E90" s="10">
        <v>102720667.37</v>
      </c>
      <c r="F90" s="10">
        <v>0</v>
      </c>
      <c r="G90" s="10">
        <v>2972322.04</v>
      </c>
      <c r="H90" s="12">
        <f t="shared" si="30"/>
        <v>99748345.329999998</v>
      </c>
      <c r="I90" s="10">
        <v>10009997593.33</v>
      </c>
      <c r="J90" s="13">
        <f t="shared" si="31"/>
        <v>4.3492282195854229E-2</v>
      </c>
      <c r="K90" s="10">
        <v>10035195758</v>
      </c>
      <c r="L90" s="13">
        <f t="shared" si="38"/>
        <v>4.3605681930547105E-2</v>
      </c>
      <c r="M90" s="13">
        <f t="shared" si="39"/>
        <v>2.5172997730579343E-3</v>
      </c>
      <c r="N90" s="20">
        <f t="shared" si="40"/>
        <v>2.961897417527189E-4</v>
      </c>
      <c r="O90" s="21">
        <f t="shared" si="41"/>
        <v>9.9398504758097216E-3</v>
      </c>
      <c r="P90" s="24">
        <f t="shared" si="42"/>
        <v>1</v>
      </c>
      <c r="Q90" s="24">
        <f t="shared" si="43"/>
        <v>9.9398504758097216E-3</v>
      </c>
      <c r="R90" s="10">
        <v>1</v>
      </c>
      <c r="S90" s="10">
        <v>1</v>
      </c>
      <c r="T90" s="17">
        <v>4559</v>
      </c>
      <c r="U90" s="10">
        <v>10014235527.59</v>
      </c>
      <c r="V90" s="10">
        <v>10035195758</v>
      </c>
    </row>
    <row r="91" spans="1:24">
      <c r="A91" s="100">
        <v>81</v>
      </c>
      <c r="B91" s="93" t="s">
        <v>114</v>
      </c>
      <c r="C91" s="93" t="s">
        <v>115</v>
      </c>
      <c r="D91" s="10">
        <v>1835697757.47</v>
      </c>
      <c r="E91" s="10">
        <v>26272310.420000002</v>
      </c>
      <c r="F91" s="10">
        <v>0</v>
      </c>
      <c r="G91" s="10">
        <v>3450662.1</v>
      </c>
      <c r="H91" s="12">
        <f t="shared" si="30"/>
        <v>22821648.32</v>
      </c>
      <c r="I91" s="10">
        <v>1566612276.8599999</v>
      </c>
      <c r="J91" s="13">
        <f t="shared" si="31"/>
        <v>6.80674921261578E-3</v>
      </c>
      <c r="K91" s="10">
        <v>1811790121.5799999</v>
      </c>
      <c r="L91" s="13">
        <f t="shared" si="38"/>
        <v>7.8727257217222641E-3</v>
      </c>
      <c r="M91" s="13">
        <f t="shared" si="39"/>
        <v>0.15650192989130413</v>
      </c>
      <c r="N91" s="20">
        <f t="shared" si="40"/>
        <v>1.9045595065894257E-3</v>
      </c>
      <c r="O91" s="21">
        <f t="shared" si="41"/>
        <v>1.2596187631323448E-2</v>
      </c>
      <c r="P91" s="24">
        <f t="shared" si="42"/>
        <v>265.83200872498333</v>
      </c>
      <c r="Q91" s="24">
        <f t="shared" si="43"/>
        <v>3.3484698603115022</v>
      </c>
      <c r="R91" s="10">
        <v>265.83199999999999</v>
      </c>
      <c r="S91" s="10">
        <v>265.83199999999999</v>
      </c>
      <c r="T91" s="17">
        <v>565</v>
      </c>
      <c r="U91" s="10">
        <v>5958927.21</v>
      </c>
      <c r="V91" s="10">
        <v>6815545.3899999997</v>
      </c>
    </row>
    <row r="92" spans="1:24">
      <c r="A92" s="100">
        <v>82</v>
      </c>
      <c r="B92" s="19" t="s">
        <v>116</v>
      </c>
      <c r="C92" s="93" t="s">
        <v>38</v>
      </c>
      <c r="D92" s="10">
        <v>1157786467</v>
      </c>
      <c r="E92" s="10">
        <v>12755975.779999999</v>
      </c>
      <c r="F92" s="10">
        <v>0</v>
      </c>
      <c r="G92" s="10">
        <v>1666867.58</v>
      </c>
      <c r="H92" s="12">
        <f t="shared" si="30"/>
        <v>11089108.199999999</v>
      </c>
      <c r="I92" s="10">
        <v>1137812007.8399999</v>
      </c>
      <c r="J92" s="13">
        <f t="shared" si="31"/>
        <v>4.9436616212358538E-3</v>
      </c>
      <c r="K92" s="10">
        <v>1144770270.4100001</v>
      </c>
      <c r="L92" s="13">
        <f t="shared" si="38"/>
        <v>4.974341258390514E-3</v>
      </c>
      <c r="M92" s="13">
        <f t="shared" si="39"/>
        <v>6.1154764777088273E-3</v>
      </c>
      <c r="N92" s="20">
        <f t="shared" si="40"/>
        <v>1.4560716879929198E-3</v>
      </c>
      <c r="O92" s="21">
        <f t="shared" si="41"/>
        <v>9.6867541782234001E-3</v>
      </c>
      <c r="P92" s="24">
        <f t="shared" si="42"/>
        <v>3.9145009564019104</v>
      </c>
      <c r="Q92" s="24">
        <f t="shared" si="43"/>
        <v>3.79188084950857E-2</v>
      </c>
      <c r="R92" s="10">
        <v>3.91</v>
      </c>
      <c r="S92" s="10">
        <v>3.91</v>
      </c>
      <c r="T92" s="17">
        <v>769</v>
      </c>
      <c r="U92" s="10">
        <v>292417886</v>
      </c>
      <c r="V92" s="10">
        <v>292443477</v>
      </c>
    </row>
    <row r="93" spans="1:24">
      <c r="A93" s="100">
        <v>83</v>
      </c>
      <c r="B93" s="87" t="s">
        <v>244</v>
      </c>
      <c r="C93" s="88" t="s">
        <v>40</v>
      </c>
      <c r="D93" s="10">
        <v>655548958.88</v>
      </c>
      <c r="E93" s="10">
        <v>8682023.3499999996</v>
      </c>
      <c r="F93" s="10">
        <v>0</v>
      </c>
      <c r="G93" s="10">
        <v>1308247.53</v>
      </c>
      <c r="H93" s="12">
        <f t="shared" si="30"/>
        <v>7373775.8199999994</v>
      </c>
      <c r="I93" s="10">
        <v>636085576.96000004</v>
      </c>
      <c r="J93" s="13">
        <f t="shared" si="31"/>
        <v>2.7637182882332633E-3</v>
      </c>
      <c r="K93" s="10">
        <v>665099296.29999995</v>
      </c>
      <c r="L93" s="13">
        <f t="shared" si="38"/>
        <v>2.8900391249037857E-3</v>
      </c>
      <c r="M93" s="13">
        <f t="shared" si="39"/>
        <v>4.561291812127416E-2</v>
      </c>
      <c r="N93" s="20">
        <f t="shared" si="40"/>
        <v>1.9669958114192643E-3</v>
      </c>
      <c r="O93" s="21">
        <f t="shared" si="41"/>
        <v>1.1086729246325921E-2</v>
      </c>
      <c r="P93" s="24">
        <f t="shared" si="42"/>
        <v>110.27881197596203</v>
      </c>
      <c r="Q93" s="24">
        <f t="shared" si="43"/>
        <v>1.2226313299839755</v>
      </c>
      <c r="R93" s="10">
        <v>109.46</v>
      </c>
      <c r="S93" s="10">
        <v>109.46</v>
      </c>
      <c r="T93" s="17">
        <v>185</v>
      </c>
      <c r="U93" s="10">
        <v>5853705.6900000004</v>
      </c>
      <c r="V93" s="10">
        <v>6031070.5599999996</v>
      </c>
    </row>
    <row r="94" spans="1:24">
      <c r="A94" s="100">
        <v>84</v>
      </c>
      <c r="B94" s="19" t="s">
        <v>243</v>
      </c>
      <c r="C94" s="19" t="s">
        <v>44</v>
      </c>
      <c r="D94" s="10">
        <v>1020320325.99</v>
      </c>
      <c r="E94" s="10">
        <v>11307485.710000001</v>
      </c>
      <c r="F94" s="10">
        <v>0</v>
      </c>
      <c r="G94" s="10">
        <v>2131056.85</v>
      </c>
      <c r="H94" s="12">
        <f t="shared" si="30"/>
        <v>9176428.8600000013</v>
      </c>
      <c r="I94" s="10">
        <v>982242272.42999995</v>
      </c>
      <c r="J94" s="13">
        <f t="shared" si="31"/>
        <v>4.2677291077161134E-3</v>
      </c>
      <c r="K94" s="10">
        <v>1014765811.9299999</v>
      </c>
      <c r="L94" s="13">
        <f t="shared" si="38"/>
        <v>4.4094361780374312E-3</v>
      </c>
      <c r="M94" s="13">
        <f t="shared" si="39"/>
        <v>3.3111524939299343E-2</v>
      </c>
      <c r="N94" s="20">
        <f t="shared" si="40"/>
        <v>2.1000479371165526E-3</v>
      </c>
      <c r="O94" s="21">
        <f t="shared" si="41"/>
        <v>9.0429030542004546E-3</v>
      </c>
      <c r="P94" s="24">
        <f t="shared" si="42"/>
        <v>109.80259342488834</v>
      </c>
      <c r="Q94" s="24">
        <f t="shared" si="43"/>
        <v>0.99293420744105365</v>
      </c>
      <c r="R94" s="10">
        <v>109.78</v>
      </c>
      <c r="S94" s="10">
        <v>110.38</v>
      </c>
      <c r="T94" s="17">
        <v>1152</v>
      </c>
      <c r="U94" s="10">
        <v>9143947</v>
      </c>
      <c r="V94" s="10">
        <v>9241729</v>
      </c>
    </row>
    <row r="95" spans="1:24">
      <c r="A95" s="100">
        <v>85</v>
      </c>
      <c r="B95" s="19" t="s">
        <v>119</v>
      </c>
      <c r="C95" s="19" t="s">
        <v>22</v>
      </c>
      <c r="D95" s="10">
        <v>1594512816.1700001</v>
      </c>
      <c r="E95" s="10">
        <v>19359299.399999999</v>
      </c>
      <c r="F95" s="10">
        <v>72614052.609999999</v>
      </c>
      <c r="G95" s="10">
        <v>2262763.67</v>
      </c>
      <c r="H95" s="12">
        <f t="shared" si="30"/>
        <v>89710588.339999989</v>
      </c>
      <c r="I95" s="10">
        <v>1546711513.78</v>
      </c>
      <c r="J95" s="13">
        <f t="shared" si="31"/>
        <v>6.7202826979419978E-3</v>
      </c>
      <c r="K95" s="10">
        <v>1571578711.4100001</v>
      </c>
      <c r="L95" s="13">
        <f t="shared" si="38"/>
        <v>6.828941165789618E-3</v>
      </c>
      <c r="M95" s="13">
        <f t="shared" si="39"/>
        <v>1.6077463320375306E-2</v>
      </c>
      <c r="N95" s="20">
        <f t="shared" si="40"/>
        <v>1.4398029532799396E-3</v>
      </c>
      <c r="O95" s="21">
        <f t="shared" si="41"/>
        <v>5.7083102289870555E-2</v>
      </c>
      <c r="P95" s="24">
        <f t="shared" si="42"/>
        <v>379.24111502780386</v>
      </c>
      <c r="Q95" s="24">
        <f t="shared" si="43"/>
        <v>21.648259361656692</v>
      </c>
      <c r="R95" s="10">
        <v>379.24</v>
      </c>
      <c r="S95" s="10">
        <v>379.24</v>
      </c>
      <c r="T95" s="17">
        <v>90</v>
      </c>
      <c r="U95" s="10">
        <v>4124764.82</v>
      </c>
      <c r="V95" s="10">
        <v>4144009.31</v>
      </c>
    </row>
    <row r="96" spans="1:24">
      <c r="A96" s="100">
        <v>86</v>
      </c>
      <c r="B96" s="87" t="s">
        <v>247</v>
      </c>
      <c r="C96" s="88" t="s">
        <v>248</v>
      </c>
      <c r="D96" s="10">
        <v>1350176946.8800001</v>
      </c>
      <c r="E96" s="10">
        <v>25137573.530000001</v>
      </c>
      <c r="F96" s="10">
        <v>30020699.789999999</v>
      </c>
      <c r="G96" s="10">
        <v>3193274.11</v>
      </c>
      <c r="H96" s="12">
        <f t="shared" si="30"/>
        <v>51964999.210000001</v>
      </c>
      <c r="I96" s="10">
        <v>1768665395.8900001</v>
      </c>
      <c r="J96" s="13">
        <f t="shared" si="31"/>
        <v>7.6846466535962716E-3</v>
      </c>
      <c r="K96" s="10">
        <v>1744034739.1700001</v>
      </c>
      <c r="L96" s="13">
        <f t="shared" si="38"/>
        <v>7.5783099748149138E-3</v>
      </c>
      <c r="M96" s="13">
        <f t="shared" si="39"/>
        <v>-1.3926125754049581E-2</v>
      </c>
      <c r="N96" s="20">
        <f t="shared" si="40"/>
        <v>1.8309693254847114E-3</v>
      </c>
      <c r="O96" s="21">
        <f t="shared" si="41"/>
        <v>2.979585099017612E-2</v>
      </c>
      <c r="P96" s="24">
        <f t="shared" si="42"/>
        <v>105.48420696810921</v>
      </c>
      <c r="Q96" s="24">
        <f t="shared" si="43"/>
        <v>3.1429917126386795</v>
      </c>
      <c r="R96" s="10">
        <v>105.48</v>
      </c>
      <c r="S96" s="10">
        <v>105.48</v>
      </c>
      <c r="T96" s="17">
        <v>406</v>
      </c>
      <c r="U96" s="10">
        <v>17268002</v>
      </c>
      <c r="V96" s="10">
        <v>16533610</v>
      </c>
    </row>
    <row r="97" spans="1:23">
      <c r="A97" s="100">
        <v>87</v>
      </c>
      <c r="B97" s="93" t="s">
        <v>120</v>
      </c>
      <c r="C97" s="93" t="s">
        <v>42</v>
      </c>
      <c r="D97" s="10">
        <v>59282472.479999997</v>
      </c>
      <c r="E97" s="10">
        <v>2430059.02</v>
      </c>
      <c r="F97" s="10">
        <v>0</v>
      </c>
      <c r="G97" s="10">
        <v>152410.94</v>
      </c>
      <c r="H97" s="12">
        <f t="shared" si="30"/>
        <v>2277648.08</v>
      </c>
      <c r="I97" s="10">
        <v>56998457.329999998</v>
      </c>
      <c r="J97" s="13">
        <f t="shared" si="31"/>
        <v>2.4765170698707787E-4</v>
      </c>
      <c r="K97" s="10">
        <v>59735149.5</v>
      </c>
      <c r="L97" s="13">
        <f t="shared" si="38"/>
        <v>2.5956563200016852E-4</v>
      </c>
      <c r="M97" s="13">
        <f t="shared" si="39"/>
        <v>4.8013442787680473E-2</v>
      </c>
      <c r="N97" s="20">
        <f t="shared" si="40"/>
        <v>2.55144485743691E-3</v>
      </c>
      <c r="O97" s="21">
        <f t="shared" si="41"/>
        <v>3.8129109897012979E-2</v>
      </c>
      <c r="P97" s="24">
        <f t="shared" si="42"/>
        <v>12.199090060641895</v>
      </c>
      <c r="Q97" s="24">
        <f t="shared" si="43"/>
        <v>0.46514044556577355</v>
      </c>
      <c r="R97" s="10">
        <v>11.69</v>
      </c>
      <c r="S97" s="10">
        <v>12.22</v>
      </c>
      <c r="T97" s="17">
        <v>60</v>
      </c>
      <c r="U97" s="10">
        <v>4896688.95</v>
      </c>
      <c r="V97" s="10">
        <v>4896688.95</v>
      </c>
    </row>
    <row r="98" spans="1:23">
      <c r="A98" s="100">
        <v>88</v>
      </c>
      <c r="B98" s="87" t="s">
        <v>262</v>
      </c>
      <c r="C98" s="88" t="s">
        <v>263</v>
      </c>
      <c r="D98" s="10">
        <v>796742328.67999995</v>
      </c>
      <c r="E98" s="10">
        <v>11482990.18</v>
      </c>
      <c r="F98" s="10">
        <v>0</v>
      </c>
      <c r="G98" s="10">
        <v>1140087.47</v>
      </c>
      <c r="H98" s="12">
        <f t="shared" si="30"/>
        <v>10342902.709999999</v>
      </c>
      <c r="I98" s="10">
        <v>718512404.38</v>
      </c>
      <c r="J98" s="13">
        <f t="shared" si="31"/>
        <v>3.121853323255487E-3</v>
      </c>
      <c r="K98" s="10">
        <v>777371217.74000001</v>
      </c>
      <c r="L98" s="13">
        <f t="shared" si="38"/>
        <v>3.3778914612312754E-3</v>
      </c>
      <c r="M98" s="13">
        <f t="shared" si="39"/>
        <v>8.1917602258779268E-2</v>
      </c>
      <c r="N98" s="20">
        <f t="shared" si="40"/>
        <v>1.466593364897791E-3</v>
      </c>
      <c r="O98" s="21">
        <f t="shared" si="41"/>
        <v>1.3304972545895431E-2</v>
      </c>
      <c r="P98" s="24">
        <f t="shared" si="42"/>
        <v>149.60839461958733</v>
      </c>
      <c r="Q98" s="24">
        <f t="shared" si="43"/>
        <v>1.9905355830490992</v>
      </c>
      <c r="R98" s="10">
        <v>149.61000000000001</v>
      </c>
      <c r="S98" s="10">
        <v>149.61000000000001</v>
      </c>
      <c r="T98" s="17">
        <v>165</v>
      </c>
      <c r="U98" s="10">
        <v>4870714.3899999997</v>
      </c>
      <c r="V98" s="10">
        <v>5196040.0999999996</v>
      </c>
    </row>
    <row r="99" spans="1:23">
      <c r="A99" s="100">
        <v>89</v>
      </c>
      <c r="B99" s="19" t="s">
        <v>121</v>
      </c>
      <c r="C99" s="19" t="s">
        <v>122</v>
      </c>
      <c r="D99" s="10">
        <v>10172911963.51</v>
      </c>
      <c r="E99" s="10">
        <v>159296406.24000001</v>
      </c>
      <c r="F99" s="10">
        <v>0</v>
      </c>
      <c r="G99" s="10">
        <v>15147564.73</v>
      </c>
      <c r="H99" s="12">
        <f t="shared" si="30"/>
        <v>144148841.51000002</v>
      </c>
      <c r="I99" s="10">
        <v>9838993905</v>
      </c>
      <c r="J99" s="13">
        <f t="shared" si="31"/>
        <v>4.2749290941357224E-2</v>
      </c>
      <c r="K99" s="10">
        <v>9980812445</v>
      </c>
      <c r="L99" s="13">
        <f t="shared" si="38"/>
        <v>4.3369371498125607E-2</v>
      </c>
      <c r="M99" s="13">
        <f t="shared" si="39"/>
        <v>1.4413927010151959E-2</v>
      </c>
      <c r="N99" s="20">
        <f t="shared" si="40"/>
        <v>1.5176685077965114E-3</v>
      </c>
      <c r="O99" s="21">
        <f t="shared" si="41"/>
        <v>1.4442595961435285E-2</v>
      </c>
      <c r="P99" s="24">
        <f t="shared" si="42"/>
        <v>1.1200000000044885</v>
      </c>
      <c r="Q99" s="24">
        <f t="shared" si="43"/>
        <v>1.6175707476872345E-2</v>
      </c>
      <c r="R99" s="10">
        <v>1.1200000000000001</v>
      </c>
      <c r="S99" s="10">
        <v>1.1200000000000001</v>
      </c>
      <c r="T99" s="17">
        <v>5024</v>
      </c>
      <c r="U99" s="10">
        <v>8863958472</v>
      </c>
      <c r="V99" s="10">
        <v>8911439683</v>
      </c>
    </row>
    <row r="100" spans="1:23">
      <c r="A100" s="100">
        <v>90</v>
      </c>
      <c r="B100" s="93" t="s">
        <v>123</v>
      </c>
      <c r="C100" s="19" t="s">
        <v>46</v>
      </c>
      <c r="D100" s="10">
        <v>7004158581.29</v>
      </c>
      <c r="E100" s="10">
        <v>110058259.84</v>
      </c>
      <c r="F100" s="10">
        <v>0</v>
      </c>
      <c r="G100" s="10">
        <v>9121169.2100000009</v>
      </c>
      <c r="H100" s="12">
        <f t="shared" si="30"/>
        <v>100937090.63</v>
      </c>
      <c r="I100" s="10">
        <v>7529835804.4300003</v>
      </c>
      <c r="J100" s="13">
        <f t="shared" si="31"/>
        <v>3.2716265977220021E-2</v>
      </c>
      <c r="K100" s="10">
        <v>6994103742.9700003</v>
      </c>
      <c r="L100" s="13">
        <f t="shared" si="38"/>
        <v>3.0391301830068277E-2</v>
      </c>
      <c r="M100" s="13">
        <f t="shared" si="39"/>
        <v>-7.1147907520747636E-2</v>
      </c>
      <c r="N100" s="20">
        <f t="shared" si="40"/>
        <v>1.3041226646327605E-3</v>
      </c>
      <c r="O100" s="21">
        <f t="shared" si="41"/>
        <v>1.4431740554528538E-2</v>
      </c>
      <c r="P100" s="24">
        <f t="shared" si="42"/>
        <v>5176.0820091257101</v>
      </c>
      <c r="Q100" s="24">
        <f t="shared" si="43"/>
        <v>74.699872644665064</v>
      </c>
      <c r="R100" s="10">
        <v>5176.08</v>
      </c>
      <c r="S100" s="10">
        <v>5176.08</v>
      </c>
      <c r="T100" s="17">
        <v>233</v>
      </c>
      <c r="U100" s="10">
        <v>1454739.31</v>
      </c>
      <c r="V100" s="10">
        <v>1351235.11</v>
      </c>
    </row>
    <row r="101" spans="1:23">
      <c r="A101" s="100">
        <v>91</v>
      </c>
      <c r="B101" s="19" t="s">
        <v>124</v>
      </c>
      <c r="C101" s="19" t="s">
        <v>46</v>
      </c>
      <c r="D101" s="10">
        <v>16540172050.190001</v>
      </c>
      <c r="E101" s="10">
        <v>145183638.91</v>
      </c>
      <c r="F101" s="10">
        <v>0</v>
      </c>
      <c r="G101" s="10">
        <v>27422016.510000002</v>
      </c>
      <c r="H101" s="12">
        <f t="shared" si="30"/>
        <v>117761622.39999999</v>
      </c>
      <c r="I101" s="10">
        <v>16665742689.15</v>
      </c>
      <c r="J101" s="13">
        <f t="shared" si="31"/>
        <v>7.2410725105766835E-2</v>
      </c>
      <c r="K101" s="10">
        <v>16447086762.299999</v>
      </c>
      <c r="L101" s="13">
        <f t="shared" si="38"/>
        <v>7.1467109495021927E-2</v>
      </c>
      <c r="M101" s="13">
        <f t="shared" si="39"/>
        <v>-1.3120082970700928E-2</v>
      </c>
      <c r="N101" s="20">
        <f t="shared" si="40"/>
        <v>1.6672871558540525E-3</v>
      </c>
      <c r="O101" s="21">
        <f t="shared" si="41"/>
        <v>7.1600292563624764E-3</v>
      </c>
      <c r="P101" s="24">
        <f t="shared" si="42"/>
        <v>259.17925590233966</v>
      </c>
      <c r="Q101" s="24">
        <f t="shared" si="43"/>
        <v>1.855731054903009</v>
      </c>
      <c r="R101" s="10">
        <v>259.18</v>
      </c>
      <c r="S101" s="10">
        <v>259.18</v>
      </c>
      <c r="T101" s="17">
        <v>6114</v>
      </c>
      <c r="U101" s="10">
        <v>64305331.740000002</v>
      </c>
      <c r="V101" s="10">
        <v>63458345.479999997</v>
      </c>
    </row>
    <row r="102" spans="1:23">
      <c r="A102" s="100">
        <v>92</v>
      </c>
      <c r="B102" s="93" t="s">
        <v>125</v>
      </c>
      <c r="C102" s="19" t="s">
        <v>46</v>
      </c>
      <c r="D102" s="10">
        <v>537188873.38</v>
      </c>
      <c r="E102" s="10">
        <v>5871049.8899999997</v>
      </c>
      <c r="F102" s="10">
        <v>1531690.25</v>
      </c>
      <c r="G102" s="10">
        <v>604425.03</v>
      </c>
      <c r="H102" s="12">
        <f t="shared" si="30"/>
        <v>6798315.1099999994</v>
      </c>
      <c r="I102" s="10">
        <v>528131810.95999998</v>
      </c>
      <c r="J102" s="13">
        <f t="shared" si="31"/>
        <v>2.2946716564832461E-3</v>
      </c>
      <c r="K102" s="10">
        <v>535800386.23000002</v>
      </c>
      <c r="L102" s="13">
        <f t="shared" si="38"/>
        <v>2.3281998461847715E-3</v>
      </c>
      <c r="M102" s="13">
        <f t="shared" si="39"/>
        <v>1.4520191949923744E-2</v>
      </c>
      <c r="N102" s="20">
        <f t="shared" si="40"/>
        <v>1.1280787500973207E-3</v>
      </c>
      <c r="O102" s="21">
        <f t="shared" si="41"/>
        <v>1.2688148953819017E-2</v>
      </c>
      <c r="P102" s="24">
        <f t="shared" si="42"/>
        <v>8872.1246956522318</v>
      </c>
      <c r="Q102" s="24">
        <f t="shared" si="43"/>
        <v>112.57083967529172</v>
      </c>
      <c r="R102" s="10">
        <v>8850.48</v>
      </c>
      <c r="S102" s="10">
        <v>8886.9599999999991</v>
      </c>
      <c r="T102" s="17">
        <v>15</v>
      </c>
      <c r="U102" s="10">
        <v>60391.44</v>
      </c>
      <c r="V102" s="10">
        <v>60391.44</v>
      </c>
    </row>
    <row r="103" spans="1:23">
      <c r="A103" s="100">
        <v>93</v>
      </c>
      <c r="B103" s="19" t="s">
        <v>126</v>
      </c>
      <c r="C103" s="19" t="s">
        <v>46</v>
      </c>
      <c r="D103" s="10">
        <v>6465851341.3900003</v>
      </c>
      <c r="E103" s="10">
        <v>91535002.939999998</v>
      </c>
      <c r="F103" s="10">
        <v>0</v>
      </c>
      <c r="G103" s="10">
        <v>8888787.4399999995</v>
      </c>
      <c r="H103" s="12">
        <f t="shared" si="30"/>
        <v>82646215.5</v>
      </c>
      <c r="I103" s="10">
        <v>6389362997.1599998</v>
      </c>
      <c r="J103" s="13">
        <f t="shared" si="31"/>
        <v>2.7761043490100119E-2</v>
      </c>
      <c r="K103" s="10">
        <v>6482081269.2399998</v>
      </c>
      <c r="L103" s="13">
        <f t="shared" si="38"/>
        <v>2.8166423544762953E-2</v>
      </c>
      <c r="M103" s="13">
        <f t="shared" si="39"/>
        <v>1.451134833334906E-2</v>
      </c>
      <c r="N103" s="20">
        <f t="shared" si="40"/>
        <v>1.3712860223121172E-3</v>
      </c>
      <c r="O103" s="21">
        <f t="shared" si="41"/>
        <v>1.2749950527801692E-2</v>
      </c>
      <c r="P103" s="24">
        <f t="shared" si="42"/>
        <v>155.46691711310308</v>
      </c>
      <c r="Q103" s="24">
        <f t="shared" si="43"/>
        <v>1.9821955019019106</v>
      </c>
      <c r="R103" s="10">
        <v>155.47</v>
      </c>
      <c r="S103" s="10">
        <v>155.47</v>
      </c>
      <c r="T103" s="17">
        <v>4977</v>
      </c>
      <c r="U103" s="10">
        <v>41629962.840000004</v>
      </c>
      <c r="V103" s="10">
        <v>41694280.619999997</v>
      </c>
    </row>
    <row r="104" spans="1:23">
      <c r="A104" s="100">
        <v>94</v>
      </c>
      <c r="B104" s="19" t="s">
        <v>127</v>
      </c>
      <c r="C104" s="19" t="s">
        <v>46</v>
      </c>
      <c r="D104" s="10">
        <v>6218162152.1300001</v>
      </c>
      <c r="E104" s="10">
        <v>54361546.210000001</v>
      </c>
      <c r="F104" s="10">
        <v>13352507.5</v>
      </c>
      <c r="G104" s="10">
        <v>12236653.34</v>
      </c>
      <c r="H104" s="12">
        <f t="shared" si="30"/>
        <v>55477400.370000005</v>
      </c>
      <c r="I104" s="10">
        <v>7031156116.75</v>
      </c>
      <c r="J104" s="13">
        <f t="shared" si="31"/>
        <v>3.054956039115965E-2</v>
      </c>
      <c r="K104" s="10">
        <v>6432284483.9399996</v>
      </c>
      <c r="L104" s="13">
        <f t="shared" si="38"/>
        <v>2.7950042834977148E-2</v>
      </c>
      <c r="M104" s="13">
        <f t="shared" si="39"/>
        <v>-8.5173991711453553E-2</v>
      </c>
      <c r="N104" s="20">
        <f t="shared" si="40"/>
        <v>1.9023806192888753E-3</v>
      </c>
      <c r="O104" s="21">
        <f t="shared" si="41"/>
        <v>8.624836247295169E-3</v>
      </c>
      <c r="P104" s="24">
        <f t="shared" si="42"/>
        <v>384.28338335195832</v>
      </c>
      <c r="Q104" s="24">
        <f t="shared" si="43"/>
        <v>3.3143812539671949</v>
      </c>
      <c r="R104" s="10">
        <v>383.92</v>
      </c>
      <c r="S104" s="10">
        <v>384.53</v>
      </c>
      <c r="T104" s="17">
        <v>10608</v>
      </c>
      <c r="U104" s="10">
        <v>18346429.890000001</v>
      </c>
      <c r="V104" s="10">
        <v>16738388.289999999</v>
      </c>
    </row>
    <row r="105" spans="1:23">
      <c r="A105" s="100">
        <v>95</v>
      </c>
      <c r="B105" s="19" t="s">
        <v>312</v>
      </c>
      <c r="C105" s="19" t="s">
        <v>313</v>
      </c>
      <c r="D105" s="10">
        <v>94357413.060000002</v>
      </c>
      <c r="E105" s="10">
        <v>1380099.44</v>
      </c>
      <c r="F105" s="10">
        <v>0</v>
      </c>
      <c r="G105" s="10">
        <v>144317.51999999999</v>
      </c>
      <c r="H105" s="12">
        <f t="shared" ref="H105" si="45">(E105+F105)-G105</f>
        <v>1235781.92</v>
      </c>
      <c r="I105" s="10">
        <v>86859056.230000004</v>
      </c>
      <c r="J105" s="13">
        <f t="shared" si="31"/>
        <v>3.7739255675125626E-4</v>
      </c>
      <c r="K105" s="10">
        <v>93872948.049999997</v>
      </c>
      <c r="L105" s="13">
        <f t="shared" si="38"/>
        <v>4.0790374331141891E-4</v>
      </c>
      <c r="M105" s="13">
        <f t="shared" si="39"/>
        <v>8.0750265135594287E-2</v>
      </c>
      <c r="N105" s="20">
        <f t="shared" si="40"/>
        <v>1.5373707015479204E-3</v>
      </c>
      <c r="O105" s="21">
        <f t="shared" si="41"/>
        <v>1.3164409403034615E-2</v>
      </c>
      <c r="P105" s="24">
        <f t="shared" si="42"/>
        <v>109.78308744249448</v>
      </c>
      <c r="Q105" s="24">
        <f t="shared" si="43"/>
        <v>1.4452295086221458</v>
      </c>
      <c r="R105" s="10">
        <v>109.7831</v>
      </c>
      <c r="S105" s="10">
        <v>109.7831</v>
      </c>
      <c r="T105" s="17">
        <v>24</v>
      </c>
      <c r="U105" s="10">
        <v>835856.27</v>
      </c>
      <c r="V105" s="10">
        <v>855076.59</v>
      </c>
    </row>
    <row r="106" spans="1:23">
      <c r="A106" s="100">
        <v>96</v>
      </c>
      <c r="B106" s="19" t="s">
        <v>128</v>
      </c>
      <c r="C106" s="19" t="s">
        <v>50</v>
      </c>
      <c r="D106" s="10">
        <v>78028965395</v>
      </c>
      <c r="E106" s="10">
        <v>706194758</v>
      </c>
      <c r="F106" s="10">
        <v>0</v>
      </c>
      <c r="G106" s="10">
        <v>128540809</v>
      </c>
      <c r="H106" s="12">
        <f t="shared" si="30"/>
        <v>577653949</v>
      </c>
      <c r="I106" s="10">
        <v>85788549041</v>
      </c>
      <c r="J106" s="13">
        <f t="shared" si="31"/>
        <v>0.3727413267861559</v>
      </c>
      <c r="K106" s="10">
        <v>85274388898</v>
      </c>
      <c r="L106" s="13">
        <f t="shared" si="38"/>
        <v>0.37054064203417658</v>
      </c>
      <c r="M106" s="13">
        <f t="shared" si="39"/>
        <v>-5.9933423370323348E-3</v>
      </c>
      <c r="N106" s="20">
        <f t="shared" si="40"/>
        <v>1.5073788350890751E-3</v>
      </c>
      <c r="O106" s="21">
        <f t="shared" si="41"/>
        <v>6.7740614323364345E-3</v>
      </c>
      <c r="P106" s="24">
        <f t="shared" si="42"/>
        <v>1.9394298902939893</v>
      </c>
      <c r="Q106" s="24">
        <f t="shared" si="43"/>
        <v>1.3137817220560994E-2</v>
      </c>
      <c r="R106" s="10">
        <v>1.94</v>
      </c>
      <c r="S106" s="10">
        <v>1.94</v>
      </c>
      <c r="T106" s="17">
        <v>1375</v>
      </c>
      <c r="U106" s="10">
        <v>44528216251</v>
      </c>
      <c r="V106" s="10">
        <v>43968791718</v>
      </c>
    </row>
    <row r="107" spans="1:23">
      <c r="A107" s="100">
        <v>97</v>
      </c>
      <c r="B107" s="19" t="s">
        <v>261</v>
      </c>
      <c r="C107" s="19" t="s">
        <v>50</v>
      </c>
      <c r="D107" s="10">
        <v>27685060875</v>
      </c>
      <c r="E107" s="10">
        <v>857326491</v>
      </c>
      <c r="F107" s="10">
        <v>0</v>
      </c>
      <c r="G107" s="10">
        <v>94798837</v>
      </c>
      <c r="H107" s="12">
        <f t="shared" si="30"/>
        <v>762527654</v>
      </c>
      <c r="I107" s="10">
        <v>51518166511</v>
      </c>
      <c r="J107" s="13">
        <f t="shared" si="31"/>
        <v>0.22384047700495302</v>
      </c>
      <c r="K107" s="10">
        <v>51966030885</v>
      </c>
      <c r="L107" s="13">
        <f t="shared" si="38"/>
        <v>0.22580667767819515</v>
      </c>
      <c r="M107" s="13">
        <f t="shared" si="39"/>
        <v>8.6933290590683852E-3</v>
      </c>
      <c r="N107" s="20">
        <f t="shared" si="40"/>
        <v>1.8242462505898963E-3</v>
      </c>
      <c r="O107" s="21">
        <f t="shared" si="41"/>
        <v>1.4673578894017547E-2</v>
      </c>
      <c r="P107" s="24">
        <f t="shared" si="42"/>
        <v>123.94973114855131</v>
      </c>
      <c r="Q107" s="24">
        <f t="shared" si="43"/>
        <v>1.8187861589005319</v>
      </c>
      <c r="R107" s="10">
        <v>123.95</v>
      </c>
      <c r="S107" s="10">
        <v>123.95</v>
      </c>
      <c r="T107" s="17">
        <v>192</v>
      </c>
      <c r="U107" s="10">
        <v>421712550.39999998</v>
      </c>
      <c r="V107" s="10">
        <v>419250856</v>
      </c>
    </row>
    <row r="108" spans="1:23">
      <c r="A108" s="100">
        <v>98</v>
      </c>
      <c r="B108" s="87" t="s">
        <v>241</v>
      </c>
      <c r="C108" s="87" t="s">
        <v>242</v>
      </c>
      <c r="D108" s="10">
        <v>108732500.19</v>
      </c>
      <c r="E108" s="10">
        <v>3071495.2</v>
      </c>
      <c r="F108" s="10">
        <v>0</v>
      </c>
      <c r="G108" s="10">
        <v>446266.18</v>
      </c>
      <c r="H108" s="12">
        <v>2993315.04</v>
      </c>
      <c r="I108" s="10">
        <v>109848924.48999999</v>
      </c>
      <c r="J108" s="13">
        <f t="shared" si="31"/>
        <v>4.7728087627250037E-4</v>
      </c>
      <c r="K108" s="10">
        <f>116960221.49-2995882.85</f>
        <v>113964338.64</v>
      </c>
      <c r="L108" s="13">
        <f t="shared" si="38"/>
        <v>4.9520635391684796E-4</v>
      </c>
      <c r="M108" s="13">
        <f t="shared" si="39"/>
        <v>3.7464309906599491E-2</v>
      </c>
      <c r="N108" s="20">
        <f t="shared" si="40"/>
        <v>3.9158405631581177E-3</v>
      </c>
      <c r="O108" s="21">
        <f t="shared" si="41"/>
        <v>2.6265365777759057E-2</v>
      </c>
      <c r="P108" s="24">
        <f t="shared" si="42"/>
        <v>120.28719663944976</v>
      </c>
      <c r="Q108" s="24">
        <f t="shared" si="43"/>
        <v>3.159387218116378</v>
      </c>
      <c r="R108" s="10">
        <v>120.2872</v>
      </c>
      <c r="S108" s="10">
        <v>120.2872</v>
      </c>
      <c r="T108" s="17">
        <v>85</v>
      </c>
      <c r="U108" s="10">
        <v>922615.53</v>
      </c>
      <c r="V108" s="10">
        <v>947435.32</v>
      </c>
    </row>
    <row r="109" spans="1:23">
      <c r="A109" s="100">
        <v>99</v>
      </c>
      <c r="B109" s="87" t="s">
        <v>292</v>
      </c>
      <c r="C109" s="87" t="s">
        <v>291</v>
      </c>
      <c r="D109" s="10">
        <v>314592778.97000003</v>
      </c>
      <c r="E109" s="10">
        <v>4959005.6500000004</v>
      </c>
      <c r="F109" s="10"/>
      <c r="G109" s="10">
        <v>663034.15</v>
      </c>
      <c r="H109" s="12">
        <f t="shared" si="30"/>
        <v>4295971.5</v>
      </c>
      <c r="I109" s="10">
        <v>243375589.5</v>
      </c>
      <c r="J109" s="13">
        <f t="shared" si="31"/>
        <v>1.057438797504756E-3</v>
      </c>
      <c r="K109" s="10">
        <v>336282866.51999998</v>
      </c>
      <c r="L109" s="13">
        <f t="shared" si="38"/>
        <v>1.4612414216707049E-3</v>
      </c>
      <c r="M109" s="13">
        <f t="shared" si="39"/>
        <v>0.3817444354664829</v>
      </c>
      <c r="N109" s="20">
        <f t="shared" si="40"/>
        <v>1.9716560550983851E-3</v>
      </c>
      <c r="O109" s="21">
        <f t="shared" si="41"/>
        <v>1.2774874748917673E-2</v>
      </c>
      <c r="P109" s="24">
        <f t="shared" si="42"/>
        <v>1.3576439334402042</v>
      </c>
      <c r="Q109" s="24">
        <f t="shared" si="43"/>
        <v>1.734373120332653E-2</v>
      </c>
      <c r="R109" s="10">
        <v>1.3575999999999999</v>
      </c>
      <c r="S109" s="10">
        <v>1.3575999999999999</v>
      </c>
      <c r="T109" s="17">
        <v>492</v>
      </c>
      <c r="U109" s="10">
        <v>243375589.5</v>
      </c>
      <c r="V109" s="10">
        <v>247695922.5</v>
      </c>
    </row>
    <row r="110" spans="1:23">
      <c r="A110" s="100">
        <v>100</v>
      </c>
      <c r="B110" s="93" t="s">
        <v>129</v>
      </c>
      <c r="C110" s="93" t="s">
        <v>94</v>
      </c>
      <c r="D110" s="10">
        <v>1922839948.4400001</v>
      </c>
      <c r="E110" s="10">
        <v>19351020.739999998</v>
      </c>
      <c r="F110" s="10">
        <v>0</v>
      </c>
      <c r="G110" s="10">
        <v>3263702.24</v>
      </c>
      <c r="H110" s="12">
        <f t="shared" si="30"/>
        <v>16087318.499999998</v>
      </c>
      <c r="I110" s="10">
        <v>1944304254.8699999</v>
      </c>
      <c r="J110" s="13">
        <f t="shared" si="31"/>
        <v>8.4477771886531505E-3</v>
      </c>
      <c r="K110" s="10">
        <v>1942235521.8399999</v>
      </c>
      <c r="L110" s="13">
        <f t="shared" si="38"/>
        <v>8.4395468152226958E-3</v>
      </c>
      <c r="M110" s="13">
        <f t="shared" si="39"/>
        <v>-1.0639965554867805E-3</v>
      </c>
      <c r="N110" s="20">
        <f t="shared" si="40"/>
        <v>1.6803843835108592E-3</v>
      </c>
      <c r="O110" s="21">
        <f t="shared" si="41"/>
        <v>8.2828875896366495E-3</v>
      </c>
      <c r="P110" s="24">
        <f t="shared" si="42"/>
        <v>29.607678399702049</v>
      </c>
      <c r="Q110" s="24">
        <f t="shared" si="43"/>
        <v>0.24523707197484521</v>
      </c>
      <c r="R110" s="10">
        <v>29.609300000000001</v>
      </c>
      <c r="S110" s="10">
        <v>29.609300000000001</v>
      </c>
      <c r="T110" s="16">
        <v>1286</v>
      </c>
      <c r="U110" s="10">
        <v>66004742.289999999</v>
      </c>
      <c r="V110" s="10">
        <v>65599048.18</v>
      </c>
    </row>
    <row r="111" spans="1:23">
      <c r="A111" s="136" t="s">
        <v>51</v>
      </c>
      <c r="B111" s="136"/>
      <c r="C111" s="136"/>
      <c r="D111" s="136"/>
      <c r="E111" s="136"/>
      <c r="F111" s="136"/>
      <c r="G111" s="136"/>
      <c r="H111" s="136"/>
      <c r="I111" s="37">
        <f>SUM(I72:I110)</f>
        <v>230155721611.77997</v>
      </c>
      <c r="J111" s="35">
        <f>(I111/$I$237)</f>
        <v>3.4659779536241539E-2</v>
      </c>
      <c r="K111" s="37">
        <f>SUM(K72:K110)</f>
        <v>230135049234.72003</v>
      </c>
      <c r="L111" s="35">
        <f>(K111/$K$237)</f>
        <v>3.3631836204110491E-2</v>
      </c>
      <c r="M111" s="35">
        <f t="shared" si="33"/>
        <v>-8.981908820327349E-5</v>
      </c>
      <c r="N111" s="20"/>
      <c r="O111" s="20"/>
      <c r="P111" s="38"/>
      <c r="Q111" s="38"/>
      <c r="R111" s="37"/>
      <c r="S111" s="37"/>
      <c r="T111" s="37">
        <f>SUM(T72:T110)</f>
        <v>49333.021099999998</v>
      </c>
      <c r="U111" s="37"/>
      <c r="V111" s="10"/>
    </row>
    <row r="112" spans="1:23" ht="6.9" customHeight="1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5"/>
    </row>
    <row r="113" spans="1:24">
      <c r="A113" s="135" t="s">
        <v>130</v>
      </c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</row>
    <row r="114" spans="1:24">
      <c r="A114" s="146" t="s">
        <v>131</v>
      </c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4">
      <c r="A115" s="86">
        <v>101</v>
      </c>
      <c r="B115" s="19" t="s">
        <v>132</v>
      </c>
      <c r="C115" s="19" t="s">
        <v>22</v>
      </c>
      <c r="D115" s="17">
        <v>2923014597.5900002</v>
      </c>
      <c r="E115" s="17">
        <v>21009178.850000001</v>
      </c>
      <c r="F115" s="17">
        <v>150018237.44</v>
      </c>
      <c r="G115" s="17">
        <v>5487272.6200000001</v>
      </c>
      <c r="H115" s="12">
        <f t="shared" ref="H115:H131" si="46">(E115+F115)-G115</f>
        <v>165540143.66999999</v>
      </c>
      <c r="I115" s="29">
        <v>2965831453.9415383</v>
      </c>
      <c r="J115" s="13">
        <f t="shared" ref="J115:J131" si="47">(I115/$I$153)</f>
        <v>1.488955966008705E-3</v>
      </c>
      <c r="K115" s="29">
        <v>2893560864.6199999</v>
      </c>
      <c r="L115" s="13">
        <f t="shared" ref="L115" si="48">(K115/$K$153)</f>
        <v>1.4982065597929028E-3</v>
      </c>
      <c r="M115" s="13">
        <f t="shared" ref="M115" si="49">((K115-I115)/I115)</f>
        <v>-2.4367733110892763E-2</v>
      </c>
      <c r="N115" s="20">
        <f t="shared" ref="N115" si="50">(G115/K115)</f>
        <v>1.8963736643986655E-3</v>
      </c>
      <c r="O115" s="21">
        <f t="shared" ref="O115" si="51">H115/K115</f>
        <v>5.7209836397113328E-2</v>
      </c>
      <c r="P115" s="24">
        <f t="shared" ref="P115" si="52">K115/V115</f>
        <v>167356.33249044814</v>
      </c>
      <c r="Q115" s="24">
        <f t="shared" ref="Q115" si="53">H115/V115</f>
        <v>9574.4284017994396</v>
      </c>
      <c r="R115" s="10">
        <v>113.4736</v>
      </c>
      <c r="S115" s="10">
        <v>113.4736</v>
      </c>
      <c r="T115" s="10">
        <v>190</v>
      </c>
      <c r="U115" s="10">
        <v>17168.12</v>
      </c>
      <c r="V115" s="10">
        <v>17289.82</v>
      </c>
    </row>
    <row r="116" spans="1:24">
      <c r="A116" s="86">
        <v>102</v>
      </c>
      <c r="B116" s="87" t="s">
        <v>230</v>
      </c>
      <c r="C116" s="88" t="s">
        <v>55</v>
      </c>
      <c r="D116" s="17">
        <f>3791794.06*C239</f>
        <v>5594213128.5770378</v>
      </c>
      <c r="E116" s="17">
        <f>28310.92*FX_RATE</f>
        <v>41768439.382515997</v>
      </c>
      <c r="F116" s="17">
        <v>0</v>
      </c>
      <c r="G116" s="17">
        <f>6231.27*C239</f>
        <v>9193287.3700709995</v>
      </c>
      <c r="H116" s="12">
        <f t="shared" si="46"/>
        <v>32575152.012444995</v>
      </c>
      <c r="I116" s="29">
        <v>5513607776.150526</v>
      </c>
      <c r="J116" s="13">
        <f t="shared" si="47"/>
        <v>2.768032951306456E-3</v>
      </c>
      <c r="K116" s="29">
        <f>3779724.27*FX_RATE</f>
        <v>5576405996.4889708</v>
      </c>
      <c r="L116" s="13">
        <f t="shared" ref="L116:L131" si="54">(K116/$K$153)</f>
        <v>2.8873102847641096E-3</v>
      </c>
      <c r="M116" s="13">
        <f t="shared" ref="M116:M131" si="55">((K116-I116)/I116)</f>
        <v>1.1389678571276424E-2</v>
      </c>
      <c r="N116" s="20">
        <f t="shared" ref="N116:N131" si="56">(G116/K116)</f>
        <v>1.6486043835149912E-3</v>
      </c>
      <c r="O116" s="21">
        <f t="shared" ref="O116:O131" si="57">H116/K116</f>
        <v>5.841603361189095E-3</v>
      </c>
      <c r="P116" s="24">
        <f t="shared" ref="P116:P131" si="58">K116/V116</f>
        <v>154243.73095747156</v>
      </c>
      <c r="Q116" s="24">
        <f t="shared" ref="Q116:Q131" si="59">H116/V116</f>
        <v>901.03069720351243</v>
      </c>
      <c r="R116" s="10">
        <f>100*C239</f>
        <v>147534.72999999998</v>
      </c>
      <c r="S116" s="10">
        <f>100*C239</f>
        <v>147534.72999999998</v>
      </c>
      <c r="T116" s="10">
        <v>88</v>
      </c>
      <c r="U116" s="10">
        <v>34112.589999999997</v>
      </c>
      <c r="V116" s="10">
        <v>36153.21</v>
      </c>
    </row>
    <row r="117" spans="1:24" ht="12.9" customHeight="1">
      <c r="A117" s="86">
        <v>103</v>
      </c>
      <c r="B117" s="19" t="s">
        <v>133</v>
      </c>
      <c r="C117" s="93" t="s">
        <v>26</v>
      </c>
      <c r="D117" s="17">
        <f>8301269.85*FX_RATE</f>
        <v>12247256059.768904</v>
      </c>
      <c r="E117" s="17">
        <f>104440.9*FX_RATE</f>
        <v>154086599.82456997</v>
      </c>
      <c r="F117" s="17">
        <f>9890.4*C239</f>
        <v>14591774.935919998</v>
      </c>
      <c r="G117" s="17">
        <f>17896.42*FX_RATE</f>
        <v>26403434.926665995</v>
      </c>
      <c r="H117" s="12">
        <f t="shared" si="46"/>
        <v>142274939.83382398</v>
      </c>
      <c r="I117" s="29">
        <v>16886270142.978601</v>
      </c>
      <c r="J117" s="13">
        <f t="shared" si="47"/>
        <v>8.4775258012751067E-3</v>
      </c>
      <c r="K117" s="29">
        <f>11480961*FX_RATE</f>
        <v>16938404812.755299</v>
      </c>
      <c r="L117" s="13">
        <f t="shared" si="54"/>
        <v>8.7702420616717729E-3</v>
      </c>
      <c r="M117" s="13">
        <f t="shared" si="55"/>
        <v>3.0873999607530277E-3</v>
      </c>
      <c r="N117" s="20">
        <f t="shared" si="56"/>
        <v>1.5587911151340029E-3</v>
      </c>
      <c r="O117" s="21">
        <f t="shared" si="57"/>
        <v>8.399547738207629E-3</v>
      </c>
      <c r="P117" s="24">
        <f t="shared" si="58"/>
        <v>1777.2330547328427</v>
      </c>
      <c r="Q117" s="24">
        <f t="shared" si="59"/>
        <v>14.927953885149083</v>
      </c>
      <c r="R117" s="10">
        <f>1.2046*FX_RATE</f>
        <v>1777.2033575799996</v>
      </c>
      <c r="S117" s="10">
        <f>1.2046*FX_RATE</f>
        <v>1777.2033575799996</v>
      </c>
      <c r="T117" s="10">
        <v>320</v>
      </c>
      <c r="U117" s="10">
        <v>9214573</v>
      </c>
      <c r="V117" s="10">
        <v>9530773</v>
      </c>
    </row>
    <row r="118" spans="1:24" ht="12.9" customHeight="1">
      <c r="A118" s="86">
        <v>104</v>
      </c>
      <c r="B118" s="19" t="s">
        <v>270</v>
      </c>
      <c r="C118" s="93" t="s">
        <v>26</v>
      </c>
      <c r="D118" s="17">
        <f>1849663.66*FX_RATE</f>
        <v>2728896286.6891179</v>
      </c>
      <c r="E118" s="17">
        <f>11272.6*FX_RATE</f>
        <v>16630999.97398</v>
      </c>
      <c r="F118" s="17"/>
      <c r="G118" s="17">
        <f>4122.85*FX_RATE</f>
        <v>6082635.6158050001</v>
      </c>
      <c r="H118" s="12">
        <f t="shared" si="46"/>
        <v>10548364.358175</v>
      </c>
      <c r="I118" s="29">
        <v>3416464678.7882004</v>
      </c>
      <c r="J118" s="13">
        <f t="shared" si="47"/>
        <v>1.7151903421144233E-3</v>
      </c>
      <c r="K118" s="29">
        <f>2867881*FX_RATE</f>
        <v>4231120490.0712996</v>
      </c>
      <c r="L118" s="13">
        <f t="shared" si="54"/>
        <v>2.1907582975039552E-3</v>
      </c>
      <c r="M118" s="13">
        <f t="shared" si="55"/>
        <v>0.23844994398480149</v>
      </c>
      <c r="N118" s="20">
        <f t="shared" si="56"/>
        <v>1.4375945166483549E-3</v>
      </c>
      <c r="O118" s="21">
        <f t="shared" si="57"/>
        <v>2.4930427726952411E-3</v>
      </c>
      <c r="P118" s="24">
        <f t="shared" si="58"/>
        <v>1531.1611886015153</v>
      </c>
      <c r="Q118" s="24">
        <f t="shared" si="59"/>
        <v>3.8172503350744624</v>
      </c>
      <c r="R118" s="10">
        <f>1.0378*FX_RATE</f>
        <v>1531.11542794</v>
      </c>
      <c r="S118" s="10">
        <f>1.0378*FX_RATE</f>
        <v>1531.11542794</v>
      </c>
      <c r="T118" s="10">
        <v>90</v>
      </c>
      <c r="U118" s="10">
        <v>2155622</v>
      </c>
      <c r="V118" s="10">
        <v>2763341</v>
      </c>
    </row>
    <row r="119" spans="1:24" ht="12.9" customHeight="1">
      <c r="A119" s="86">
        <v>105</v>
      </c>
      <c r="B119" s="88" t="s">
        <v>235</v>
      </c>
      <c r="C119" s="88" t="s">
        <v>103</v>
      </c>
      <c r="D119" s="17">
        <f>20919240.25*FX_RATE</f>
        <v>30863144620.888824</v>
      </c>
      <c r="E119" s="17">
        <f>166003.59*FX_RATE</f>
        <v>244912948.29680699</v>
      </c>
      <c r="F119" s="17">
        <v>0</v>
      </c>
      <c r="G119" s="17">
        <f>21732.12*FX_RATE</f>
        <v>32062424.565275997</v>
      </c>
      <c r="H119" s="12">
        <f t="shared" si="46"/>
        <v>212850523.73153099</v>
      </c>
      <c r="I119" s="29">
        <v>26758532621.342358</v>
      </c>
      <c r="J119" s="13">
        <f t="shared" si="47"/>
        <v>1.3433762979091938E-2</v>
      </c>
      <c r="K119" s="29">
        <f>21352571.15*FX_RATE</f>
        <v>31502458194.210392</v>
      </c>
      <c r="L119" s="13">
        <f t="shared" si="54"/>
        <v>1.6311109986748427E-2</v>
      </c>
      <c r="M119" s="13">
        <f t="shared" si="55"/>
        <v>0.17728646185494953</v>
      </c>
      <c r="N119" s="20">
        <f t="shared" si="56"/>
        <v>1.0177753230434733E-3</v>
      </c>
      <c r="O119" s="21">
        <f t="shared" si="57"/>
        <v>6.7566322100746168E-3</v>
      </c>
      <c r="P119" s="24">
        <f t="shared" si="58"/>
        <v>1668.2328090888545</v>
      </c>
      <c r="Q119" s="24">
        <f t="shared" si="59"/>
        <v>11.271635531793013</v>
      </c>
      <c r="R119" s="10">
        <f>1.1201*FX_RATE</f>
        <v>1652.5365107300001</v>
      </c>
      <c r="S119" s="10">
        <f>1.1201*FX_RATE</f>
        <v>1652.5365107300001</v>
      </c>
      <c r="T119" s="10">
        <v>550</v>
      </c>
      <c r="U119" s="10">
        <v>15707474.960000001</v>
      </c>
      <c r="V119" s="10">
        <v>18883730.149999999</v>
      </c>
    </row>
    <row r="120" spans="1:24" ht="12.9" customHeight="1">
      <c r="A120" s="86">
        <v>106</v>
      </c>
      <c r="B120" s="87" t="s">
        <v>236</v>
      </c>
      <c r="C120" s="88" t="s">
        <v>214</v>
      </c>
      <c r="D120" s="17">
        <f>897647.12*FX_RATE</f>
        <v>1324341254.8447759</v>
      </c>
      <c r="E120" s="17">
        <f>14889.57*FX_RATE</f>
        <v>21967286.897660997</v>
      </c>
      <c r="F120" s="17">
        <v>0</v>
      </c>
      <c r="G120" s="17">
        <f>1437.58*FX_RATE</f>
        <v>2120929.7715339996</v>
      </c>
      <c r="H120" s="12">
        <f t="shared" si="46"/>
        <v>19846357.126126997</v>
      </c>
      <c r="I120" s="29">
        <v>1066025109.400121</v>
      </c>
      <c r="J120" s="13">
        <f t="shared" si="47"/>
        <v>5.3518363103437509E-4</v>
      </c>
      <c r="K120" s="29">
        <f>888067.09*FX_RATE</f>
        <v>1310207383.450357</v>
      </c>
      <c r="L120" s="13">
        <f t="shared" si="54"/>
        <v>6.7838949599292712E-4</v>
      </c>
      <c r="M120" s="13">
        <f t="shared" si="55"/>
        <v>0.22905865152429991</v>
      </c>
      <c r="N120" s="20">
        <f t="shared" si="56"/>
        <v>1.6187740950968014E-3</v>
      </c>
      <c r="O120" s="21">
        <f t="shared" si="57"/>
        <v>1.5147492967000948E-2</v>
      </c>
      <c r="P120" s="24">
        <f t="shared" si="58"/>
        <v>1628.3727797440081</v>
      </c>
      <c r="Q120" s="24">
        <f t="shared" si="59"/>
        <v>24.66576522882815</v>
      </c>
      <c r="R120" s="10">
        <f>1.1037*FX_RATE</f>
        <v>1628.3408150099997</v>
      </c>
      <c r="S120" s="10">
        <f>1.1103*C239</f>
        <v>1638.0781071900001</v>
      </c>
      <c r="T120" s="10">
        <v>57</v>
      </c>
      <c r="U120" s="10">
        <v>633161.77</v>
      </c>
      <c r="V120" s="10">
        <v>804611.45</v>
      </c>
    </row>
    <row r="121" spans="1:24" ht="12.9" customHeight="1">
      <c r="A121" s="86">
        <v>107</v>
      </c>
      <c r="B121" s="87" t="s">
        <v>237</v>
      </c>
      <c r="C121" s="88" t="s">
        <v>48</v>
      </c>
      <c r="D121" s="17">
        <f>805839.23*FX_RATE</f>
        <v>1188892732.2145789</v>
      </c>
      <c r="E121" s="17">
        <f>3444.92*FX_RATE</f>
        <v>5082453.4207159998</v>
      </c>
      <c r="F121" s="17">
        <v>0</v>
      </c>
      <c r="G121" s="17">
        <f>1595.28*FX_RATE</f>
        <v>2353592.0407439996</v>
      </c>
      <c r="H121" s="12">
        <f t="shared" si="46"/>
        <v>2728861.3799720001</v>
      </c>
      <c r="I121" s="29">
        <v>690638852.33463907</v>
      </c>
      <c r="J121" s="13">
        <f t="shared" si="47"/>
        <v>3.4672598747121389E-4</v>
      </c>
      <c r="K121" s="29">
        <f>776362.3*FX_RATE</f>
        <v>1145404023.12679</v>
      </c>
      <c r="L121" s="13">
        <f t="shared" si="54"/>
        <v>5.9305883005405559E-4</v>
      </c>
      <c r="M121" s="13">
        <f t="shared" si="55"/>
        <v>0.65847029783346311</v>
      </c>
      <c r="N121" s="20">
        <f t="shared" si="56"/>
        <v>2.0548138414242935E-3</v>
      </c>
      <c r="O121" s="21">
        <f t="shared" si="57"/>
        <v>2.3824443819592993E-3</v>
      </c>
      <c r="P121" s="24">
        <f t="shared" si="58"/>
        <v>2073.5847039844043</v>
      </c>
      <c r="Q121" s="24">
        <f t="shared" si="59"/>
        <v>4.9402002285243807</v>
      </c>
      <c r="R121" s="10">
        <f>1.4055*FX_RATE</f>
        <v>2073.6006301499997</v>
      </c>
      <c r="S121" s="10">
        <f>1.4055*FX_RATE</f>
        <v>2073.6006301499997</v>
      </c>
      <c r="T121" s="10">
        <v>64</v>
      </c>
      <c r="U121" s="10">
        <v>315502.58</v>
      </c>
      <c r="V121" s="10">
        <v>552378.69999999995</v>
      </c>
    </row>
    <row r="122" spans="1:24" ht="12.9" customHeight="1">
      <c r="A122" s="86">
        <v>108</v>
      </c>
      <c r="B122" s="87" t="s">
        <v>238</v>
      </c>
      <c r="C122" s="88" t="s">
        <v>168</v>
      </c>
      <c r="D122" s="17">
        <f>604657.34*C239</f>
        <v>892079573.99418187</v>
      </c>
      <c r="E122" s="17">
        <f>7689.56*C239</f>
        <v>11344771.584187999</v>
      </c>
      <c r="F122" s="17">
        <v>0</v>
      </c>
      <c r="G122" s="17">
        <f>2329.63*C239</f>
        <v>3437013.3304989999</v>
      </c>
      <c r="H122" s="12">
        <f t="shared" si="46"/>
        <v>7907758.2536889995</v>
      </c>
      <c r="I122" s="29">
        <v>1940048139.7540751</v>
      </c>
      <c r="J122" s="13">
        <f t="shared" si="47"/>
        <v>9.739751893830512E-4</v>
      </c>
      <c r="K122" s="29">
        <f>1505310.06*C239</f>
        <v>2220855132.6838379</v>
      </c>
      <c r="L122" s="13">
        <f t="shared" si="54"/>
        <v>1.1498979575028309E-3</v>
      </c>
      <c r="M122" s="13">
        <f t="shared" si="55"/>
        <v>0.1447422809649242</v>
      </c>
      <c r="N122" s="20">
        <f t="shared" si="56"/>
        <v>1.5476080721868026E-3</v>
      </c>
      <c r="O122" s="21">
        <f t="shared" si="57"/>
        <v>3.5606817109825198E-3</v>
      </c>
      <c r="P122" s="24">
        <f t="shared" si="58"/>
        <v>158779.94800056037</v>
      </c>
      <c r="Q122" s="24">
        <f t="shared" si="59"/>
        <v>565.36485691635085</v>
      </c>
      <c r="R122" s="10">
        <f>107.69*FX_RATE</f>
        <v>158880.15073699999</v>
      </c>
      <c r="S122" s="10">
        <f>106.06*FX_RATE</f>
        <v>156475.334638</v>
      </c>
      <c r="T122" s="10">
        <v>102</v>
      </c>
      <c r="U122" s="10">
        <v>11792</v>
      </c>
      <c r="V122" s="10">
        <v>13987</v>
      </c>
    </row>
    <row r="123" spans="1:24" ht="15" customHeight="1">
      <c r="A123" s="86">
        <v>109</v>
      </c>
      <c r="B123" s="19" t="s">
        <v>134</v>
      </c>
      <c r="C123" s="93" t="s">
        <v>69</v>
      </c>
      <c r="D123" s="17">
        <f>3282745.29*FX_RATE</f>
        <v>4843189400.1892166</v>
      </c>
      <c r="E123" s="17">
        <f>30155.84*FX_RATE</f>
        <v>44490337.123232</v>
      </c>
      <c r="F123" s="17">
        <v>0</v>
      </c>
      <c r="G123" s="17">
        <f>5934.97*FX_RATE</f>
        <v>8756141.9650810007</v>
      </c>
      <c r="H123" s="12">
        <f t="shared" si="46"/>
        <v>35734195.158151001</v>
      </c>
      <c r="I123" s="29">
        <v>4922143246.8170948</v>
      </c>
      <c r="J123" s="13">
        <f t="shared" si="47"/>
        <v>2.4710961046548519E-3</v>
      </c>
      <c r="K123" s="29">
        <f>3227743.48*FX_RATE</f>
        <v>4762042628.3106041</v>
      </c>
      <c r="L123" s="13">
        <f t="shared" si="54"/>
        <v>2.4656552384929122E-3</v>
      </c>
      <c r="M123" s="13">
        <f t="shared" si="55"/>
        <v>-3.2526606902393548E-2</v>
      </c>
      <c r="N123" s="20">
        <f t="shared" si="56"/>
        <v>1.838736577666327E-3</v>
      </c>
      <c r="O123" s="21">
        <f t="shared" si="57"/>
        <v>7.5039637288648476E-3</v>
      </c>
      <c r="P123" s="24">
        <f t="shared" si="58"/>
        <v>167429.77306157839</v>
      </c>
      <c r="Q123" s="24">
        <f t="shared" si="59"/>
        <v>1256.3869441861571</v>
      </c>
      <c r="R123" s="10">
        <f>113.85*FX_RATE</f>
        <v>167968.29010499999</v>
      </c>
      <c r="S123" s="10">
        <f>113.85*FX_RATE</f>
        <v>167968.29010499999</v>
      </c>
      <c r="T123" s="10">
        <v>55</v>
      </c>
      <c r="U123" s="10">
        <v>28708.639999999999</v>
      </c>
      <c r="V123" s="10">
        <v>28442.03</v>
      </c>
    </row>
    <row r="124" spans="1:24" ht="15" customHeight="1">
      <c r="A124" s="86">
        <v>110</v>
      </c>
      <c r="B124" s="19" t="s">
        <v>324</v>
      </c>
      <c r="C124" s="19" t="s">
        <v>135</v>
      </c>
      <c r="D124" s="17">
        <v>57663349411.07</v>
      </c>
      <c r="E124" s="17">
        <v>428366237.37</v>
      </c>
      <c r="F124" s="17">
        <v>0</v>
      </c>
      <c r="G124" s="17">
        <v>89557992.700000003</v>
      </c>
      <c r="H124" s="12">
        <f t="shared" si="46"/>
        <v>338808244.67000002</v>
      </c>
      <c r="I124" s="29">
        <v>57471773074.040001</v>
      </c>
      <c r="J124" s="13">
        <f t="shared" si="47"/>
        <v>2.8852934067431703E-2</v>
      </c>
      <c r="K124" s="29">
        <v>57247877352.779999</v>
      </c>
      <c r="L124" s="13">
        <f t="shared" si="54"/>
        <v>2.9641382848678486E-2</v>
      </c>
      <c r="M124" s="13">
        <f t="shared" si="55"/>
        <v>-3.8957510667290657E-3</v>
      </c>
      <c r="N124" s="20">
        <f t="shared" si="56"/>
        <v>1.564389752795804E-3</v>
      </c>
      <c r="O124" s="21">
        <f t="shared" si="57"/>
        <v>5.9182673722931881E-3</v>
      </c>
      <c r="P124" s="24">
        <f t="shared" si="58"/>
        <v>198508.4487904631</v>
      </c>
      <c r="Q124" s="24">
        <f t="shared" si="59"/>
        <v>1174.8260756011312</v>
      </c>
      <c r="R124" s="10">
        <f>134.18*C239</f>
        <v>197962.100714</v>
      </c>
      <c r="S124" s="10">
        <f>134.18*C239</f>
        <v>197962.100714</v>
      </c>
      <c r="T124" s="10">
        <v>2511</v>
      </c>
      <c r="U124" s="10">
        <v>281715.12</v>
      </c>
      <c r="V124" s="10">
        <v>288390.13</v>
      </c>
    </row>
    <row r="125" spans="1:24">
      <c r="A125" s="86">
        <v>111</v>
      </c>
      <c r="B125" s="19" t="s">
        <v>136</v>
      </c>
      <c r="C125" s="19" t="s">
        <v>135</v>
      </c>
      <c r="D125" s="17">
        <v>167458059828.82999</v>
      </c>
      <c r="E125" s="17">
        <v>1339034888.9000001</v>
      </c>
      <c r="F125" s="17">
        <v>0</v>
      </c>
      <c r="G125" s="17">
        <v>259407904.22</v>
      </c>
      <c r="H125" s="12">
        <f t="shared" si="46"/>
        <v>1079626984.6800001</v>
      </c>
      <c r="I125" s="29">
        <v>166352628112.14999</v>
      </c>
      <c r="J125" s="13">
        <f t="shared" si="47"/>
        <v>8.3515109316018327E-2</v>
      </c>
      <c r="K125" s="29">
        <v>166668235416.79001</v>
      </c>
      <c r="L125" s="13">
        <f t="shared" si="54"/>
        <v>8.6296247182391719E-2</v>
      </c>
      <c r="M125" s="13">
        <f t="shared" si="55"/>
        <v>1.8972186266107056E-3</v>
      </c>
      <c r="N125" s="20">
        <f t="shared" si="56"/>
        <v>1.5564327753953497E-3</v>
      </c>
      <c r="O125" s="21">
        <f t="shared" si="57"/>
        <v>6.4777009367151398E-3</v>
      </c>
      <c r="P125" s="24">
        <f t="shared" si="58"/>
        <v>187139.36361813711</v>
      </c>
      <c r="Q125" s="24">
        <f t="shared" si="59"/>
        <v>1212.232831005482</v>
      </c>
      <c r="R125" s="10">
        <f>126.49*C239</f>
        <v>186616.67997699999</v>
      </c>
      <c r="S125" s="10">
        <f>126.49*C239</f>
        <v>186616.67997699999</v>
      </c>
      <c r="T125" s="10">
        <v>972</v>
      </c>
      <c r="U125" s="10">
        <v>864455.59</v>
      </c>
      <c r="V125" s="10">
        <v>890610.25</v>
      </c>
    </row>
    <row r="126" spans="1:24">
      <c r="A126" s="86">
        <v>112</v>
      </c>
      <c r="B126" s="87" t="s">
        <v>272</v>
      </c>
      <c r="C126" s="88" t="s">
        <v>273</v>
      </c>
      <c r="D126" s="17">
        <f>1586538.92*FX_RATE</f>
        <v>2340695911.9669156</v>
      </c>
      <c r="E126" s="17">
        <f>4762.39*FX_RATE</f>
        <v>7026179.2280470002</v>
      </c>
      <c r="F126" s="17">
        <v>0</v>
      </c>
      <c r="G126" s="17">
        <f>1625.93*FX_RATE</f>
        <v>2398811.4354889998</v>
      </c>
      <c r="H126" s="12">
        <f>(E126+F126)-G126</f>
        <v>4627367.7925580004</v>
      </c>
      <c r="I126" s="46">
        <v>1554207261.2951691</v>
      </c>
      <c r="J126" s="13">
        <f t="shared" si="47"/>
        <v>7.8026894314713415E-4</v>
      </c>
      <c r="K126" s="29">
        <f>1579649.96*FX_RATE</f>
        <v>2330532303.431108</v>
      </c>
      <c r="L126" s="13">
        <f t="shared" si="54"/>
        <v>1.2066857924097237E-3</v>
      </c>
      <c r="M126" s="13">
        <f t="shared" si="55"/>
        <v>0.49949904460554584</v>
      </c>
      <c r="N126" s="20">
        <f t="shared" si="56"/>
        <v>1.0292976552856051E-3</v>
      </c>
      <c r="O126" s="21">
        <f t="shared" si="57"/>
        <v>1.9855411511547788E-3</v>
      </c>
      <c r="P126" s="24">
        <f t="shared" si="58"/>
        <v>154704.0055488951</v>
      </c>
      <c r="Q126" s="24">
        <f t="shared" si="59"/>
        <v>307.17116926580843</v>
      </c>
      <c r="R126" s="10">
        <f>1*FX_RATE</f>
        <v>1475.3472999999999</v>
      </c>
      <c r="S126" s="10">
        <f>1*FX_RATE</f>
        <v>1475.3472999999999</v>
      </c>
      <c r="T126" s="10">
        <v>16</v>
      </c>
      <c r="U126" s="10">
        <v>9740.67</v>
      </c>
      <c r="V126" s="10">
        <v>15064.46</v>
      </c>
    </row>
    <row r="127" spans="1:24" s="3" customFormat="1">
      <c r="A127" s="86">
        <v>113</v>
      </c>
      <c r="B127" s="87" t="s">
        <v>137</v>
      </c>
      <c r="C127" s="88" t="s">
        <v>138</v>
      </c>
      <c r="D127" s="17">
        <f>166760.86*FX_RATE</f>
        <v>246030184.54667798</v>
      </c>
      <c r="E127" s="17">
        <v>0</v>
      </c>
      <c r="F127" s="17">
        <v>0</v>
      </c>
      <c r="G127" s="17">
        <f>3962.53*FX_RATE</f>
        <v>5846107.9366689995</v>
      </c>
      <c r="H127" s="12">
        <f t="shared" si="46"/>
        <v>-5846107.9366689995</v>
      </c>
      <c r="I127" s="29">
        <v>224759457.77959698</v>
      </c>
      <c r="J127" s="13">
        <f t="shared" si="47"/>
        <v>1.1283747602482916E-4</v>
      </c>
      <c r="K127" s="29">
        <f>148194.11*FX_RATE</f>
        <v>218637780.06440297</v>
      </c>
      <c r="L127" s="13">
        <f t="shared" si="54"/>
        <v>1.1320465393219378E-4</v>
      </c>
      <c r="M127" s="13">
        <f t="shared" si="55"/>
        <v>-2.7236574494662824E-2</v>
      </c>
      <c r="N127" s="20">
        <f t="shared" si="56"/>
        <v>2.6738781993427406E-2</v>
      </c>
      <c r="O127" s="21">
        <f t="shared" si="57"/>
        <v>-2.6738781993427406E-2</v>
      </c>
      <c r="P127" s="24">
        <f t="shared" si="58"/>
        <v>194689.07673520537</v>
      </c>
      <c r="Q127" s="24">
        <f t="shared" si="59"/>
        <v>-5205.7487793243154</v>
      </c>
      <c r="R127" s="10">
        <f>131.9613*FX_RATE</f>
        <v>194688.74765948998</v>
      </c>
      <c r="S127" s="10">
        <f>131.9613*FX_RATE</f>
        <v>194688.74765948998</v>
      </c>
      <c r="T127" s="10">
        <v>9</v>
      </c>
      <c r="U127" s="10">
        <v>1123.01</v>
      </c>
      <c r="V127" s="10">
        <v>1123.01</v>
      </c>
      <c r="W127" s="6"/>
      <c r="X127" s="6"/>
    </row>
    <row r="128" spans="1:24">
      <c r="A128" s="86">
        <v>114</v>
      </c>
      <c r="B128" s="19" t="s">
        <v>139</v>
      </c>
      <c r="C128" s="19" t="s">
        <v>140</v>
      </c>
      <c r="D128" s="17">
        <f>10526773.99*C239</f>
        <v>15530647583.856726</v>
      </c>
      <c r="E128" s="17">
        <f>64180.49*C239</f>
        <v>94688512.634176984</v>
      </c>
      <c r="F128" s="17">
        <v>0</v>
      </c>
      <c r="G128" s="17">
        <f>16881.35*C239</f>
        <v>24905854.142854996</v>
      </c>
      <c r="H128" s="12">
        <f t="shared" si="46"/>
        <v>69782658.491321981</v>
      </c>
      <c r="I128" s="29">
        <v>16348859492.715803</v>
      </c>
      <c r="J128" s="13">
        <f t="shared" si="47"/>
        <v>8.2077259807755362E-3</v>
      </c>
      <c r="K128" s="29">
        <f>10450411.99*C239</f>
        <v>15417987113.334126</v>
      </c>
      <c r="L128" s="13">
        <f t="shared" si="54"/>
        <v>7.9830114218223548E-3</v>
      </c>
      <c r="M128" s="13">
        <f t="shared" si="55"/>
        <v>-5.6938062241982425E-2</v>
      </c>
      <c r="N128" s="20">
        <f t="shared" si="56"/>
        <v>1.6153765053620627E-3</v>
      </c>
      <c r="O128" s="21">
        <f t="shared" si="57"/>
        <v>4.5260550536438699E-3</v>
      </c>
      <c r="P128" s="24">
        <f t="shared" si="58"/>
        <v>2127.1731508160024</v>
      </c>
      <c r="Q128" s="24">
        <f t="shared" si="59"/>
        <v>9.6277027892263209</v>
      </c>
      <c r="R128" s="10">
        <f>1.44*FX_RATE</f>
        <v>2124.5001119999997</v>
      </c>
      <c r="S128" s="10">
        <f>1.44*FX_RATE</f>
        <v>2124.5001119999997</v>
      </c>
      <c r="T128" s="10">
        <v>110</v>
      </c>
      <c r="U128" s="10">
        <v>7452284</v>
      </c>
      <c r="V128" s="10">
        <v>7248111</v>
      </c>
    </row>
    <row r="129" spans="1:22">
      <c r="A129" s="86">
        <v>115</v>
      </c>
      <c r="B129" s="19" t="s">
        <v>141</v>
      </c>
      <c r="C129" s="19" t="s">
        <v>50</v>
      </c>
      <c r="D129" s="17">
        <f>109628511*FX_RATE</f>
        <v>161740127706.8703</v>
      </c>
      <c r="E129" s="17">
        <f>744190*FX_RATE</f>
        <v>1097938707.187</v>
      </c>
      <c r="F129" s="17">
        <v>0</v>
      </c>
      <c r="G129" s="17">
        <f>164142*FX_RATE</f>
        <v>242166456.51659998</v>
      </c>
      <c r="H129" s="12">
        <f t="shared" si="46"/>
        <v>855772250.67040002</v>
      </c>
      <c r="I129" s="29">
        <v>180768770554.5358</v>
      </c>
      <c r="J129" s="13">
        <f t="shared" si="47"/>
        <v>9.0752540582685559E-2</v>
      </c>
      <c r="K129" s="29">
        <f>116761925*FX_RATE</f>
        <v>172264390791.55249</v>
      </c>
      <c r="L129" s="13">
        <f t="shared" si="54"/>
        <v>8.9193783154281683E-2</v>
      </c>
      <c r="M129" s="13">
        <f t="shared" si="55"/>
        <v>-4.7045624843798095E-2</v>
      </c>
      <c r="N129" s="20">
        <f t="shared" si="56"/>
        <v>1.4057836062569197E-3</v>
      </c>
      <c r="O129" s="21">
        <f t="shared" si="57"/>
        <v>4.9677838045236065E-3</v>
      </c>
      <c r="P129" s="24">
        <f t="shared" si="58"/>
        <v>181207.91657448187</v>
      </c>
      <c r="Q129" s="24">
        <f t="shared" si="59"/>
        <v>900.20175321017598</v>
      </c>
      <c r="R129" s="10">
        <f>122.8*FX_RATE</f>
        <v>181172.64843999999</v>
      </c>
      <c r="S129" s="10">
        <f>122.8*FX_RATE</f>
        <v>181172.64843999999</v>
      </c>
      <c r="T129" s="10">
        <v>962</v>
      </c>
      <c r="U129" s="10">
        <v>971744</v>
      </c>
      <c r="V129" s="10">
        <v>950644.95</v>
      </c>
    </row>
    <row r="130" spans="1:22" ht="13.95" customHeight="1">
      <c r="A130" s="86">
        <v>116</v>
      </c>
      <c r="B130" s="19" t="s">
        <v>142</v>
      </c>
      <c r="C130" s="19" t="s">
        <v>143</v>
      </c>
      <c r="D130" s="17">
        <v>31775107035.419998</v>
      </c>
      <c r="E130" s="17">
        <v>137700132.44</v>
      </c>
      <c r="F130" s="17">
        <v>10620849.42</v>
      </c>
      <c r="G130" s="17">
        <v>65197830.409999996</v>
      </c>
      <c r="H130" s="12">
        <f t="shared" si="46"/>
        <v>83123151.449999988</v>
      </c>
      <c r="I130" s="29">
        <v>33835442215.123665</v>
      </c>
      <c r="J130" s="13">
        <f t="shared" si="47"/>
        <v>1.6986630673768637E-2</v>
      </c>
      <c r="K130" s="29">
        <v>34448298314.540001</v>
      </c>
      <c r="L130" s="13">
        <f t="shared" si="54"/>
        <v>1.783638531319591E-2</v>
      </c>
      <c r="M130" s="13">
        <f t="shared" si="55"/>
        <v>1.8112844381339383E-2</v>
      </c>
      <c r="N130" s="20">
        <f t="shared" si="56"/>
        <v>1.8926284780366402E-3</v>
      </c>
      <c r="O130" s="21">
        <f t="shared" si="57"/>
        <v>2.4129828037083392E-3</v>
      </c>
      <c r="P130" s="24">
        <f t="shared" si="58"/>
        <v>155589.52288584269</v>
      </c>
      <c r="Q130" s="24">
        <f t="shared" si="59"/>
        <v>375.43484316072352</v>
      </c>
      <c r="R130" s="10">
        <v>155589.51999999999</v>
      </c>
      <c r="S130" s="10">
        <v>155589.51999999999</v>
      </c>
      <c r="T130" s="10">
        <v>786</v>
      </c>
      <c r="U130" s="10">
        <v>210910</v>
      </c>
      <c r="V130" s="10">
        <v>221405</v>
      </c>
    </row>
    <row r="131" spans="1:22">
      <c r="A131" s="86">
        <v>117</v>
      </c>
      <c r="B131" s="19" t="s">
        <v>144</v>
      </c>
      <c r="C131" s="19" t="s">
        <v>42</v>
      </c>
      <c r="D131" s="17">
        <f>1712960.76*FX_RATE</f>
        <v>2527212032.2719479</v>
      </c>
      <c r="E131" s="17">
        <f>32843.99*FX_RATE</f>
        <v>48456291.967726991</v>
      </c>
      <c r="F131" s="17">
        <v>0</v>
      </c>
      <c r="G131" s="17">
        <f>431.56*FX_RATE</f>
        <v>636700.88078799995</v>
      </c>
      <c r="H131" s="12">
        <f t="shared" si="46"/>
        <v>47819591.086938992</v>
      </c>
      <c r="I131" s="29">
        <v>2620208079.9903321</v>
      </c>
      <c r="J131" s="13">
        <f t="shared" si="47"/>
        <v>1.3154403793583617E-3</v>
      </c>
      <c r="K131" s="29">
        <f>1712529.2*FX_RATE</f>
        <v>2526575331.3911595</v>
      </c>
      <c r="L131" s="13">
        <f t="shared" si="54"/>
        <v>1.3081915025825025E-3</v>
      </c>
      <c r="M131" s="13">
        <f t="shared" si="55"/>
        <v>-3.5734852248649682E-2</v>
      </c>
      <c r="N131" s="20">
        <f t="shared" si="56"/>
        <v>2.5200154251384446E-4</v>
      </c>
      <c r="O131" s="21">
        <f t="shared" si="57"/>
        <v>1.8926643703359919E-2</v>
      </c>
      <c r="P131" s="24">
        <f t="shared" si="58"/>
        <v>203502.68145077094</v>
      </c>
      <c r="Q131" s="24">
        <f t="shared" si="59"/>
        <v>3851.6227444970932</v>
      </c>
      <c r="R131" s="10">
        <f>139.41*FX_RATE</f>
        <v>205678.16709299997</v>
      </c>
      <c r="S131" s="10">
        <f>144.74*FX_RATE</f>
        <v>213541.76820200001</v>
      </c>
      <c r="T131" s="10">
        <v>50</v>
      </c>
      <c r="U131" s="10">
        <v>12415.44</v>
      </c>
      <c r="V131" s="10">
        <v>12415.44</v>
      </c>
    </row>
    <row r="132" spans="1:22" ht="5.4" customHeight="1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</row>
    <row r="133" spans="1:22">
      <c r="A133" s="146" t="s">
        <v>145</v>
      </c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>
      <c r="A134" s="97">
        <v>118</v>
      </c>
      <c r="B134" s="25" t="s">
        <v>146</v>
      </c>
      <c r="C134" s="10" t="s">
        <v>101</v>
      </c>
      <c r="D134" s="44">
        <f>872870.9*FX_RATE</f>
        <v>1287787725.56357</v>
      </c>
      <c r="E134" s="10">
        <f>6766.2*FX_RATE</f>
        <v>9982494.9012599997</v>
      </c>
      <c r="F134" s="10">
        <v>0</v>
      </c>
      <c r="G134" s="10">
        <f>1792.1*FX_RATE</f>
        <v>2643969.8963299999</v>
      </c>
      <c r="H134" s="12">
        <f>(E134+F134)-G134</f>
        <v>7338525.0049299998</v>
      </c>
      <c r="I134" s="10">
        <v>1608476632.3070121</v>
      </c>
      <c r="J134" s="13">
        <f t="shared" ref="J134:J152" si="60">(I134/$I$153)</f>
        <v>8.0751415414259892E-4</v>
      </c>
      <c r="K134" s="10">
        <f>1035921.85*FX_RATE</f>
        <v>1528344504.408505</v>
      </c>
      <c r="L134" s="13">
        <f t="shared" ref="L134" si="61">(K134/$K$153)</f>
        <v>7.9133492235317559E-4</v>
      </c>
      <c r="M134" s="13">
        <f t="shared" ref="M134:M153" si="62">((K134-I134)/I134)</f>
        <v>-4.9818645971607865E-2</v>
      </c>
      <c r="N134" s="20">
        <f t="shared" ref="N134" si="63">(G134/K134)</f>
        <v>1.7299567530118223E-3</v>
      </c>
      <c r="O134" s="21">
        <f t="shared" ref="O134" si="64">H134/K134</f>
        <v>4.8016170331767784E-3</v>
      </c>
      <c r="P134" s="22">
        <f t="shared" ref="P134" si="65">K134/V134</f>
        <v>168821.88273594444</v>
      </c>
      <c r="Q134" s="22">
        <f t="shared" ref="Q134" si="66">H134/V134</f>
        <v>810.61802771788359</v>
      </c>
      <c r="R134" s="10">
        <f>114.43*FX_RATE</f>
        <v>168823.99153900001</v>
      </c>
      <c r="S134" s="10">
        <f>114.43*FX_RATE</f>
        <v>168823.99153900001</v>
      </c>
      <c r="T134" s="10">
        <v>24</v>
      </c>
      <c r="U134" s="17">
        <v>9350</v>
      </c>
      <c r="V134" s="17">
        <v>9053</v>
      </c>
    </row>
    <row r="135" spans="1:22">
      <c r="A135" s="97">
        <v>119</v>
      </c>
      <c r="B135" s="25" t="s">
        <v>147</v>
      </c>
      <c r="C135" s="10" t="s">
        <v>28</v>
      </c>
      <c r="D135" s="44">
        <f>12609263.11*FX_RATE</f>
        <v>18603042284.328102</v>
      </c>
      <c r="E135" s="10">
        <f>88514.48*FX_RATE</f>
        <v>130589599.07890399</v>
      </c>
      <c r="F135" s="10">
        <v>0</v>
      </c>
      <c r="G135" s="10">
        <f>16487.96*FX_RATE</f>
        <v>24325467.268507998</v>
      </c>
      <c r="H135" s="12">
        <f t="shared" ref="H135:H152" si="67">(E135+F135)-G135</f>
        <v>106264131.81039599</v>
      </c>
      <c r="I135" s="10">
        <v>19657816222.239326</v>
      </c>
      <c r="J135" s="13">
        <f t="shared" si="60"/>
        <v>9.8689433966003461E-3</v>
      </c>
      <c r="K135" s="10">
        <f>15487012.13*FX_RATE</f>
        <v>22848721531.062748</v>
      </c>
      <c r="L135" s="13">
        <f t="shared" ref="L135:L152" si="68">(K135/$K$153)</f>
        <v>1.183044217223166E-2</v>
      </c>
      <c r="M135" s="13">
        <f t="shared" ref="M135:M152" si="69">((K135-I135)/I135)</f>
        <v>0.16232247126277838</v>
      </c>
      <c r="N135" s="20">
        <f t="shared" ref="N135:N152" si="70">(G135/K135)</f>
        <v>1.0646314383689968E-3</v>
      </c>
      <c r="O135" s="21">
        <f t="shared" ref="O135:O152" si="71">H135/K135</f>
        <v>4.6507692636513741E-3</v>
      </c>
      <c r="P135" s="22">
        <f t="shared" ref="P135:P152" si="72">K135/V135</f>
        <v>197390.35804349161</v>
      </c>
      <c r="Q135" s="22">
        <f t="shared" ref="Q135:Q152" si="73">H135/V135</f>
        <v>918.0170101298105</v>
      </c>
      <c r="R135" s="10">
        <f>133.79*FX_RATE</f>
        <v>197386.71526699996</v>
      </c>
      <c r="S135" s="10">
        <f>133.79*FX_RATE</f>
        <v>197386.71526699996</v>
      </c>
      <c r="T135" s="10">
        <v>627</v>
      </c>
      <c r="U135" s="17">
        <v>96046.98</v>
      </c>
      <c r="V135" s="17">
        <v>115753.99</v>
      </c>
    </row>
    <row r="136" spans="1:22">
      <c r="A136" s="97">
        <v>120</v>
      </c>
      <c r="B136" s="25" t="s">
        <v>314</v>
      </c>
      <c r="C136" s="25" t="s">
        <v>311</v>
      </c>
      <c r="D136" s="44">
        <f>141110*FX_RATE</f>
        <v>208186257.50299999</v>
      </c>
      <c r="E136" s="10">
        <f xml:space="preserve"> 1295.52*FX_RATE</f>
        <v>1911341.9340959999</v>
      </c>
      <c r="F136" s="10">
        <v>0</v>
      </c>
      <c r="G136" s="10">
        <f>545.35*FX_RATE</f>
        <v>804580.65005499998</v>
      </c>
      <c r="H136" s="12">
        <f t="shared" ref="H136" si="74">(E136+F136)-G136</f>
        <v>1106761.2840410001</v>
      </c>
      <c r="I136" s="10">
        <v>152439994.732649</v>
      </c>
      <c r="J136" s="13">
        <f t="shared" si="60"/>
        <v>7.6530458031883621E-5</v>
      </c>
      <c r="K136" s="10">
        <f>188779.69*FX_RATE</f>
        <v>278515605.93633699</v>
      </c>
      <c r="L136" s="13">
        <f t="shared" si="68"/>
        <v>1.4420775208864121E-4</v>
      </c>
      <c r="M136" s="13">
        <f t="shared" si="69"/>
        <v>0.82705074494919029</v>
      </c>
      <c r="N136" s="20">
        <f t="shared" si="70"/>
        <v>2.8888171179855203E-3</v>
      </c>
      <c r="O136" s="21">
        <f t="shared" si="71"/>
        <v>3.9737855274579598E-3</v>
      </c>
      <c r="P136" s="22">
        <f t="shared" si="72"/>
        <v>148146.5989023069</v>
      </c>
      <c r="Q136" s="22">
        <f t="shared" si="73"/>
        <v>588.70281066010637</v>
      </c>
      <c r="R136" s="10">
        <f>100*FX_RATE</f>
        <v>147534.72999999998</v>
      </c>
      <c r="S136" s="10">
        <f>100*FX_RATE</f>
        <v>147534.72999999998</v>
      </c>
      <c r="T136" s="10">
        <v>12</v>
      </c>
      <c r="U136" s="17">
        <v>1000</v>
      </c>
      <c r="V136" s="17">
        <v>1880</v>
      </c>
    </row>
    <row r="137" spans="1:22" ht="14.1" customHeight="1">
      <c r="A137" s="97">
        <v>121</v>
      </c>
      <c r="B137" s="25" t="s">
        <v>148</v>
      </c>
      <c r="C137" s="25" t="s">
        <v>62</v>
      </c>
      <c r="D137" s="44">
        <f>10854845*C239</f>
        <v>16014666262.668499</v>
      </c>
      <c r="E137" s="10">
        <f>91189.94*C239</f>
        <v>134536831.76616201</v>
      </c>
      <c r="F137" s="10">
        <v>0</v>
      </c>
      <c r="G137" s="10">
        <f>19015.93*C239</f>
        <v>28055100.982488997</v>
      </c>
      <c r="H137" s="12">
        <f t="shared" si="67"/>
        <v>106481730.78367302</v>
      </c>
      <c r="I137" s="10">
        <v>18473076556.479507</v>
      </c>
      <c r="J137" s="13">
        <f t="shared" si="60"/>
        <v>9.2741607122519536E-3</v>
      </c>
      <c r="K137" s="10">
        <f>11032574.02*C239</f>
        <v>16276878292.457144</v>
      </c>
      <c r="L137" s="13">
        <f t="shared" si="68"/>
        <v>8.4277217489643272E-3</v>
      </c>
      <c r="M137" s="13">
        <f t="shared" si="69"/>
        <v>-0.11888643763845812</v>
      </c>
      <c r="N137" s="20">
        <f t="shared" si="70"/>
        <v>1.7236168065156566E-3</v>
      </c>
      <c r="O137" s="21">
        <f t="shared" si="71"/>
        <v>6.5419012706519801E-3</v>
      </c>
      <c r="P137" s="22">
        <f t="shared" si="72"/>
        <v>175091.73955441089</v>
      </c>
      <c r="Q137" s="22">
        <f t="shared" si="73"/>
        <v>1145.432873471666</v>
      </c>
      <c r="R137" s="10">
        <f>116.94*FX_RATE</f>
        <v>172527.113262</v>
      </c>
      <c r="S137" s="10">
        <f>116.94*FX_RATE</f>
        <v>172527.113262</v>
      </c>
      <c r="T137" s="10">
        <v>442</v>
      </c>
      <c r="U137" s="17">
        <v>103212</v>
      </c>
      <c r="V137" s="17">
        <v>92962</v>
      </c>
    </row>
    <row r="138" spans="1:22" ht="14.1" customHeight="1">
      <c r="A138" s="97">
        <v>122</v>
      </c>
      <c r="B138" s="25" t="s">
        <v>256</v>
      </c>
      <c r="C138" s="25" t="s">
        <v>64</v>
      </c>
      <c r="D138" s="44">
        <v>178042126.81</v>
      </c>
      <c r="E138" s="10">
        <v>4794279.07</v>
      </c>
      <c r="F138" s="10">
        <v>85064.1</v>
      </c>
      <c r="G138" s="10">
        <v>376466.59</v>
      </c>
      <c r="H138" s="12">
        <f t="shared" si="67"/>
        <v>4502876.58</v>
      </c>
      <c r="I138" s="10">
        <v>198980244.08000001</v>
      </c>
      <c r="J138" s="13">
        <f t="shared" si="60"/>
        <v>9.9895366996341918E-5</v>
      </c>
      <c r="K138" s="10">
        <v>186678564.93000001</v>
      </c>
      <c r="L138" s="13">
        <f t="shared" si="68"/>
        <v>9.6657047712587536E-5</v>
      </c>
      <c r="M138" s="13">
        <f t="shared" si="69"/>
        <v>-6.1823620766361685E-2</v>
      </c>
      <c r="N138" s="20">
        <f t="shared" si="70"/>
        <v>2.0166567604650593E-3</v>
      </c>
      <c r="O138" s="21">
        <f t="shared" si="71"/>
        <v>2.4121015616808877E-2</v>
      </c>
      <c r="P138" s="22">
        <f t="shared" si="72"/>
        <v>1474.1530833829183</v>
      </c>
      <c r="Q138" s="22">
        <f t="shared" si="73"/>
        <v>35.55806954584633</v>
      </c>
      <c r="R138" s="10">
        <f>0.9964*FX_RATE</f>
        <v>1470.0360497199999</v>
      </c>
      <c r="S138" s="10">
        <f>0.9964*FX_RATE</f>
        <v>1470.0360497199999</v>
      </c>
      <c r="T138" s="10">
        <v>3</v>
      </c>
      <c r="U138" s="17">
        <v>126634.45</v>
      </c>
      <c r="V138" s="17">
        <v>126634.45</v>
      </c>
    </row>
    <row r="139" spans="1:22" ht="15" customHeight="1">
      <c r="A139" s="97">
        <v>123</v>
      </c>
      <c r="B139" s="25" t="s">
        <v>149</v>
      </c>
      <c r="C139" s="10" t="s">
        <v>60</v>
      </c>
      <c r="D139" s="44">
        <f>6920791.62*FX_RATE</f>
        <v>10210571230.429625</v>
      </c>
      <c r="E139" s="10">
        <f>45138.37*FX_RATE</f>
        <v>66594772.305900998</v>
      </c>
      <c r="F139" s="10">
        <v>0</v>
      </c>
      <c r="G139" s="10">
        <f>8368.17*FX_RATE</f>
        <v>12345957.015440999</v>
      </c>
      <c r="H139" s="12">
        <f t="shared" si="67"/>
        <v>54248815.290459998</v>
      </c>
      <c r="I139" s="10">
        <v>10139110866.400621</v>
      </c>
      <c r="J139" s="13">
        <f t="shared" si="60"/>
        <v>5.0902048376645472E-3</v>
      </c>
      <c r="K139" s="10">
        <f>6944502.32*FX_RATE</f>
        <v>10245552747.655735</v>
      </c>
      <c r="L139" s="13">
        <f t="shared" si="68"/>
        <v>5.3048665825309576E-3</v>
      </c>
      <c r="M139" s="13">
        <f t="shared" si="69"/>
        <v>1.0498147486269711E-2</v>
      </c>
      <c r="N139" s="20">
        <f t="shared" si="70"/>
        <v>1.2050064373799504E-3</v>
      </c>
      <c r="O139" s="21">
        <f t="shared" si="71"/>
        <v>5.2948646721742336E-3</v>
      </c>
      <c r="P139" s="22">
        <f t="shared" si="72"/>
        <v>1953.8311825655408</v>
      </c>
      <c r="Q139" s="22">
        <f t="shared" si="73"/>
        <v>10.345271703958687</v>
      </c>
      <c r="R139" s="10">
        <f>1.32*FX_RATE</f>
        <v>1947.4584359999999</v>
      </c>
      <c r="S139" s="10">
        <f>1.32*FX_RATE</f>
        <v>1947.4584359999999</v>
      </c>
      <c r="T139" s="10">
        <v>292</v>
      </c>
      <c r="U139" s="17">
        <v>5025797.47</v>
      </c>
      <c r="V139" s="17">
        <v>5243827.0199999996</v>
      </c>
    </row>
    <row r="140" spans="1:22" ht="15" customHeight="1">
      <c r="A140" s="97">
        <v>124</v>
      </c>
      <c r="B140" s="25" t="s">
        <v>315</v>
      </c>
      <c r="C140" s="10" t="s">
        <v>77</v>
      </c>
      <c r="D140" s="44">
        <f>98605.78*FX_RATE</f>
        <v>145477771.28739399</v>
      </c>
      <c r="E140" s="10" t="s">
        <v>319</v>
      </c>
      <c r="F140" s="10"/>
      <c r="G140" s="10">
        <f>491.89*FX_RATE</f>
        <v>725708.58339699998</v>
      </c>
      <c r="H140" s="12">
        <f>2834.6*FX_RATE</f>
        <v>4182019.4565799995</v>
      </c>
      <c r="I140" s="10">
        <v>332458516.38630801</v>
      </c>
      <c r="J140" s="13">
        <f t="shared" si="60"/>
        <v>1.6690634620046543E-4</v>
      </c>
      <c r="K140" s="10">
        <f>330645.14*FX_RATE</f>
        <v>487816414.55712199</v>
      </c>
      <c r="L140" s="13">
        <f t="shared" si="68"/>
        <v>2.5257797795109243E-4</v>
      </c>
      <c r="M140" s="13">
        <f t="shared" si="69"/>
        <v>0.46730010065463989</v>
      </c>
      <c r="N140" s="20">
        <f t="shared" si="70"/>
        <v>1.4876674128644382E-3</v>
      </c>
      <c r="O140" s="21">
        <f t="shared" si="71"/>
        <v>8.5729371373793658E-3</v>
      </c>
      <c r="P140" s="22">
        <f t="shared" si="72"/>
        <v>1508.98746746451</v>
      </c>
      <c r="Q140" s="22">
        <f t="shared" si="73"/>
        <v>12.936454699666536</v>
      </c>
      <c r="R140" s="10">
        <f>1.0228*FX_RATE</f>
        <v>1508.9852184399997</v>
      </c>
      <c r="S140" s="10">
        <f>1.0228*FX_RATE</f>
        <v>1508.9852184399997</v>
      </c>
      <c r="T140" s="10">
        <v>13</v>
      </c>
      <c r="U140" s="17">
        <v>212492</v>
      </c>
      <c r="V140" s="17">
        <v>323274</v>
      </c>
    </row>
    <row r="141" spans="1:22" ht="15" customHeight="1">
      <c r="A141" s="97">
        <v>125</v>
      </c>
      <c r="B141" s="10" t="s">
        <v>268</v>
      </c>
      <c r="C141" s="10" t="s">
        <v>36</v>
      </c>
      <c r="D141" s="44">
        <f>73655006.75*C239</f>
        <v>108666715340.09427</v>
      </c>
      <c r="E141" s="10">
        <f>419651.09*C239</f>
        <v>619131102.57355702</v>
      </c>
      <c r="F141" s="10">
        <v>0</v>
      </c>
      <c r="G141" s="10">
        <f>102459.5*C239</f>
        <v>151163346.68434998</v>
      </c>
      <c r="H141" s="12">
        <f t="shared" ref="H141" si="75">(E141+F141)-G141</f>
        <v>467967755.88920701</v>
      </c>
      <c r="I141" s="10">
        <v>102689909378.24191</v>
      </c>
      <c r="J141" s="13">
        <f t="shared" si="60"/>
        <v>5.155409388298992E-2</v>
      </c>
      <c r="K141" s="10">
        <f>71217600*C239</f>
        <v>105070693872.48</v>
      </c>
      <c r="L141" s="13">
        <f t="shared" si="68"/>
        <v>5.4402727354558179E-2</v>
      </c>
      <c r="M141" s="13">
        <f t="shared" si="69"/>
        <v>2.3184210684896435E-2</v>
      </c>
      <c r="N141" s="20">
        <f t="shared" si="70"/>
        <v>1.4386822920177034E-3</v>
      </c>
      <c r="O141" s="21">
        <f t="shared" si="71"/>
        <v>4.4538371132978368E-3</v>
      </c>
      <c r="P141" s="22">
        <f t="shared" si="72"/>
        <v>147534.72999999998</v>
      </c>
      <c r="Q141" s="22">
        <f t="shared" si="73"/>
        <v>657.09565597437575</v>
      </c>
      <c r="R141" s="10">
        <f>100*C239</f>
        <v>147534.72999999998</v>
      </c>
      <c r="S141" s="10">
        <f>100*C239</f>
        <v>147534.72999999998</v>
      </c>
      <c r="T141" s="10">
        <v>2009</v>
      </c>
      <c r="U141" s="17">
        <v>670487.73</v>
      </c>
      <c r="V141" s="17">
        <v>712176</v>
      </c>
    </row>
    <row r="142" spans="1:22" ht="15" customHeight="1">
      <c r="A142" s="97">
        <v>126</v>
      </c>
      <c r="B142" s="25" t="s">
        <v>232</v>
      </c>
      <c r="C142" s="25" t="s">
        <v>233</v>
      </c>
      <c r="D142" s="44">
        <f>976273.95*FX_RATE</f>
        <v>1440343136.1928349</v>
      </c>
      <c r="E142" s="10">
        <f>5944.52*FX_RATE</f>
        <v>8770231.5317960009</v>
      </c>
      <c r="F142" s="10">
        <v>0</v>
      </c>
      <c r="G142" s="10">
        <f>1629.24*FX_RATE</f>
        <v>2403694.8350519999</v>
      </c>
      <c r="H142" s="12">
        <f t="shared" si="67"/>
        <v>6366536.6967440005</v>
      </c>
      <c r="I142" s="10">
        <v>1434911428.0595121</v>
      </c>
      <c r="J142" s="13">
        <f t="shared" si="60"/>
        <v>7.2037806756141971E-4</v>
      </c>
      <c r="K142" s="10">
        <f>927246.13*FX_RATE</f>
        <v>1368010074.3309488</v>
      </c>
      <c r="L142" s="13">
        <f t="shared" si="68"/>
        <v>7.0831814608971952E-4</v>
      </c>
      <c r="M142" s="13">
        <f t="shared" si="69"/>
        <v>-4.6624030180759432E-2</v>
      </c>
      <c r="N142" s="20">
        <f t="shared" si="70"/>
        <v>1.7570739281489373E-3</v>
      </c>
      <c r="O142" s="21">
        <f t="shared" si="71"/>
        <v>4.6538668217466711E-3</v>
      </c>
      <c r="P142" s="22">
        <f t="shared" si="72"/>
        <v>1643.1932288769203</v>
      </c>
      <c r="Q142" s="22">
        <f t="shared" si="73"/>
        <v>7.6472024495890834</v>
      </c>
      <c r="R142" s="10">
        <f>1.11*FX_RATE</f>
        <v>1637.635503</v>
      </c>
      <c r="S142" s="10">
        <f>1.11*FX_RATE</f>
        <v>1637.635503</v>
      </c>
      <c r="T142" s="10">
        <v>54</v>
      </c>
      <c r="U142" s="17">
        <v>832733.59</v>
      </c>
      <c r="V142" s="17">
        <v>832531.47</v>
      </c>
    </row>
    <row r="143" spans="1:22" ht="15" customHeight="1">
      <c r="A143" s="97">
        <v>127</v>
      </c>
      <c r="B143" s="25" t="s">
        <v>234</v>
      </c>
      <c r="C143" s="25" t="s">
        <v>40</v>
      </c>
      <c r="D143" s="44">
        <f>3257204.51*FX_RATE</f>
        <v>4805507879.3763227</v>
      </c>
      <c r="E143" s="10">
        <f>22294.71*FX_RATE</f>
        <v>32892440.202782996</v>
      </c>
      <c r="F143" s="10">
        <f>3581.27*FX_RATE</f>
        <v>5283617.0250709997</v>
      </c>
      <c r="G143" s="10">
        <f>7136.64*FX_RATE</f>
        <v>10529022.555072</v>
      </c>
      <c r="H143" s="12">
        <f t="shared" si="67"/>
        <v>27647034.672781996</v>
      </c>
      <c r="I143" s="10">
        <v>6311537385.7655993</v>
      </c>
      <c r="J143" s="13">
        <f t="shared" si="60"/>
        <v>3.1686228267400109E-3</v>
      </c>
      <c r="K143" s="10">
        <f>4460631.69*FX_RATE</f>
        <v>6580980920.1359367</v>
      </c>
      <c r="L143" s="13">
        <f t="shared" si="68"/>
        <v>3.4074516644786133E-3</v>
      </c>
      <c r="M143" s="13">
        <f t="shared" si="69"/>
        <v>4.2690634294270849E-2</v>
      </c>
      <c r="N143" s="20">
        <f t="shared" si="70"/>
        <v>1.59991689428185E-3</v>
      </c>
      <c r="O143" s="21">
        <f t="shared" si="71"/>
        <v>4.2010507260688001E-3</v>
      </c>
      <c r="P143" s="22">
        <f t="shared" si="72"/>
        <v>15807.278239014466</v>
      </c>
      <c r="Q143" s="22">
        <f t="shared" si="73"/>
        <v>66.407177723183267</v>
      </c>
      <c r="R143" s="10">
        <f>10.71*FX_RATE</f>
        <v>15800.969583</v>
      </c>
      <c r="S143" s="10">
        <f>10.71*FX_RATE</f>
        <v>15800.969583</v>
      </c>
      <c r="T143" s="10">
        <v>157</v>
      </c>
      <c r="U143" s="17">
        <v>386902.94</v>
      </c>
      <c r="V143" s="17">
        <v>416326</v>
      </c>
    </row>
    <row r="144" spans="1:22">
      <c r="A144" s="97">
        <v>128</v>
      </c>
      <c r="B144" s="10" t="s">
        <v>150</v>
      </c>
      <c r="C144" s="10" t="s">
        <v>44</v>
      </c>
      <c r="D144" s="44">
        <f>17547909.86*FX_RATE</f>
        <v>25889261432.594376</v>
      </c>
      <c r="E144" s="10">
        <f>181470.11*FX_RATE</f>
        <v>267731436.81920296</v>
      </c>
      <c r="F144" s="10">
        <f>649332.2*FX_RATE</f>
        <v>957990508.07305992</v>
      </c>
      <c r="G144" s="10">
        <f>29096.06*FX_RATE</f>
        <v>42926793.561637998</v>
      </c>
      <c r="H144" s="12">
        <f t="shared" si="67"/>
        <v>1182795151.3306251</v>
      </c>
      <c r="I144" s="10">
        <v>26741579884.111496</v>
      </c>
      <c r="J144" s="13">
        <f t="shared" si="60"/>
        <v>1.3425252084379252E-2</v>
      </c>
      <c r="K144" s="10">
        <f>17585881.06*FX_RATE</f>
        <v>25945282139.992134</v>
      </c>
      <c r="L144" s="13">
        <f t="shared" si="68"/>
        <v>1.3433756439375499E-2</v>
      </c>
      <c r="M144" s="13">
        <f t="shared" si="69"/>
        <v>-2.9777513055333056E-2</v>
      </c>
      <c r="N144" s="20">
        <f t="shared" si="70"/>
        <v>1.6545124978799329E-3</v>
      </c>
      <c r="O144" s="21">
        <f t="shared" si="71"/>
        <v>4.5588062791094536E-2</v>
      </c>
      <c r="P144" s="22">
        <f t="shared" si="72"/>
        <v>1590.3716740012051</v>
      </c>
      <c r="Q144" s="22">
        <f t="shared" si="73"/>
        <v>72.501963735545061</v>
      </c>
      <c r="R144" s="10">
        <f>1.08*FX_RATE</f>
        <v>1593.375084</v>
      </c>
      <c r="S144" s="10">
        <f>1.08*FX_RATE</f>
        <v>1593.375084</v>
      </c>
      <c r="T144" s="10">
        <v>595</v>
      </c>
      <c r="U144" s="17">
        <v>16204287</v>
      </c>
      <c r="V144" s="17">
        <v>16313974</v>
      </c>
    </row>
    <row r="145" spans="1:22">
      <c r="A145" s="97">
        <v>129</v>
      </c>
      <c r="B145" s="25" t="s">
        <v>151</v>
      </c>
      <c r="C145" s="10" t="s">
        <v>83</v>
      </c>
      <c r="D145" s="44">
        <f>277258.85*FX_RATE</f>
        <v>409053095.74860495</v>
      </c>
      <c r="E145" s="10">
        <f>1758.07*FX_RATE</f>
        <v>2593763.8277109996</v>
      </c>
      <c r="F145" s="10">
        <f>33974.86*FX_RATE</f>
        <v>50124717.968878001</v>
      </c>
      <c r="G145" s="10">
        <f>105.61*FX_RATE</f>
        <v>155811.428353</v>
      </c>
      <c r="H145" s="12">
        <f t="shared" si="67"/>
        <v>52562670.368236005</v>
      </c>
      <c r="I145" s="10">
        <v>449352066.290712</v>
      </c>
      <c r="J145" s="13">
        <f t="shared" si="60"/>
        <v>2.2559118760869516E-4</v>
      </c>
      <c r="K145" s="10">
        <f>301833.07*FX_RATE</f>
        <v>445308604.875211</v>
      </c>
      <c r="L145" s="13">
        <f t="shared" si="68"/>
        <v>2.3056859840544017E-4</v>
      </c>
      <c r="M145" s="13">
        <f t="shared" si="69"/>
        <v>-8.9984262203994143E-3</v>
      </c>
      <c r="N145" s="20">
        <f t="shared" si="70"/>
        <v>3.4989539085296384E-4</v>
      </c>
      <c r="O145" s="21">
        <f t="shared" si="71"/>
        <v>0.11803650275962141</v>
      </c>
      <c r="P145" s="22">
        <f t="shared" si="72"/>
        <v>1855.3365617782681</v>
      </c>
      <c r="Q145" s="22">
        <f t="shared" si="73"/>
        <v>218.99743919436705</v>
      </c>
      <c r="R145" s="10">
        <f>1.25*FX_RATE</f>
        <v>1844.1841249999998</v>
      </c>
      <c r="S145" s="10">
        <f>1.25*FX_RATE</f>
        <v>1844.1841249999998</v>
      </c>
      <c r="T145" s="10">
        <v>2</v>
      </c>
      <c r="U145" s="17">
        <v>240015</v>
      </c>
      <c r="V145" s="17">
        <v>240015</v>
      </c>
    </row>
    <row r="146" spans="1:22">
      <c r="A146" s="97">
        <v>130</v>
      </c>
      <c r="B146" s="25" t="s">
        <v>301</v>
      </c>
      <c r="C146" s="10" t="s">
        <v>296</v>
      </c>
      <c r="D146" s="44">
        <f>367737.41*FX_RATE</f>
        <v>542540394.95249295</v>
      </c>
      <c r="E146" s="10">
        <f>2855.1*FX_RATE</f>
        <v>4212264.0762299998</v>
      </c>
      <c r="F146" s="10">
        <v>0</v>
      </c>
      <c r="G146" s="10">
        <v>0</v>
      </c>
      <c r="H146" s="12">
        <f t="shared" si="67"/>
        <v>4212264.0762299998</v>
      </c>
      <c r="I146" s="10">
        <v>663258513.9799037</v>
      </c>
      <c r="J146" s="13">
        <f t="shared" si="60"/>
        <v>3.3298005525027124E-4</v>
      </c>
      <c r="K146" s="10">
        <f>463194.69*FX_RATE</f>
        <v>683373035.26583695</v>
      </c>
      <c r="L146" s="13">
        <f t="shared" si="68"/>
        <v>3.5383183977203802E-4</v>
      </c>
      <c r="M146" s="13">
        <f t="shared" si="69"/>
        <v>3.032681957632995E-2</v>
      </c>
      <c r="N146" s="20">
        <f t="shared" si="70"/>
        <v>0</v>
      </c>
      <c r="O146" s="21">
        <f t="shared" si="71"/>
        <v>6.1639307652684881E-3</v>
      </c>
      <c r="P146" s="22">
        <f t="shared" si="72"/>
        <v>1532.0889919789197</v>
      </c>
      <c r="Q146" s="22">
        <f t="shared" si="73"/>
        <v>9.4436904727880489</v>
      </c>
      <c r="R146" s="10">
        <f>1.0385*FX_RATE</f>
        <v>1532.14817105</v>
      </c>
      <c r="S146" s="10">
        <f>1.0385*FX_RATE</f>
        <v>1532.14817105</v>
      </c>
      <c r="T146" s="10">
        <v>7</v>
      </c>
      <c r="U146" s="17">
        <v>419238.81</v>
      </c>
      <c r="V146" s="17">
        <v>446040.04</v>
      </c>
    </row>
    <row r="147" spans="1:22">
      <c r="A147" s="97">
        <v>131</v>
      </c>
      <c r="B147" s="25" t="s">
        <v>152</v>
      </c>
      <c r="C147" s="25" t="s">
        <v>46</v>
      </c>
      <c r="D147" s="44">
        <f>702985228.18*FX_RATE</f>
        <v>1037147358335.2468</v>
      </c>
      <c r="E147" s="10">
        <f>4411011.47*FX_RATE</f>
        <v>6507773862.5335302</v>
      </c>
      <c r="F147" s="10">
        <v>0</v>
      </c>
      <c r="G147" s="10">
        <f>1112024.63*FX_RATE</f>
        <v>1640622535.4039986</v>
      </c>
      <c r="H147" s="12">
        <f t="shared" si="67"/>
        <v>4867151327.1295319</v>
      </c>
      <c r="I147" s="10">
        <v>1091167533038.3019</v>
      </c>
      <c r="J147" s="13">
        <f t="shared" si="60"/>
        <v>0.54780604813978273</v>
      </c>
      <c r="K147" s="10">
        <f>708397721.02*FX_RATE</f>
        <v>1045132665033.0101</v>
      </c>
      <c r="L147" s="13">
        <f t="shared" si="68"/>
        <v>0.54114106730978617</v>
      </c>
      <c r="M147" s="13">
        <f t="shared" si="69"/>
        <v>-4.2188634294414849E-2</v>
      </c>
      <c r="N147" s="20">
        <f t="shared" si="70"/>
        <v>1.5697744317963501E-3</v>
      </c>
      <c r="O147" s="21">
        <f t="shared" si="71"/>
        <v>4.6569698660942765E-3</v>
      </c>
      <c r="P147" s="22">
        <f t="shared" si="72"/>
        <v>2441.1661864480407</v>
      </c>
      <c r="Q147" s="22">
        <f t="shared" si="73"/>
        <v>11.36843736841681</v>
      </c>
      <c r="R147" s="10">
        <f>1.6546*FX_RATE</f>
        <v>2441.1096425800001</v>
      </c>
      <c r="S147" s="10">
        <f>1.6546*FX_RATE</f>
        <v>2441.1096425800001</v>
      </c>
      <c r="T147" s="10">
        <v>12179</v>
      </c>
      <c r="U147" s="17">
        <v>432508538.69999999</v>
      </c>
      <c r="V147" s="17">
        <v>428128437.48000002</v>
      </c>
    </row>
    <row r="148" spans="1:22">
      <c r="A148" s="97">
        <v>132</v>
      </c>
      <c r="B148" s="25" t="s">
        <v>299</v>
      </c>
      <c r="C148" s="25" t="s">
        <v>298</v>
      </c>
      <c r="D148" s="44">
        <v>423140407.75999999</v>
      </c>
      <c r="E148" s="10">
        <v>21853217.98</v>
      </c>
      <c r="F148" s="10"/>
      <c r="G148" s="10">
        <v>5289102.99</v>
      </c>
      <c r="H148" s="12">
        <f t="shared" si="67"/>
        <v>16564114.99</v>
      </c>
      <c r="I148" s="10">
        <v>551489885.92820203</v>
      </c>
      <c r="J148" s="13">
        <f t="shared" si="60"/>
        <v>2.7686811223037315E-4</v>
      </c>
      <c r="K148" s="10">
        <v>534966755.63</v>
      </c>
      <c r="L148" s="13">
        <f t="shared" si="68"/>
        <v>2.7699113309000655E-4</v>
      </c>
      <c r="M148" s="13">
        <f t="shared" si="69"/>
        <v>-2.9960894514669611E-2</v>
      </c>
      <c r="N148" s="20">
        <f t="shared" si="70"/>
        <v>9.8867881683065029E-3</v>
      </c>
      <c r="O148" s="21">
        <f t="shared" si="71"/>
        <v>3.0962886601230727E-2</v>
      </c>
      <c r="P148" s="22">
        <f t="shared" si="72"/>
        <v>155467.04202811368</v>
      </c>
      <c r="Q148" s="22">
        <f t="shared" si="73"/>
        <v>4813.7083925452553</v>
      </c>
      <c r="R148" s="10">
        <v>155466.97</v>
      </c>
      <c r="S148" s="10">
        <v>155466.97</v>
      </c>
      <c r="T148" s="10">
        <v>21</v>
      </c>
      <c r="U148" s="17">
        <v>3437.2184000000002</v>
      </c>
      <c r="V148" s="17">
        <v>3441.03</v>
      </c>
    </row>
    <row r="149" spans="1:22">
      <c r="A149" s="97">
        <v>133</v>
      </c>
      <c r="B149" s="25" t="s">
        <v>153</v>
      </c>
      <c r="C149" s="25" t="s">
        <v>50</v>
      </c>
      <c r="D149" s="44">
        <f>61631510*FX_RATE</f>
        <v>90927881873.422989</v>
      </c>
      <c r="E149" s="10">
        <f>1358849*FX_RATE</f>
        <v>2004774203.2577</v>
      </c>
      <c r="F149" s="10">
        <v>0</v>
      </c>
      <c r="G149" s="10">
        <f>222273*FX_RATE</f>
        <v>327929870.41289997</v>
      </c>
      <c r="H149" s="12">
        <f t="shared" si="67"/>
        <v>1676844332.8448</v>
      </c>
      <c r="I149" s="10">
        <v>182734133636.88602</v>
      </c>
      <c r="J149" s="13">
        <f t="shared" si="60"/>
        <v>9.1739224800006666E-2</v>
      </c>
      <c r="K149" s="10">
        <f>112500391*FX_RATE</f>
        <v>165977148110.79428</v>
      </c>
      <c r="L149" s="13">
        <f t="shared" si="68"/>
        <v>8.5938421104533022E-2</v>
      </c>
      <c r="M149" s="13">
        <f t="shared" si="69"/>
        <v>-9.1701452775045392E-2</v>
      </c>
      <c r="N149" s="20">
        <f t="shared" si="70"/>
        <v>1.9757531331602218E-3</v>
      </c>
      <c r="O149" s="21">
        <f t="shared" si="71"/>
        <v>1.0102862664717318E-2</v>
      </c>
      <c r="P149" s="22">
        <f t="shared" si="72"/>
        <v>1932.3632880394127</v>
      </c>
      <c r="Q149" s="22">
        <f t="shared" si="73"/>
        <v>19.522400917403779</v>
      </c>
      <c r="R149" s="10">
        <f>1.31*FX_RATE</f>
        <v>1932.7049629999999</v>
      </c>
      <c r="S149" s="10">
        <f>1.31*FX_RATE</f>
        <v>1932.7049629999999</v>
      </c>
      <c r="T149" s="10">
        <v>410</v>
      </c>
      <c r="U149" s="17">
        <v>98310634.469999999</v>
      </c>
      <c r="V149" s="17">
        <v>85893345.799999997</v>
      </c>
    </row>
    <row r="150" spans="1:22">
      <c r="A150" s="97">
        <v>134</v>
      </c>
      <c r="B150" s="25" t="s">
        <v>231</v>
      </c>
      <c r="C150" s="10" t="s">
        <v>211</v>
      </c>
      <c r="D150" s="44">
        <f>1208736.72*FX_RATE</f>
        <v>1783306456.2628558</v>
      </c>
      <c r="E150" s="10">
        <f>23901.94*FX_RATE</f>
        <v>35263662.643761992</v>
      </c>
      <c r="F150" s="10">
        <v>0</v>
      </c>
      <c r="G150" s="10">
        <f>11168.54*FX_RATE</f>
        <v>16477475.333942</v>
      </c>
      <c r="H150" s="12">
        <f t="shared" ref="H150:H151" si="76">(E150+F150)-G150</f>
        <v>18786187.309819993</v>
      </c>
      <c r="I150" s="10">
        <v>1871042014.631335</v>
      </c>
      <c r="J150" s="13">
        <f t="shared" si="60"/>
        <v>9.3933158832605319E-4</v>
      </c>
      <c r="K150" s="10">
        <f>1342462.91*FX_RATE</f>
        <v>1980599029.6186428</v>
      </c>
      <c r="L150" s="13">
        <f t="shared" si="68"/>
        <v>1.0254999280562217E-3</v>
      </c>
      <c r="M150" s="13">
        <f t="shared" si="69"/>
        <v>5.8554011150249129E-2</v>
      </c>
      <c r="N150" s="20">
        <f t="shared" si="70"/>
        <v>8.319440274145079E-3</v>
      </c>
      <c r="O150" s="21">
        <f t="shared" si="71"/>
        <v>9.4851037634998761E-3</v>
      </c>
      <c r="P150" s="22">
        <f t="shared" si="72"/>
        <v>159282.05061213704</v>
      </c>
      <c r="Q150" s="22">
        <f t="shared" si="73"/>
        <v>1510.8067777191591</v>
      </c>
      <c r="R150" s="10">
        <f>107.96*FX_RATE</f>
        <v>159278.49450799997</v>
      </c>
      <c r="S150" s="10">
        <f>107.96*FX_RATE</f>
        <v>159278.49450799997</v>
      </c>
      <c r="T150" s="10">
        <v>23</v>
      </c>
      <c r="U150" s="17">
        <v>11371.01</v>
      </c>
      <c r="V150" s="17">
        <v>12434.54</v>
      </c>
    </row>
    <row r="151" spans="1:22">
      <c r="A151" s="97">
        <v>135</v>
      </c>
      <c r="B151" s="25" t="s">
        <v>316</v>
      </c>
      <c r="C151" s="25" t="s">
        <v>92</v>
      </c>
      <c r="D151" s="44">
        <f>1634758.24*FX_RATE</f>
        <v>2411836155.5367517</v>
      </c>
      <c r="E151" s="10">
        <f>28097.92*FX_RATE</f>
        <v>41454190.407615997</v>
      </c>
      <c r="F151" s="10">
        <f>28286.08*FX_RATE</f>
        <v>41731791.755584002</v>
      </c>
      <c r="G151" s="10">
        <f>2429.18*FX_RATE</f>
        <v>3583884.1542139994</v>
      </c>
      <c r="H151" s="12">
        <f t="shared" si="76"/>
        <v>79602098.008985996</v>
      </c>
      <c r="I151" s="10">
        <v>1522851284.7019422</v>
      </c>
      <c r="J151" s="13">
        <f t="shared" si="60"/>
        <v>7.645270949863199E-4</v>
      </c>
      <c r="K151" s="10">
        <f>1631920.85*FX_RATE</f>
        <v>2407650019.8612051</v>
      </c>
      <c r="L151" s="13">
        <f t="shared" si="68"/>
        <v>1.2466152336889876E-3</v>
      </c>
      <c r="M151" s="13">
        <f t="shared" si="69"/>
        <v>0.58101453769495215</v>
      </c>
      <c r="N151" s="20">
        <f t="shared" si="70"/>
        <v>1.4885403296366975E-3</v>
      </c>
      <c r="O151" s="21">
        <f t="shared" si="71"/>
        <v>3.3062154944585698E-2</v>
      </c>
      <c r="P151" s="22">
        <f t="shared" si="72"/>
        <v>1609.6100870510509</v>
      </c>
      <c r="Q151" s="22">
        <f t="shared" si="73"/>
        <v>53.217178098449914</v>
      </c>
      <c r="R151" s="10">
        <f>1.091*FX_RATE</f>
        <v>1609.6039042999998</v>
      </c>
      <c r="S151" s="10">
        <f>1.091*FX_RATE</f>
        <v>1609.6039042999998</v>
      </c>
      <c r="T151" s="10">
        <v>31</v>
      </c>
      <c r="U151" s="17">
        <v>909422.14</v>
      </c>
      <c r="V151" s="17">
        <v>1495797.05</v>
      </c>
    </row>
    <row r="152" spans="1:22">
      <c r="A152" s="97">
        <v>136</v>
      </c>
      <c r="B152" s="25" t="s">
        <v>290</v>
      </c>
      <c r="C152" s="10" t="s">
        <v>291</v>
      </c>
      <c r="D152" s="44">
        <f>842826.51*FX_RATE</f>
        <v>1243461815.8969228</v>
      </c>
      <c r="E152" s="10">
        <f>29852.71*FX_RATE</f>
        <v>44043115.096182995</v>
      </c>
      <c r="F152" s="10">
        <v>0</v>
      </c>
      <c r="G152" s="10">
        <f>2068.27*FX_RATE</f>
        <v>3051416.5601709997</v>
      </c>
      <c r="H152" s="12">
        <f t="shared" si="67"/>
        <v>40991698.536011994</v>
      </c>
      <c r="I152" s="10">
        <v>1850443772.5096052</v>
      </c>
      <c r="J152" s="13">
        <f t="shared" si="60"/>
        <v>9.2899051669985487E-4</v>
      </c>
      <c r="K152" s="10">
        <f>1130290.31*FX_RATE</f>
        <v>1667570757.0746629</v>
      </c>
      <c r="L152" s="13">
        <f t="shared" si="68"/>
        <v>8.6342246251529188E-4</v>
      </c>
      <c r="M152" s="13">
        <f t="shared" si="69"/>
        <v>-9.8826572388593339E-2</v>
      </c>
      <c r="N152" s="20">
        <f t="shared" si="70"/>
        <v>1.8298573222307814E-3</v>
      </c>
      <c r="O152" s="21">
        <f t="shared" si="71"/>
        <v>2.4581684682406946E-2</v>
      </c>
      <c r="P152" s="22">
        <f t="shared" si="72"/>
        <v>1949.0341961506167</v>
      </c>
      <c r="Q152" s="22">
        <f t="shared" si="73"/>
        <v>47.91054404500295</v>
      </c>
      <c r="R152" s="10">
        <f>1.2711*FX_RATE</f>
        <v>1875.3139530299998</v>
      </c>
      <c r="S152" s="10">
        <f>1.2711*FX_RATE</f>
        <v>1875.3139530299998</v>
      </c>
      <c r="T152" s="10">
        <v>6</v>
      </c>
      <c r="U152" s="17">
        <v>951304.68</v>
      </c>
      <c r="V152" s="17">
        <f>(U152+44857)-140573.43</f>
        <v>855588.25</v>
      </c>
    </row>
    <row r="153" spans="1:22" ht="15" customHeight="1">
      <c r="A153" s="136" t="s">
        <v>51</v>
      </c>
      <c r="B153" s="136"/>
      <c r="C153" s="136"/>
      <c r="D153" s="136"/>
      <c r="E153" s="136"/>
      <c r="F153" s="136"/>
      <c r="G153" s="136"/>
      <c r="H153" s="136"/>
      <c r="I153" s="37">
        <f>SUM(I115:I152)</f>
        <v>1991886611591.1711</v>
      </c>
      <c r="J153" s="35">
        <f>(I153/$I$237)</f>
        <v>0.29996365215457504</v>
      </c>
      <c r="K153" s="37">
        <f>SUM(K115:K152)</f>
        <v>1931349749943.6772</v>
      </c>
      <c r="L153" s="35">
        <f>(K153/$K$237)</f>
        <v>0.28224661414657692</v>
      </c>
      <c r="M153" s="35">
        <f t="shared" si="62"/>
        <v>-3.0391720741139713E-2</v>
      </c>
      <c r="N153" s="20"/>
      <c r="O153" s="20"/>
      <c r="P153" s="36"/>
      <c r="Q153" s="36"/>
      <c r="R153" s="37"/>
      <c r="S153" s="37"/>
      <c r="T153" s="39">
        <f>SUM(T115:T152)</f>
        <v>23839</v>
      </c>
      <c r="U153" s="39"/>
      <c r="V153" s="37"/>
    </row>
    <row r="154" spans="1:22" ht="4.2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</row>
    <row r="155" spans="1:22">
      <c r="A155" s="135" t="s">
        <v>154</v>
      </c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</row>
    <row r="156" spans="1:22">
      <c r="A156" s="97">
        <v>137</v>
      </c>
      <c r="B156" s="98" t="s">
        <v>227</v>
      </c>
      <c r="C156" s="98" t="s">
        <v>228</v>
      </c>
      <c r="D156" s="27">
        <v>2483617958.5500002</v>
      </c>
      <c r="E156" s="27">
        <v>37107050.289999999</v>
      </c>
      <c r="F156" s="27">
        <v>0</v>
      </c>
      <c r="G156" s="27">
        <v>17299821.030000001</v>
      </c>
      <c r="H156" s="12">
        <f t="shared" ref="H156:H161" si="77">(E156+F156)-G156</f>
        <v>19807229.259999998</v>
      </c>
      <c r="I156" s="28">
        <v>2524038590.0900002</v>
      </c>
      <c r="J156" s="13">
        <f>(I156/$I$162)</f>
        <v>5.9795584644235077E-3</v>
      </c>
      <c r="K156" s="28">
        <v>2539990194.0900002</v>
      </c>
      <c r="L156" s="13">
        <f>(K156/$K$162)</f>
        <v>6.020433232229767E-3</v>
      </c>
      <c r="M156" s="13">
        <f t="shared" ref="M156:M162" si="78">((K156-I156)/I156)</f>
        <v>6.319873262885101E-3</v>
      </c>
      <c r="N156" s="20">
        <f>(G156/K156)</f>
        <v>6.8109794558470693E-3</v>
      </c>
      <c r="O156" s="21">
        <f>H156/K156</f>
        <v>7.7981518614076047E-3</v>
      </c>
      <c r="P156" s="22">
        <f>K156/V156</f>
        <v>119.69793563100849</v>
      </c>
      <c r="Q156" s="22">
        <f>H156/V156</f>
        <v>0.9334226795475965</v>
      </c>
      <c r="R156" s="27">
        <v>119.7</v>
      </c>
      <c r="S156" s="27">
        <v>119.7</v>
      </c>
      <c r="T156" s="27">
        <v>8</v>
      </c>
      <c r="U156" s="27">
        <v>21220000</v>
      </c>
      <c r="V156" s="27">
        <v>21220000</v>
      </c>
    </row>
    <row r="157" spans="1:22">
      <c r="A157" s="97">
        <v>138</v>
      </c>
      <c r="B157" s="98" t="s">
        <v>281</v>
      </c>
      <c r="C157" s="98" t="s">
        <v>58</v>
      </c>
      <c r="D157" s="27">
        <v>117370277563.28</v>
      </c>
      <c r="E157" s="27">
        <v>3673464980.6100001</v>
      </c>
      <c r="F157" s="27"/>
      <c r="G157" s="27">
        <v>496255960.22000003</v>
      </c>
      <c r="H157" s="12">
        <f t="shared" si="77"/>
        <v>3177209020.3900003</v>
      </c>
      <c r="I157" s="28">
        <v>258485255301</v>
      </c>
      <c r="J157" s="13">
        <f t="shared" ref="J157:J161" si="79">(I157/$I$162)</f>
        <v>0.61236294180773732</v>
      </c>
      <c r="K157" s="28">
        <v>261829673486</v>
      </c>
      <c r="L157" s="13">
        <f t="shared" ref="L157:L161" si="80">(K157/$K$162)</f>
        <v>0.62060399725430171</v>
      </c>
      <c r="M157" s="13">
        <f t="shared" ref="M157:M161" si="81">((K157-I157)/I157)</f>
        <v>1.2938525956173027E-2</v>
      </c>
      <c r="N157" s="20">
        <f t="shared" ref="N157:N161" si="82">(G157/K157)</f>
        <v>1.8953388804746562E-3</v>
      </c>
      <c r="O157" s="21">
        <f t="shared" ref="O157:O161" si="83">H157/K157</f>
        <v>1.2134640730703448E-2</v>
      </c>
      <c r="P157" s="22">
        <f t="shared" ref="P157:P161" si="84">K157/V157</f>
        <v>104.73186939439999</v>
      </c>
      <c r="Q157" s="22">
        <f t="shared" ref="Q157:Q161" si="85">H157/V157</f>
        <v>1.2708836081560002</v>
      </c>
      <c r="R157" s="27">
        <v>104.7319</v>
      </c>
      <c r="S157" s="27">
        <v>104.7319</v>
      </c>
      <c r="T157" s="27">
        <v>45</v>
      </c>
      <c r="U157" s="27">
        <v>2500000000</v>
      </c>
      <c r="V157" s="27">
        <v>2500000000</v>
      </c>
    </row>
    <row r="158" spans="1:22">
      <c r="A158" s="97">
        <v>139</v>
      </c>
      <c r="B158" s="25" t="s">
        <v>155</v>
      </c>
      <c r="C158" s="25" t="s">
        <v>44</v>
      </c>
      <c r="D158" s="27">
        <v>96211483733</v>
      </c>
      <c r="E158" s="27">
        <v>1475613487</v>
      </c>
      <c r="F158" s="27">
        <v>0</v>
      </c>
      <c r="G158" s="27">
        <v>642602917</v>
      </c>
      <c r="H158" s="12">
        <f t="shared" si="77"/>
        <v>833010570</v>
      </c>
      <c r="I158" s="28">
        <v>115534227145</v>
      </c>
      <c r="J158" s="13">
        <f t="shared" si="79"/>
        <v>0.27370566700839521</v>
      </c>
      <c r="K158" s="28">
        <v>111485284106</v>
      </c>
      <c r="L158" s="13">
        <f t="shared" si="80"/>
        <v>0.26424893721954151</v>
      </c>
      <c r="M158" s="13">
        <f t="shared" si="81"/>
        <v>-3.5045398571960991E-2</v>
      </c>
      <c r="N158" s="20">
        <f t="shared" si="82"/>
        <v>5.764015602175928E-3</v>
      </c>
      <c r="O158" s="21">
        <f t="shared" si="83"/>
        <v>7.4719329701664937E-3</v>
      </c>
      <c r="P158" s="22">
        <f t="shared" si="84"/>
        <v>104.72853253759354</v>
      </c>
      <c r="Q158" s="22">
        <f t="shared" si="85"/>
        <v>0.78252457518479956</v>
      </c>
      <c r="R158" s="27">
        <v>104.73</v>
      </c>
      <c r="S158" s="27">
        <v>104.73</v>
      </c>
      <c r="T158" s="27">
        <v>851</v>
      </c>
      <c r="U158" s="27">
        <v>1064516817</v>
      </c>
      <c r="V158" s="27">
        <v>1064516817</v>
      </c>
    </row>
    <row r="159" spans="1:22">
      <c r="A159" s="97">
        <v>140</v>
      </c>
      <c r="B159" s="25" t="s">
        <v>156</v>
      </c>
      <c r="C159" s="25" t="s">
        <v>122</v>
      </c>
      <c r="D159" s="27">
        <v>2832874163.52</v>
      </c>
      <c r="E159" s="27">
        <v>34082421.560000002</v>
      </c>
      <c r="F159" s="27">
        <v>0</v>
      </c>
      <c r="G159" s="27">
        <v>3227535.25</v>
      </c>
      <c r="H159" s="12">
        <f t="shared" si="77"/>
        <v>30854886.310000002</v>
      </c>
      <c r="I159" s="28">
        <v>2572685855.1700001</v>
      </c>
      <c r="J159" s="13">
        <f t="shared" si="79"/>
        <v>6.0948059756233252E-3</v>
      </c>
      <c r="K159" s="28">
        <v>2603540741.48</v>
      </c>
      <c r="L159" s="13">
        <f t="shared" si="80"/>
        <v>6.1710644544775454E-3</v>
      </c>
      <c r="M159" s="13">
        <f t="shared" si="81"/>
        <v>1.1993258426012175E-2</v>
      </c>
      <c r="N159" s="20">
        <f t="shared" si="82"/>
        <v>1.2396714975795946E-3</v>
      </c>
      <c r="O159" s="21">
        <f t="shared" si="83"/>
        <v>1.1851124823366635E-2</v>
      </c>
      <c r="P159" s="22">
        <f t="shared" si="84"/>
        <v>130.177037074</v>
      </c>
      <c r="Q159" s="22">
        <f t="shared" si="85"/>
        <v>1.5427443155</v>
      </c>
      <c r="R159" s="27">
        <v>346.55</v>
      </c>
      <c r="S159" s="27">
        <v>346.55</v>
      </c>
      <c r="T159" s="27">
        <v>3552</v>
      </c>
      <c r="U159" s="27">
        <v>20000000</v>
      </c>
      <c r="V159" s="27">
        <v>20000000</v>
      </c>
    </row>
    <row r="160" spans="1:22">
      <c r="A160" s="97">
        <v>141</v>
      </c>
      <c r="B160" s="25" t="s">
        <v>157</v>
      </c>
      <c r="C160" s="25" t="s">
        <v>122</v>
      </c>
      <c r="D160" s="27">
        <v>11411808784.459999</v>
      </c>
      <c r="E160" s="27">
        <v>79207643.439999998</v>
      </c>
      <c r="F160" s="27">
        <v>0</v>
      </c>
      <c r="G160" s="27">
        <v>17572102.300000001</v>
      </c>
      <c r="H160" s="12">
        <f t="shared" si="77"/>
        <v>61635541.140000001</v>
      </c>
      <c r="I160" s="28">
        <v>10289232728.49</v>
      </c>
      <c r="J160" s="13">
        <f t="shared" si="79"/>
        <v>2.437564500623263E-2</v>
      </c>
      <c r="K160" s="28">
        <v>10350868269.629999</v>
      </c>
      <c r="L160" s="13">
        <f t="shared" si="80"/>
        <v>2.4534233028895305E-2</v>
      </c>
      <c r="M160" s="13">
        <f t="shared" si="81"/>
        <v>5.9902951722858675E-3</v>
      </c>
      <c r="N160" s="20">
        <f t="shared" si="82"/>
        <v>1.6976452450426296E-3</v>
      </c>
      <c r="O160" s="21">
        <f t="shared" si="83"/>
        <v>5.9546252096398496E-3</v>
      </c>
      <c r="P160" s="22">
        <f t="shared" si="84"/>
        <v>55.020622442652666</v>
      </c>
      <c r="Q160" s="22">
        <f t="shared" si="85"/>
        <v>0.32762718544709563</v>
      </c>
      <c r="R160" s="27">
        <v>57.6</v>
      </c>
      <c r="S160" s="27">
        <v>57.6</v>
      </c>
      <c r="T160" s="27">
        <v>5970</v>
      </c>
      <c r="U160" s="27">
        <v>188127066</v>
      </c>
      <c r="V160" s="27">
        <v>188127066</v>
      </c>
    </row>
    <row r="161" spans="1:22" ht="15.9" customHeight="1">
      <c r="A161" s="97">
        <v>142</v>
      </c>
      <c r="B161" s="25" t="s">
        <v>158</v>
      </c>
      <c r="C161" s="10" t="s">
        <v>159</v>
      </c>
      <c r="D161" s="27">
        <v>32699866484.009998</v>
      </c>
      <c r="E161" s="27">
        <v>236396484.68000001</v>
      </c>
      <c r="F161" s="27">
        <v>0</v>
      </c>
      <c r="G161" s="27">
        <v>26662943.390000001</v>
      </c>
      <c r="H161" s="12">
        <f t="shared" si="77"/>
        <v>209733541.29000002</v>
      </c>
      <c r="I161" s="28">
        <v>32705758908.91</v>
      </c>
      <c r="J161" s="13">
        <f t="shared" si="79"/>
        <v>7.7481381737588256E-2</v>
      </c>
      <c r="K161" s="28">
        <v>33085562739.889999</v>
      </c>
      <c r="L161" s="13">
        <f t="shared" si="80"/>
        <v>7.84213348105543E-2</v>
      </c>
      <c r="M161" s="13">
        <f t="shared" si="81"/>
        <v>1.161275089313185E-2</v>
      </c>
      <c r="N161" s="20">
        <f t="shared" si="82"/>
        <v>8.058784914621841E-4</v>
      </c>
      <c r="O161" s="21">
        <f t="shared" si="83"/>
        <v>6.3391257068489363E-3</v>
      </c>
      <c r="P161" s="22">
        <f t="shared" si="84"/>
        <v>12.399633073004807</v>
      </c>
      <c r="Q161" s="22">
        <f t="shared" si="85"/>
        <v>7.8602832768579045E-2</v>
      </c>
      <c r="R161" s="27">
        <v>12.4</v>
      </c>
      <c r="S161" s="27">
        <v>12.4</v>
      </c>
      <c r="T161" s="27">
        <v>210195</v>
      </c>
      <c r="U161" s="27">
        <v>2668269500</v>
      </c>
      <c r="V161" s="27">
        <v>2668269500</v>
      </c>
    </row>
    <row r="162" spans="1:22" ht="15" customHeight="1">
      <c r="A162" s="136" t="s">
        <v>51</v>
      </c>
      <c r="B162" s="136"/>
      <c r="C162" s="136"/>
      <c r="D162" s="136"/>
      <c r="E162" s="136"/>
      <c r="F162" s="136"/>
      <c r="G162" s="136"/>
      <c r="H162" s="136"/>
      <c r="I162" s="37">
        <f>SUM(I156:I161)</f>
        <v>422111198528.65991</v>
      </c>
      <c r="J162" s="35">
        <f>(I162/$I$237)</f>
        <v>6.356687975569851E-2</v>
      </c>
      <c r="K162" s="37">
        <f>SUM(K156:K161)</f>
        <v>421894919537.08997</v>
      </c>
      <c r="L162" s="35">
        <f>(K162/$K$237)</f>
        <v>6.1655540415949395E-2</v>
      </c>
      <c r="M162" s="35">
        <f t="shared" si="78"/>
        <v>-5.1237444617395456E-4</v>
      </c>
      <c r="N162" s="20"/>
      <c r="O162" s="20"/>
      <c r="P162" s="38"/>
      <c r="Q162" s="38"/>
      <c r="R162" s="37"/>
      <c r="S162" s="37"/>
      <c r="T162" s="37">
        <f>SUM(T156:T161)</f>
        <v>220621</v>
      </c>
      <c r="U162" s="37"/>
      <c r="V162" s="37"/>
    </row>
    <row r="163" spans="1:22" ht="4.9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</row>
    <row r="164" spans="1:22" ht="13.95" customHeight="1">
      <c r="A164" s="143" t="s">
        <v>302</v>
      </c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5"/>
    </row>
    <row r="165" spans="1:22">
      <c r="A165" s="97">
        <v>143</v>
      </c>
      <c r="B165" s="25" t="s">
        <v>161</v>
      </c>
      <c r="C165" s="25" t="s">
        <v>55</v>
      </c>
      <c r="D165" s="29">
        <v>542618810.83000004</v>
      </c>
      <c r="E165" s="29">
        <v>11293410.630000001</v>
      </c>
      <c r="F165" s="29">
        <v>1061009.52</v>
      </c>
      <c r="G165" s="10">
        <v>1092478.57</v>
      </c>
      <c r="H165" s="12">
        <f>(E165+F165)-G165</f>
        <v>11261941.58</v>
      </c>
      <c r="I165" s="10">
        <v>510739015.62</v>
      </c>
      <c r="J165" s="13">
        <f t="shared" ref="J165:J193" si="86">(I165/$I$194)</f>
        <v>6.757342655895642E-3</v>
      </c>
      <c r="K165" s="10">
        <v>553998002.04999995</v>
      </c>
      <c r="L165" s="13">
        <f t="shared" ref="L165" si="87">(K165/$K$194)</f>
        <v>7.1988465749572841E-3</v>
      </c>
      <c r="M165" s="13">
        <f t="shared" ref="M165:M194" si="88">((K165-I165)/I165)</f>
        <v>8.4698809190221519E-2</v>
      </c>
      <c r="N165" s="20">
        <f t="shared" ref="N165" si="89">(G165/K165)</f>
        <v>1.9719900901400736E-3</v>
      </c>
      <c r="O165" s="21">
        <f t="shared" ref="O165" si="90">H165/K165</f>
        <v>2.0328487717151688E-2</v>
      </c>
      <c r="P165" s="22">
        <f t="shared" ref="P165" si="91">K165/V165</f>
        <v>7.5165281146102805</v>
      </c>
      <c r="Q165" s="22">
        <f t="shared" ref="Q165" si="92">H165/V165</f>
        <v>0.15279964945348043</v>
      </c>
      <c r="R165" s="10">
        <v>7.4618000000000002</v>
      </c>
      <c r="S165" s="10">
        <v>7.5682999999999998</v>
      </c>
      <c r="T165" s="10">
        <v>11907</v>
      </c>
      <c r="U165" s="10">
        <v>68616860.530000001</v>
      </c>
      <c r="V165" s="10">
        <v>73703975.239999995</v>
      </c>
    </row>
    <row r="166" spans="1:22">
      <c r="A166" s="97">
        <v>144</v>
      </c>
      <c r="B166" s="25" t="s">
        <v>221</v>
      </c>
      <c r="C166" s="25" t="s">
        <v>222</v>
      </c>
      <c r="D166" s="29">
        <v>860441232.22000003</v>
      </c>
      <c r="E166" s="29">
        <v>3711008.21</v>
      </c>
      <c r="F166" s="29">
        <v>0</v>
      </c>
      <c r="G166" s="10">
        <v>1510654.05</v>
      </c>
      <c r="H166" s="12">
        <f>(E166+F166)-G166</f>
        <v>2200354.16</v>
      </c>
      <c r="I166" s="10">
        <v>1025044533.09</v>
      </c>
      <c r="J166" s="13">
        <f t="shared" si="86"/>
        <v>1.3561871985114214E-2</v>
      </c>
      <c r="K166" s="10">
        <v>1050068642.46</v>
      </c>
      <c r="L166" s="13">
        <f t="shared" ref="L166:L193" si="93">(K166/$K$194)</f>
        <v>1.364496446245481E-2</v>
      </c>
      <c r="M166" s="13">
        <f t="shared" ref="M166:M193" si="94">((K166-I166)/I166)</f>
        <v>2.4412704582272876E-2</v>
      </c>
      <c r="N166" s="20">
        <f t="shared" ref="N166:N193" si="95">(G166/K166)</f>
        <v>1.4386240945744124E-3</v>
      </c>
      <c r="O166" s="21">
        <f t="shared" ref="O166:O193" si="96">H166/K166</f>
        <v>2.0954384037649401E-3</v>
      </c>
      <c r="P166" s="22">
        <f t="shared" ref="P166:P193" si="97">K166/V166</f>
        <v>2157.5408158669561</v>
      </c>
      <c r="Q166" s="22">
        <f t="shared" ref="Q166:Q193" si="98">H166/V166</f>
        <v>4.5209938832579617</v>
      </c>
      <c r="R166" s="10">
        <v>2157.3200000000002</v>
      </c>
      <c r="S166" s="10">
        <v>2160.42</v>
      </c>
      <c r="T166" s="10">
        <v>153</v>
      </c>
      <c r="U166" s="10">
        <v>483151</v>
      </c>
      <c r="V166" s="10">
        <v>486697</v>
      </c>
    </row>
    <row r="167" spans="1:22">
      <c r="A167" s="97">
        <v>145</v>
      </c>
      <c r="B167" s="25" t="s">
        <v>162</v>
      </c>
      <c r="C167" s="10" t="s">
        <v>58</v>
      </c>
      <c r="D167" s="29">
        <v>7413602442.0600004</v>
      </c>
      <c r="E167" s="29">
        <v>63514748.079999998</v>
      </c>
      <c r="F167" s="29">
        <v>144837357.75999999</v>
      </c>
      <c r="G167" s="10">
        <v>25078958.829999998</v>
      </c>
      <c r="H167" s="12">
        <f t="shared" ref="H167:H193" si="99">(E167+F167)-G167</f>
        <v>183273147.00999999</v>
      </c>
      <c r="I167" s="10">
        <v>8790435927</v>
      </c>
      <c r="J167" s="13">
        <f t="shared" si="86"/>
        <v>0.1163020365329392</v>
      </c>
      <c r="K167" s="10">
        <v>8981350972</v>
      </c>
      <c r="L167" s="13">
        <f t="shared" si="93"/>
        <v>0.1167068607540504</v>
      </c>
      <c r="M167" s="13">
        <f t="shared" si="94"/>
        <v>2.1718495713460649E-2</v>
      </c>
      <c r="N167" s="20">
        <f t="shared" si="95"/>
        <v>2.7923370223683981E-3</v>
      </c>
      <c r="O167" s="21">
        <f t="shared" si="96"/>
        <v>2.0405966494502558E-2</v>
      </c>
      <c r="P167" s="22">
        <f t="shared" si="97"/>
        <v>998.96692237337083</v>
      </c>
      <c r="Q167" s="22">
        <f t="shared" si="98"/>
        <v>20.384885547067341</v>
      </c>
      <c r="R167" s="10">
        <v>993.97220000000004</v>
      </c>
      <c r="S167" s="10">
        <v>1023.9412</v>
      </c>
      <c r="T167" s="10">
        <v>21830</v>
      </c>
      <c r="U167" s="10">
        <v>8984913</v>
      </c>
      <c r="V167" s="10">
        <v>8990639</v>
      </c>
    </row>
    <row r="168" spans="1:22">
      <c r="A168" s="97">
        <v>146</v>
      </c>
      <c r="B168" s="25" t="s">
        <v>163</v>
      </c>
      <c r="C168" s="25" t="s">
        <v>105</v>
      </c>
      <c r="D168" s="29">
        <v>2478778494.71</v>
      </c>
      <c r="E168" s="29">
        <v>76462417.069999993</v>
      </c>
      <c r="F168" s="29">
        <v>31626143.280000001</v>
      </c>
      <c r="G168" s="10">
        <v>5181198.95</v>
      </c>
      <c r="H168" s="12">
        <f t="shared" si="99"/>
        <v>102907361.39999999</v>
      </c>
      <c r="I168" s="10">
        <v>2533095778.3299999</v>
      </c>
      <c r="J168" s="13">
        <f t="shared" si="86"/>
        <v>3.3514173836121944E-2</v>
      </c>
      <c r="K168" s="10">
        <v>2471981828.4200001</v>
      </c>
      <c r="L168" s="13">
        <f t="shared" si="93"/>
        <v>3.2121808838711075E-2</v>
      </c>
      <c r="M168" s="13">
        <f t="shared" si="94"/>
        <v>-2.4126189950184427E-2</v>
      </c>
      <c r="N168" s="20">
        <f t="shared" si="95"/>
        <v>2.0959696751944299E-3</v>
      </c>
      <c r="O168" s="21">
        <f t="shared" si="96"/>
        <v>4.1629497521741325E-2</v>
      </c>
      <c r="P168" s="22">
        <f t="shared" si="97"/>
        <v>5.9626716580015149</v>
      </c>
      <c r="Q168" s="22">
        <f t="shared" si="98"/>
        <v>0.24822302500973134</v>
      </c>
      <c r="R168" s="10">
        <v>5.8006000000000002</v>
      </c>
      <c r="S168" s="10">
        <v>5.6723999999999997</v>
      </c>
      <c r="T168" s="10">
        <v>2737</v>
      </c>
      <c r="U168" s="10">
        <v>414134325.83999997</v>
      </c>
      <c r="V168" s="10">
        <v>414576211.83999997</v>
      </c>
    </row>
    <row r="169" spans="1:22">
      <c r="A169" s="97">
        <v>147</v>
      </c>
      <c r="B169" s="25" t="s">
        <v>277</v>
      </c>
      <c r="C169" s="10" t="s">
        <v>103</v>
      </c>
      <c r="D169" s="29">
        <v>902348331.49000001</v>
      </c>
      <c r="E169" s="29">
        <v>7185654.8700000001</v>
      </c>
      <c r="F169" s="29">
        <v>0</v>
      </c>
      <c r="G169" s="10">
        <v>1562174.52</v>
      </c>
      <c r="H169" s="12">
        <f t="shared" ref="H169" si="100">(E169+F169)-G169</f>
        <v>5623480.3499999996</v>
      </c>
      <c r="I169" s="10">
        <v>918759192.37</v>
      </c>
      <c r="J169" s="13">
        <f t="shared" si="86"/>
        <v>1.2155661680871434E-2</v>
      </c>
      <c r="K169" s="10">
        <v>918873406.85000002</v>
      </c>
      <c r="L169" s="13">
        <f t="shared" si="93"/>
        <v>1.1940167028119437E-2</v>
      </c>
      <c r="M169" s="13">
        <f t="shared" si="94"/>
        <v>1.2431383647481696E-4</v>
      </c>
      <c r="N169" s="20">
        <f t="shared" si="95"/>
        <v>1.7000976503992074E-3</v>
      </c>
      <c r="O169" s="21">
        <f t="shared" si="96"/>
        <v>6.1199729016839371E-3</v>
      </c>
      <c r="P169" s="22">
        <f t="shared" si="97"/>
        <v>1.1232341676529447</v>
      </c>
      <c r="Q169" s="22">
        <f t="shared" si="98"/>
        <v>6.8741626682815348E-3</v>
      </c>
      <c r="R169" s="10">
        <v>1.1177999999999999</v>
      </c>
      <c r="S169" s="10">
        <v>1.1246</v>
      </c>
      <c r="T169" s="10">
        <v>206</v>
      </c>
      <c r="U169" s="10">
        <v>819865457.17999995</v>
      </c>
      <c r="V169" s="10">
        <v>818060412.78999996</v>
      </c>
    </row>
    <row r="170" spans="1:22">
      <c r="A170" s="97">
        <v>148</v>
      </c>
      <c r="B170" s="25" t="s">
        <v>164</v>
      </c>
      <c r="C170" s="25" t="s">
        <v>60</v>
      </c>
      <c r="D170" s="29">
        <v>6105548297.1499996</v>
      </c>
      <c r="E170" s="29">
        <v>49595914.340000004</v>
      </c>
      <c r="F170" s="29">
        <v>1825946941.8499999</v>
      </c>
      <c r="G170" s="10">
        <v>15370966.48</v>
      </c>
      <c r="H170" s="12">
        <f t="shared" si="99"/>
        <v>1860171889.7099998</v>
      </c>
      <c r="I170" s="10">
        <v>6076909819.2200003</v>
      </c>
      <c r="J170" s="13">
        <f t="shared" si="86"/>
        <v>8.0400675651532055E-2</v>
      </c>
      <c r="K170" s="10">
        <v>6049152346.9700003</v>
      </c>
      <c r="L170" s="13">
        <f t="shared" si="93"/>
        <v>7.8604831593687891E-2</v>
      </c>
      <c r="M170" s="13">
        <f t="shared" si="94"/>
        <v>-4.5676952720622738E-3</v>
      </c>
      <c r="N170" s="20">
        <f t="shared" si="95"/>
        <v>2.5410116324313214E-3</v>
      </c>
      <c r="O170" s="21">
        <f t="shared" si="96"/>
        <v>0.30750951257522113</v>
      </c>
      <c r="P170" s="22">
        <f t="shared" si="97"/>
        <v>11340.081234047964</v>
      </c>
      <c r="Q170" s="22">
        <f t="shared" si="98"/>
        <v>3487.1828528455017</v>
      </c>
      <c r="R170" s="10">
        <v>11340.08</v>
      </c>
      <c r="S170" s="10">
        <v>11429.73</v>
      </c>
      <c r="T170" s="10">
        <v>1270</v>
      </c>
      <c r="U170" s="10">
        <v>542206.62</v>
      </c>
      <c r="V170" s="10">
        <v>533431.13</v>
      </c>
    </row>
    <row r="171" spans="1:22" ht="14.1" customHeight="1">
      <c r="A171" s="97">
        <v>149</v>
      </c>
      <c r="B171" s="25" t="s">
        <v>165</v>
      </c>
      <c r="C171" s="10" t="s">
        <v>62</v>
      </c>
      <c r="D171" s="29">
        <v>896864452.27999997</v>
      </c>
      <c r="E171" s="29">
        <v>8065589.6299999999</v>
      </c>
      <c r="F171" s="29">
        <v>1408620.35</v>
      </c>
      <c r="G171" s="10">
        <v>2089955.33</v>
      </c>
      <c r="H171" s="12">
        <f t="shared" si="99"/>
        <v>7384254.6500000004</v>
      </c>
      <c r="I171" s="10">
        <v>993325484.89999998</v>
      </c>
      <c r="J171" s="13">
        <f t="shared" si="86"/>
        <v>1.3142212490179196E-2</v>
      </c>
      <c r="K171" s="10">
        <v>1109004752.8499999</v>
      </c>
      <c r="L171" s="13">
        <f t="shared" si="93"/>
        <v>1.4410801189035755E-2</v>
      </c>
      <c r="M171" s="13">
        <f t="shared" si="94"/>
        <v>0.11645655901161701</v>
      </c>
      <c r="N171" s="20">
        <f t="shared" si="95"/>
        <v>1.8845323472501656E-3</v>
      </c>
      <c r="O171" s="21">
        <f t="shared" si="96"/>
        <v>6.6584517613864263E-3</v>
      </c>
      <c r="P171" s="22">
        <f t="shared" si="97"/>
        <v>226.57854035624365</v>
      </c>
      <c r="Q171" s="22">
        <f t="shared" si="98"/>
        <v>1.5086622811273962</v>
      </c>
      <c r="R171" s="10">
        <v>227.92</v>
      </c>
      <c r="S171" s="10">
        <v>229.52</v>
      </c>
      <c r="T171" s="10">
        <v>506</v>
      </c>
      <c r="U171" s="10">
        <v>4435095</v>
      </c>
      <c r="V171" s="10">
        <v>4894571</v>
      </c>
    </row>
    <row r="172" spans="1:22">
      <c r="A172" s="97">
        <v>150</v>
      </c>
      <c r="B172" s="25" t="s">
        <v>166</v>
      </c>
      <c r="C172" s="10" t="s">
        <v>64</v>
      </c>
      <c r="D172" s="29">
        <v>736820430.59000003</v>
      </c>
      <c r="E172" s="29">
        <v>51980217.369999997</v>
      </c>
      <c r="F172" s="29">
        <v>44903178.310000002</v>
      </c>
      <c r="G172" s="10">
        <v>1332554.23</v>
      </c>
      <c r="H172" s="12">
        <f t="shared" si="99"/>
        <v>95550841.450000003</v>
      </c>
      <c r="I172" s="10">
        <v>623967262.32000005</v>
      </c>
      <c r="J172" s="13">
        <f t="shared" si="86"/>
        <v>8.2554112151369645E-3</v>
      </c>
      <c r="K172" s="10">
        <v>766699896.29999995</v>
      </c>
      <c r="L172" s="13">
        <f t="shared" si="93"/>
        <v>9.9627704469613266E-3</v>
      </c>
      <c r="M172" s="13">
        <f t="shared" si="94"/>
        <v>0.22875019668387639</v>
      </c>
      <c r="N172" s="20">
        <f t="shared" si="95"/>
        <v>1.7380388812242495E-3</v>
      </c>
      <c r="O172" s="21">
        <f t="shared" si="96"/>
        <v>0.12462613065570596</v>
      </c>
      <c r="P172" s="22">
        <f t="shared" si="97"/>
        <v>2.0334179292071557</v>
      </c>
      <c r="Q172" s="22">
        <f t="shared" si="98"/>
        <v>0.25341700852302601</v>
      </c>
      <c r="R172" s="10">
        <v>2.0125000000000002</v>
      </c>
      <c r="S172" s="10">
        <v>2.0468000000000002</v>
      </c>
      <c r="T172" s="10">
        <v>1920</v>
      </c>
      <c r="U172" s="10">
        <v>314361625.75</v>
      </c>
      <c r="V172" s="10">
        <v>377049835.79000002</v>
      </c>
    </row>
    <row r="173" spans="1:22">
      <c r="A173" s="97">
        <v>151</v>
      </c>
      <c r="B173" s="25" t="s">
        <v>223</v>
      </c>
      <c r="C173" s="25" t="s">
        <v>48</v>
      </c>
      <c r="D173" s="29">
        <v>167720678.83000001</v>
      </c>
      <c r="E173" s="29">
        <v>393930.78</v>
      </c>
      <c r="F173" s="29">
        <v>0</v>
      </c>
      <c r="G173" s="10">
        <v>378425.01</v>
      </c>
      <c r="H173" s="12">
        <f>(E173+F173)-G173</f>
        <v>15505.770000000019</v>
      </c>
      <c r="I173" s="10">
        <v>166206160.53999999</v>
      </c>
      <c r="J173" s="13">
        <f t="shared" si="86"/>
        <v>2.1989938969636082E-3</v>
      </c>
      <c r="K173" s="10">
        <v>167190238.28999999</v>
      </c>
      <c r="L173" s="13">
        <f t="shared" si="93"/>
        <v>2.1725292687456883E-3</v>
      </c>
      <c r="M173" s="13">
        <f t="shared" si="94"/>
        <v>5.9208259597764252E-3</v>
      </c>
      <c r="N173" s="20">
        <f t="shared" si="95"/>
        <v>2.263439623452193E-3</v>
      </c>
      <c r="O173" s="21">
        <f t="shared" si="96"/>
        <v>9.2743273522371978E-5</v>
      </c>
      <c r="P173" s="22">
        <f t="shared" si="97"/>
        <v>202.28278843068961</v>
      </c>
      <c r="Q173" s="22">
        <f t="shared" si="98"/>
        <v>1.8760367976295548E-2</v>
      </c>
      <c r="R173" s="10">
        <v>202.28280000000001</v>
      </c>
      <c r="S173" s="10">
        <v>202.28280000000001</v>
      </c>
      <c r="T173" s="10">
        <v>152</v>
      </c>
      <c r="U173" s="10">
        <v>836530.94</v>
      </c>
      <c r="V173" s="10">
        <v>826517.37</v>
      </c>
    </row>
    <row r="174" spans="1:22">
      <c r="A174" s="97">
        <v>152</v>
      </c>
      <c r="B174" s="25" t="s">
        <v>167</v>
      </c>
      <c r="C174" s="25" t="s">
        <v>168</v>
      </c>
      <c r="D174" s="29">
        <v>317704996.76999998</v>
      </c>
      <c r="E174" s="29">
        <v>2477710.63</v>
      </c>
      <c r="F174" s="29">
        <v>0</v>
      </c>
      <c r="G174" s="10">
        <v>777575.51</v>
      </c>
      <c r="H174" s="12">
        <f>(E174+F174)-G174</f>
        <v>1700135.1199999999</v>
      </c>
      <c r="I174" s="10">
        <v>329132199.27999997</v>
      </c>
      <c r="J174" s="13">
        <f t="shared" si="86"/>
        <v>4.3545900775245122E-3</v>
      </c>
      <c r="K174" s="10">
        <v>339922053.50999999</v>
      </c>
      <c r="L174" s="13">
        <f t="shared" si="93"/>
        <v>4.4170677540495123E-3</v>
      </c>
      <c r="M174" s="13">
        <f t="shared" si="94"/>
        <v>3.2782736704593446E-2</v>
      </c>
      <c r="N174" s="20">
        <f t="shared" si="95"/>
        <v>2.2875112160886169E-3</v>
      </c>
      <c r="O174" s="21">
        <f t="shared" si="96"/>
        <v>5.0015440376538689E-3</v>
      </c>
      <c r="P174" s="22">
        <f t="shared" si="97"/>
        <v>160.74290346972185</v>
      </c>
      <c r="Q174" s="22">
        <f t="shared" si="98"/>
        <v>0.80396271044415879</v>
      </c>
      <c r="R174" s="10">
        <v>128.76</v>
      </c>
      <c r="S174" s="10">
        <v>129.74</v>
      </c>
      <c r="T174" s="10">
        <v>99</v>
      </c>
      <c r="U174" s="10">
        <v>2100894</v>
      </c>
      <c r="V174" s="10">
        <v>2114694</v>
      </c>
    </row>
    <row r="175" spans="1:22">
      <c r="A175" s="97">
        <v>153</v>
      </c>
      <c r="B175" s="25" t="s">
        <v>169</v>
      </c>
      <c r="C175" s="10" t="s">
        <v>69</v>
      </c>
      <c r="D175" s="29">
        <v>486916106.94999999</v>
      </c>
      <c r="E175" s="29">
        <v>3807372.4</v>
      </c>
      <c r="F175" s="29">
        <v>8863296.0999999996</v>
      </c>
      <c r="G175" s="10">
        <v>1089564.83</v>
      </c>
      <c r="H175" s="12">
        <f t="shared" si="99"/>
        <v>11581103.67</v>
      </c>
      <c r="I175" s="10">
        <v>459178850.99000001</v>
      </c>
      <c r="J175" s="13">
        <f t="shared" si="86"/>
        <v>6.0751748771596531E-3</v>
      </c>
      <c r="K175" s="10">
        <v>482234440.04000002</v>
      </c>
      <c r="L175" s="13">
        <f t="shared" si="93"/>
        <v>6.266325391359592E-3</v>
      </c>
      <c r="M175" s="13">
        <f t="shared" si="94"/>
        <v>5.0210476811577101E-2</v>
      </c>
      <c r="N175" s="20">
        <f t="shared" si="95"/>
        <v>2.2594089918372973E-3</v>
      </c>
      <c r="O175" s="21">
        <f t="shared" si="96"/>
        <v>2.4015505132813367E-2</v>
      </c>
      <c r="P175" s="22">
        <f t="shared" si="97"/>
        <v>1.7372660351047273</v>
      </c>
      <c r="Q175" s="22">
        <f t="shared" si="98"/>
        <v>4.1721321383119903E-2</v>
      </c>
      <c r="R175" s="10">
        <v>1.7055</v>
      </c>
      <c r="S175" s="10">
        <v>1.7204999999999999</v>
      </c>
      <c r="T175" s="10">
        <v>108</v>
      </c>
      <c r="U175" s="10">
        <v>272382211.32999998</v>
      </c>
      <c r="V175" s="10">
        <v>277582379.61000001</v>
      </c>
    </row>
    <row r="176" spans="1:22">
      <c r="A176" s="97">
        <v>154</v>
      </c>
      <c r="B176" s="10" t="s">
        <v>170</v>
      </c>
      <c r="C176" s="10" t="s">
        <v>73</v>
      </c>
      <c r="D176" s="29">
        <v>14062479618.48</v>
      </c>
      <c r="E176" s="29">
        <v>81845327.109999999</v>
      </c>
      <c r="F176" s="29">
        <v>240577.69</v>
      </c>
      <c r="G176" s="10">
        <v>21541470.52</v>
      </c>
      <c r="H176" s="12">
        <v>249226793.88</v>
      </c>
      <c r="I176" s="10">
        <v>13303137670.23</v>
      </c>
      <c r="J176" s="13">
        <f t="shared" si="86"/>
        <v>0.17600742627263896</v>
      </c>
      <c r="K176" s="10">
        <v>13311736050.309999</v>
      </c>
      <c r="L176" s="13">
        <f t="shared" si="93"/>
        <v>0.17297742070893007</v>
      </c>
      <c r="M176" s="13">
        <f t="shared" si="94"/>
        <v>6.4634226098716043E-4</v>
      </c>
      <c r="N176" s="20">
        <f t="shared" si="95"/>
        <v>1.6182314942684241E-3</v>
      </c>
      <c r="O176" s="21">
        <f t="shared" si="96"/>
        <v>1.8722335910063066E-2</v>
      </c>
      <c r="P176" s="22">
        <f t="shared" si="97"/>
        <v>444.53633244276256</v>
      </c>
      <c r="Q176" s="22">
        <f t="shared" si="98"/>
        <v>8.3227585402208657</v>
      </c>
      <c r="R176" s="10">
        <v>447.53</v>
      </c>
      <c r="S176" s="10">
        <v>452.04</v>
      </c>
      <c r="T176" s="10">
        <v>5522</v>
      </c>
      <c r="U176" s="10">
        <v>29830362</v>
      </c>
      <c r="V176" s="10">
        <v>29945215</v>
      </c>
    </row>
    <row r="177" spans="1:22" ht="15.6" customHeight="1">
      <c r="A177" s="97">
        <v>155</v>
      </c>
      <c r="B177" s="10" t="s">
        <v>171</v>
      </c>
      <c r="C177" s="25" t="s">
        <v>250</v>
      </c>
      <c r="D177" s="29">
        <v>4281160250.6399999</v>
      </c>
      <c r="E177" s="29">
        <v>31153123.800000001</v>
      </c>
      <c r="F177" s="29">
        <v>11408534.25</v>
      </c>
      <c r="G177" s="10">
        <v>12698523.99</v>
      </c>
      <c r="H177" s="12">
        <v>31448345.73</v>
      </c>
      <c r="I177" s="10">
        <v>4211643975.4699998</v>
      </c>
      <c r="J177" s="13">
        <f t="shared" si="86"/>
        <v>5.5722238984115088E-2</v>
      </c>
      <c r="K177" s="10">
        <v>4226681457.3499999</v>
      </c>
      <c r="L177" s="13">
        <f t="shared" si="93"/>
        <v>5.4922998314231038E-2</v>
      </c>
      <c r="M177" s="13">
        <f t="shared" si="94"/>
        <v>3.5704541902362489E-3</v>
      </c>
      <c r="N177" s="20">
        <f t="shared" si="95"/>
        <v>3.0043721340575276E-3</v>
      </c>
      <c r="O177" s="21">
        <f t="shared" si="96"/>
        <v>7.4404343093593698E-3</v>
      </c>
      <c r="P177" s="22">
        <f t="shared" si="97"/>
        <v>2.9840825316123492</v>
      </c>
      <c r="Q177" s="22">
        <f t="shared" si="98"/>
        <v>2.2202870050168487E-2</v>
      </c>
      <c r="R177" s="10">
        <v>2.9525000000000001</v>
      </c>
      <c r="S177" s="10">
        <v>3.0106000000000002</v>
      </c>
      <c r="T177" s="10">
        <v>10288</v>
      </c>
      <c r="U177" s="10">
        <v>1413886120.97</v>
      </c>
      <c r="V177" s="10">
        <v>1416409034.46</v>
      </c>
    </row>
    <row r="178" spans="1:22">
      <c r="A178" s="97">
        <v>156</v>
      </c>
      <c r="B178" s="25" t="s">
        <v>172</v>
      </c>
      <c r="C178" s="10" t="s">
        <v>77</v>
      </c>
      <c r="D178" s="29">
        <v>227995608.59</v>
      </c>
      <c r="E178" s="29">
        <v>2545927.25</v>
      </c>
      <c r="F178" s="29">
        <v>0</v>
      </c>
      <c r="G178" s="10">
        <v>550146.05000000005</v>
      </c>
      <c r="H178" s="12">
        <f t="shared" si="99"/>
        <v>1995781.2</v>
      </c>
      <c r="I178" s="10">
        <v>304249114.29000002</v>
      </c>
      <c r="J178" s="13">
        <f t="shared" si="86"/>
        <v>4.0253739290203889E-3</v>
      </c>
      <c r="K178" s="10">
        <v>298381313.76999998</v>
      </c>
      <c r="L178" s="13">
        <f t="shared" si="93"/>
        <v>3.8772726448759931E-3</v>
      </c>
      <c r="M178" s="13">
        <f t="shared" si="94"/>
        <v>-1.9286171247180857E-2</v>
      </c>
      <c r="N178" s="20">
        <f t="shared" si="95"/>
        <v>1.8437684419610365E-3</v>
      </c>
      <c r="O178" s="21">
        <f t="shared" si="96"/>
        <v>6.6886936543834631E-3</v>
      </c>
      <c r="P178" s="22">
        <f t="shared" si="97"/>
        <v>340.13168955768623</v>
      </c>
      <c r="Q178" s="22">
        <f t="shared" si="98"/>
        <v>2.2750366735992218</v>
      </c>
      <c r="R178" s="10">
        <v>338.76170000000002</v>
      </c>
      <c r="S178" s="10">
        <v>341.09710000000001</v>
      </c>
      <c r="T178" s="10">
        <v>65</v>
      </c>
      <c r="U178" s="10">
        <v>877252.32</v>
      </c>
      <c r="V178" s="10">
        <v>877252.32</v>
      </c>
    </row>
    <row r="179" spans="1:22">
      <c r="A179" s="97">
        <v>157</v>
      </c>
      <c r="B179" s="25" t="s">
        <v>226</v>
      </c>
      <c r="C179" s="25" t="s">
        <v>225</v>
      </c>
      <c r="D179" s="29">
        <v>68730280.459999993</v>
      </c>
      <c r="E179" s="29">
        <v>3017289.62</v>
      </c>
      <c r="F179" s="29">
        <v>0</v>
      </c>
      <c r="G179" s="10">
        <v>99711.93</v>
      </c>
      <c r="H179" s="12">
        <f>(E179+F179)-G179</f>
        <v>2917577.69</v>
      </c>
      <c r="I179" s="25">
        <v>70045308.489999995</v>
      </c>
      <c r="J179" s="13">
        <f t="shared" si="86"/>
        <v>9.2673584047670585E-4</v>
      </c>
      <c r="K179" s="10">
        <v>69124959.799999997</v>
      </c>
      <c r="L179" s="13">
        <f t="shared" si="93"/>
        <v>8.9823425041048849E-4</v>
      </c>
      <c r="M179" s="13">
        <f t="shared" si="94"/>
        <v>-1.3139333808935841E-2</v>
      </c>
      <c r="N179" s="20">
        <f t="shared" si="95"/>
        <v>1.4424880721594286E-3</v>
      </c>
      <c r="O179" s="21">
        <f t="shared" si="96"/>
        <v>4.2207296733936042E-2</v>
      </c>
      <c r="P179" s="22">
        <f t="shared" si="97"/>
        <v>1.35985649743255</v>
      </c>
      <c r="Q179" s="22">
        <f t="shared" si="98"/>
        <v>5.739586670270657E-2</v>
      </c>
      <c r="R179" s="10">
        <v>1.329</v>
      </c>
      <c r="S179" s="10">
        <v>1.3540000000000001</v>
      </c>
      <c r="T179" s="10">
        <v>27</v>
      </c>
      <c r="U179" s="10">
        <v>50887000</v>
      </c>
      <c r="V179" s="10">
        <v>50832540</v>
      </c>
    </row>
    <row r="180" spans="1:22">
      <c r="A180" s="97">
        <v>158</v>
      </c>
      <c r="B180" s="10" t="s">
        <v>173</v>
      </c>
      <c r="C180" s="10" t="s">
        <v>36</v>
      </c>
      <c r="D180" s="29">
        <v>4920911938.6099997</v>
      </c>
      <c r="E180" s="29">
        <v>41919096.020000003</v>
      </c>
      <c r="F180" s="29">
        <v>103937886.53</v>
      </c>
      <c r="G180" s="10">
        <v>9878149.6600000001</v>
      </c>
      <c r="H180" s="12">
        <f t="shared" si="99"/>
        <v>135978832.89000002</v>
      </c>
      <c r="I180" s="10">
        <v>4388512716.96</v>
      </c>
      <c r="J180" s="13">
        <f t="shared" si="86"/>
        <v>5.8062304369396286E-2</v>
      </c>
      <c r="K180" s="10">
        <v>4791039836.21</v>
      </c>
      <c r="L180" s="13">
        <f t="shared" si="93"/>
        <v>6.2256471300904524E-2</v>
      </c>
      <c r="M180" s="13">
        <f t="shared" si="94"/>
        <v>9.172290140447345E-2</v>
      </c>
      <c r="N180" s="20">
        <f t="shared" si="95"/>
        <v>2.0617966031804503E-3</v>
      </c>
      <c r="O180" s="21">
        <f t="shared" si="96"/>
        <v>2.8381904041434026E-2</v>
      </c>
      <c r="P180" s="22">
        <f t="shared" si="97"/>
        <v>6.0668775824805916</v>
      </c>
      <c r="Q180" s="22">
        <f t="shared" si="98"/>
        <v>0.17218953737709139</v>
      </c>
      <c r="R180" s="10">
        <v>6.02</v>
      </c>
      <c r="S180" s="10">
        <v>6.17</v>
      </c>
      <c r="T180" s="10">
        <v>2856</v>
      </c>
      <c r="U180" s="10">
        <v>750934553.07000005</v>
      </c>
      <c r="V180" s="10">
        <v>789704386</v>
      </c>
    </row>
    <row r="181" spans="1:22">
      <c r="A181" s="97">
        <v>159</v>
      </c>
      <c r="B181" s="25" t="s">
        <v>254</v>
      </c>
      <c r="C181" s="25" t="s">
        <v>255</v>
      </c>
      <c r="D181" s="17">
        <v>108061421.45999999</v>
      </c>
      <c r="E181" s="17">
        <v>1848169.11</v>
      </c>
      <c r="F181" s="17">
        <v>1949741.07</v>
      </c>
      <c r="G181" s="17">
        <v>372383.06</v>
      </c>
      <c r="H181" s="12">
        <f t="shared" si="99"/>
        <v>3425527.12</v>
      </c>
      <c r="I181" s="17">
        <v>95521594.079999998</v>
      </c>
      <c r="J181" s="13">
        <f t="shared" si="86"/>
        <v>1.2638003412611359E-3</v>
      </c>
      <c r="K181" s="17">
        <v>104634532.88</v>
      </c>
      <c r="L181" s="13">
        <f t="shared" si="93"/>
        <v>1.3596582403874093E-3</v>
      </c>
      <c r="M181" s="13">
        <f t="shared" si="94"/>
        <v>9.5401871040467018E-2</v>
      </c>
      <c r="N181" s="20">
        <f t="shared" si="95"/>
        <v>3.5588925544023514E-3</v>
      </c>
      <c r="O181" s="21">
        <f t="shared" si="96"/>
        <v>3.2738017036197428E-2</v>
      </c>
      <c r="P181" s="22">
        <f t="shared" si="97"/>
        <v>2.6764074332119385</v>
      </c>
      <c r="Q181" s="22">
        <f t="shared" si="98"/>
        <v>8.7620272144297878E-2</v>
      </c>
      <c r="R181" s="17">
        <v>2.67</v>
      </c>
      <c r="S181" s="17">
        <v>2.68</v>
      </c>
      <c r="T181" s="17">
        <v>108</v>
      </c>
      <c r="U181" s="17">
        <v>36931617.93</v>
      </c>
      <c r="V181" s="17">
        <v>39095143.579999998</v>
      </c>
    </row>
    <row r="182" spans="1:22">
      <c r="A182" s="97">
        <v>160</v>
      </c>
      <c r="B182" s="10" t="s">
        <v>174</v>
      </c>
      <c r="C182" s="10" t="s">
        <v>115</v>
      </c>
      <c r="D182" s="29">
        <v>912482201.63</v>
      </c>
      <c r="E182" s="29">
        <v>5432326.2300000004</v>
      </c>
      <c r="F182" s="29">
        <v>5180753.3499999996</v>
      </c>
      <c r="G182" s="10">
        <v>1320247.72</v>
      </c>
      <c r="H182" s="12">
        <f t="shared" si="99"/>
        <v>9292831.8599999994</v>
      </c>
      <c r="I182" s="10">
        <v>768843553.34000003</v>
      </c>
      <c r="J182" s="13">
        <f t="shared" si="86"/>
        <v>1.0172199851205795E-2</v>
      </c>
      <c r="K182" s="10">
        <v>901954442.39999998</v>
      </c>
      <c r="L182" s="13">
        <f t="shared" si="93"/>
        <v>1.1720316001884664E-2</v>
      </c>
      <c r="M182" s="13">
        <f t="shared" si="94"/>
        <v>0.17313130672910162</v>
      </c>
      <c r="N182" s="20">
        <f t="shared" si="95"/>
        <v>1.463763199044697E-3</v>
      </c>
      <c r="O182" s="21">
        <f t="shared" si="96"/>
        <v>1.0302994722519257E-2</v>
      </c>
      <c r="P182" s="22">
        <f t="shared" si="97"/>
        <v>344.53654533603031</v>
      </c>
      <c r="Q182" s="22">
        <f t="shared" si="98"/>
        <v>3.5497582083121371</v>
      </c>
      <c r="R182" s="10">
        <v>342.41489999999999</v>
      </c>
      <c r="S182" s="10">
        <v>346.07839999999999</v>
      </c>
      <c r="T182" s="10">
        <v>164</v>
      </c>
      <c r="U182" s="10">
        <v>2250355.2400000002</v>
      </c>
      <c r="V182" s="10">
        <v>2617877.42</v>
      </c>
    </row>
    <row r="183" spans="1:22">
      <c r="A183" s="97">
        <v>161</v>
      </c>
      <c r="B183" s="25" t="s">
        <v>175</v>
      </c>
      <c r="C183" s="10" t="s">
        <v>32</v>
      </c>
      <c r="D183" s="29">
        <v>2176778194.4499998</v>
      </c>
      <c r="E183" s="29">
        <v>16852216.120000001</v>
      </c>
      <c r="F183" s="29">
        <v>-15484904.93</v>
      </c>
      <c r="G183" s="10">
        <v>5531294.4100000001</v>
      </c>
      <c r="H183" s="12">
        <f t="shared" si="99"/>
        <v>-4163983.2199999988</v>
      </c>
      <c r="I183" s="10">
        <v>2051196099</v>
      </c>
      <c r="J183" s="13">
        <f t="shared" si="86"/>
        <v>2.7138390589866408E-2</v>
      </c>
      <c r="K183" s="10">
        <v>2089212674.47</v>
      </c>
      <c r="L183" s="13">
        <f t="shared" si="93"/>
        <v>2.7147970661107745E-2</v>
      </c>
      <c r="M183" s="13">
        <f t="shared" si="94"/>
        <v>1.8533857142441858E-2</v>
      </c>
      <c r="N183" s="20">
        <f t="shared" si="95"/>
        <v>2.6475497097983103E-3</v>
      </c>
      <c r="O183" s="21">
        <f t="shared" si="96"/>
        <v>-1.993087286365585E-3</v>
      </c>
      <c r="P183" s="22">
        <f t="shared" si="97"/>
        <v>2800.740900154166</v>
      </c>
      <c r="Q183" s="22">
        <f t="shared" si="98"/>
        <v>-5.5821210805013726</v>
      </c>
      <c r="R183" s="10">
        <v>552.22</v>
      </c>
      <c r="S183" s="10">
        <v>552.22</v>
      </c>
      <c r="T183" s="10">
        <v>823</v>
      </c>
      <c r="U183" s="10">
        <v>745950</v>
      </c>
      <c r="V183" s="10">
        <v>745950</v>
      </c>
    </row>
    <row r="184" spans="1:22">
      <c r="A184" s="97">
        <v>162</v>
      </c>
      <c r="B184" s="25" t="s">
        <v>176</v>
      </c>
      <c r="C184" s="10" t="s">
        <v>83</v>
      </c>
      <c r="D184" s="29">
        <v>35844521.219999999</v>
      </c>
      <c r="E184" s="29">
        <v>249533.25</v>
      </c>
      <c r="F184" s="29">
        <v>51224</v>
      </c>
      <c r="G184" s="10">
        <v>14837.79</v>
      </c>
      <c r="H184" s="12">
        <f t="shared" si="99"/>
        <v>285919.46000000002</v>
      </c>
      <c r="I184" s="10">
        <v>48627849.170000002</v>
      </c>
      <c r="J184" s="13">
        <f t="shared" si="86"/>
        <v>6.4337172099924664E-4</v>
      </c>
      <c r="K184" s="10">
        <v>49470953.310000002</v>
      </c>
      <c r="L184" s="13">
        <f t="shared" si="93"/>
        <v>6.428431176244984E-4</v>
      </c>
      <c r="M184" s="13">
        <f t="shared" si="94"/>
        <v>1.7337886712870228E-2</v>
      </c>
      <c r="N184" s="20">
        <f t="shared" si="95"/>
        <v>2.9992933241091812E-4</v>
      </c>
      <c r="O184" s="21">
        <f t="shared" si="96"/>
        <v>5.7795421529142962E-3</v>
      </c>
      <c r="P184" s="22">
        <f t="shared" si="97"/>
        <v>2.6483187316201784</v>
      </c>
      <c r="Q184" s="22">
        <f t="shared" si="98"/>
        <v>1.5306069743751342E-2</v>
      </c>
      <c r="R184" s="10">
        <v>2.5499999999999998</v>
      </c>
      <c r="S184" s="10">
        <v>2.5499999999999998</v>
      </c>
      <c r="T184" s="10">
        <v>8</v>
      </c>
      <c r="U184" s="10">
        <v>18492671.969999999</v>
      </c>
      <c r="V184" s="10">
        <v>18680135.710000001</v>
      </c>
    </row>
    <row r="185" spans="1:22">
      <c r="A185" s="97">
        <v>163</v>
      </c>
      <c r="B185" s="10" t="s">
        <v>177</v>
      </c>
      <c r="C185" s="10" t="s">
        <v>42</v>
      </c>
      <c r="D185" s="29">
        <v>367722820.56</v>
      </c>
      <c r="E185" s="29">
        <v>5824778.3399999999</v>
      </c>
      <c r="F185" s="29">
        <v>141504195.43000001</v>
      </c>
      <c r="G185" s="10">
        <v>516748.87</v>
      </c>
      <c r="H185" s="12">
        <f t="shared" si="99"/>
        <v>146812224.90000001</v>
      </c>
      <c r="I185" s="10">
        <v>367124935.07999998</v>
      </c>
      <c r="J185" s="13">
        <f t="shared" si="86"/>
        <v>4.8572537205670589E-3</v>
      </c>
      <c r="K185" s="10">
        <v>368768169.42000002</v>
      </c>
      <c r="L185" s="13">
        <f t="shared" si="93"/>
        <v>4.7919044176315271E-3</v>
      </c>
      <c r="M185" s="13">
        <f t="shared" si="94"/>
        <v>4.4759540499256937E-3</v>
      </c>
      <c r="N185" s="20">
        <f t="shared" si="95"/>
        <v>1.401283822334082E-3</v>
      </c>
      <c r="O185" s="21">
        <f t="shared" si="96"/>
        <v>0.39811523085332129</v>
      </c>
      <c r="P185" s="22">
        <f t="shared" si="97"/>
        <v>3.5118906737416142</v>
      </c>
      <c r="Q185" s="22">
        <f t="shared" si="98"/>
        <v>1.3981371663082687</v>
      </c>
      <c r="R185" s="10">
        <v>3.44</v>
      </c>
      <c r="S185" s="10">
        <v>3.52</v>
      </c>
      <c r="T185" s="10">
        <v>125</v>
      </c>
      <c r="U185" s="10">
        <v>99663349.900000006</v>
      </c>
      <c r="V185" s="10">
        <v>105005594.90000001</v>
      </c>
    </row>
    <row r="186" spans="1:22">
      <c r="A186" s="97">
        <v>164</v>
      </c>
      <c r="B186" s="10" t="s">
        <v>308</v>
      </c>
      <c r="C186" s="10" t="s">
        <v>309</v>
      </c>
      <c r="D186" s="29">
        <v>203494513.02000001</v>
      </c>
      <c r="E186" s="29">
        <v>2548106.2799999998</v>
      </c>
      <c r="F186" s="29">
        <v>2661894.7599999998</v>
      </c>
      <c r="G186" s="10">
        <v>335177.78999999998</v>
      </c>
      <c r="H186" s="12">
        <f t="shared" ref="H186" si="101">(E186+F186)-G186</f>
        <v>4874823.2499999991</v>
      </c>
      <c r="I186" s="10">
        <v>0</v>
      </c>
      <c r="J186" s="13">
        <f t="shared" si="86"/>
        <v>0</v>
      </c>
      <c r="K186" s="10">
        <v>217429110.78</v>
      </c>
      <c r="L186" s="13">
        <f t="shared" si="93"/>
        <v>2.825351000622099E-3</v>
      </c>
      <c r="M186" s="13" t="e">
        <f t="shared" si="94"/>
        <v>#DIV/0!</v>
      </c>
      <c r="N186" s="20">
        <f t="shared" si="95"/>
        <v>1.5415497437191881E-3</v>
      </c>
      <c r="O186" s="21">
        <f t="shared" si="96"/>
        <v>2.2420287846977686E-2</v>
      </c>
      <c r="P186" s="22">
        <f t="shared" si="97"/>
        <v>108.34728302043581</v>
      </c>
      <c r="Q186" s="22">
        <f t="shared" si="98"/>
        <v>2.4291772727561289</v>
      </c>
      <c r="R186" s="10">
        <v>108.03</v>
      </c>
      <c r="S186" s="10">
        <v>108.54</v>
      </c>
      <c r="T186" s="10">
        <v>81</v>
      </c>
      <c r="U186" s="10">
        <v>1951666.86</v>
      </c>
      <c r="V186" s="10">
        <v>2006779.54</v>
      </c>
    </row>
    <row r="187" spans="1:22">
      <c r="A187" s="97">
        <v>165</v>
      </c>
      <c r="B187" s="25" t="s">
        <v>178</v>
      </c>
      <c r="C187" s="25" t="s">
        <v>46</v>
      </c>
      <c r="D187" s="29">
        <v>3770000311.5100002</v>
      </c>
      <c r="E187" s="29">
        <v>34399960.460000001</v>
      </c>
      <c r="F187" s="29">
        <v>24888773.879999999</v>
      </c>
      <c r="G187" s="10">
        <v>8932713.7899999991</v>
      </c>
      <c r="H187" s="12">
        <f t="shared" si="99"/>
        <v>50356020.550000004</v>
      </c>
      <c r="I187" s="10">
        <v>3826927034.3099999</v>
      </c>
      <c r="J187" s="13">
        <f t="shared" si="86"/>
        <v>5.0632233878884665E-2</v>
      </c>
      <c r="K187" s="10">
        <v>3965691552.5799999</v>
      </c>
      <c r="L187" s="13">
        <f t="shared" si="93"/>
        <v>5.1531602902876519E-2</v>
      </c>
      <c r="M187" s="13">
        <f t="shared" si="94"/>
        <v>3.6260037629648564E-2</v>
      </c>
      <c r="N187" s="20">
        <f t="shared" si="95"/>
        <v>2.2524983780416695E-3</v>
      </c>
      <c r="O187" s="21">
        <f t="shared" si="96"/>
        <v>1.2697916588404204E-2</v>
      </c>
      <c r="P187" s="22">
        <f t="shared" si="97"/>
        <v>9215.6756021829515</v>
      </c>
      <c r="Q187" s="22">
        <f t="shared" si="98"/>
        <v>117.01988010231081</v>
      </c>
      <c r="R187" s="10">
        <v>9160.36</v>
      </c>
      <c r="S187" s="10">
        <v>9253.58</v>
      </c>
      <c r="T187" s="10">
        <v>2964</v>
      </c>
      <c r="U187" s="10">
        <v>423896.72</v>
      </c>
      <c r="V187" s="10">
        <v>430320.22</v>
      </c>
    </row>
    <row r="188" spans="1:22">
      <c r="A188" s="97">
        <v>166</v>
      </c>
      <c r="B188" s="25" t="s">
        <v>300</v>
      </c>
      <c r="C188" s="25" t="s">
        <v>298</v>
      </c>
      <c r="D188" s="29">
        <v>118927033.44</v>
      </c>
      <c r="E188" s="29">
        <v>5571128.2599999998</v>
      </c>
      <c r="F188" s="29">
        <v>16671974.85</v>
      </c>
      <c r="G188" s="10">
        <v>1440460.88</v>
      </c>
      <c r="H188" s="12">
        <f t="shared" si="99"/>
        <v>20802642.23</v>
      </c>
      <c r="I188" s="10">
        <v>133945309.34999999</v>
      </c>
      <c r="J188" s="13">
        <f t="shared" si="86"/>
        <v>1.7721660667124662E-3</v>
      </c>
      <c r="K188" s="10">
        <v>141867679.354</v>
      </c>
      <c r="L188" s="13">
        <f t="shared" si="93"/>
        <v>1.8434789545008275E-3</v>
      </c>
      <c r="M188" s="13">
        <f t="shared" si="94"/>
        <v>5.9146304132971179E-2</v>
      </c>
      <c r="N188" s="20">
        <f t="shared" si="95"/>
        <v>1.015355214492261E-2</v>
      </c>
      <c r="O188" s="21">
        <f t="shared" si="96"/>
        <v>0.14663411937606677</v>
      </c>
      <c r="P188" s="22">
        <f t="shared" si="97"/>
        <v>1394.3002136248915</v>
      </c>
      <c r="Q188" s="22">
        <f t="shared" si="98"/>
        <v>204.45198397074776</v>
      </c>
      <c r="R188" s="10">
        <v>1367.1436000000001</v>
      </c>
      <c r="S188" s="10">
        <v>1388.0754999999999</v>
      </c>
      <c r="T188" s="10">
        <v>21</v>
      </c>
      <c r="U188" s="10">
        <v>97069.925499999998</v>
      </c>
      <c r="V188" s="10">
        <v>101748.3021</v>
      </c>
    </row>
    <row r="189" spans="1:22">
      <c r="A189" s="97">
        <v>167</v>
      </c>
      <c r="B189" s="25" t="s">
        <v>224</v>
      </c>
      <c r="C189" s="25" t="s">
        <v>225</v>
      </c>
      <c r="D189" s="29">
        <v>777219132.25</v>
      </c>
      <c r="E189" s="29">
        <v>81706094.030000001</v>
      </c>
      <c r="F189" s="29">
        <v>0</v>
      </c>
      <c r="G189" s="10">
        <v>1125506.96</v>
      </c>
      <c r="H189" s="12">
        <f t="shared" si="99"/>
        <v>80580587.070000008</v>
      </c>
      <c r="I189" s="10">
        <v>759149810.79999995</v>
      </c>
      <c r="J189" s="13">
        <f t="shared" si="86"/>
        <v>1.0043946598649212E-2</v>
      </c>
      <c r="K189" s="10">
        <v>770212396.19000006</v>
      </c>
      <c r="L189" s="13">
        <f t="shared" si="93"/>
        <v>1.0008413116626374E-2</v>
      </c>
      <c r="M189" s="13">
        <f t="shared" si="94"/>
        <v>1.4572335041936238E-2</v>
      </c>
      <c r="N189" s="20">
        <f t="shared" si="95"/>
        <v>1.4612942683960048E-3</v>
      </c>
      <c r="O189" s="21">
        <f t="shared" si="96"/>
        <v>0.10462125443398078</v>
      </c>
      <c r="P189" s="22">
        <f t="shared" si="97"/>
        <v>1.464300164105254</v>
      </c>
      <c r="Q189" s="22">
        <f t="shared" si="98"/>
        <v>0.15319692003657559</v>
      </c>
      <c r="R189" s="10">
        <v>1.4510000000000001</v>
      </c>
      <c r="S189" s="10">
        <v>1.4510000000000001</v>
      </c>
      <c r="T189" s="10">
        <v>42</v>
      </c>
      <c r="U189" s="10">
        <v>524993519</v>
      </c>
      <c r="V189" s="10">
        <v>525993519</v>
      </c>
    </row>
    <row r="190" spans="1:22">
      <c r="A190" s="97">
        <v>168</v>
      </c>
      <c r="B190" s="25" t="s">
        <v>179</v>
      </c>
      <c r="C190" s="25" t="s">
        <v>50</v>
      </c>
      <c r="D190" s="29">
        <v>2494465269</v>
      </c>
      <c r="E190" s="29">
        <v>21570789</v>
      </c>
      <c r="F190" s="29">
        <v>15168732</v>
      </c>
      <c r="G190" s="10">
        <v>5237580</v>
      </c>
      <c r="H190" s="12">
        <f t="shared" si="99"/>
        <v>31501941</v>
      </c>
      <c r="I190" s="10">
        <v>3206704457.29</v>
      </c>
      <c r="J190" s="13">
        <f t="shared" si="86"/>
        <v>4.2426366796732874E-2</v>
      </c>
      <c r="K190" s="10">
        <v>3300300924.8299999</v>
      </c>
      <c r="L190" s="13">
        <f t="shared" si="93"/>
        <v>4.2885281031927874E-2</v>
      </c>
      <c r="M190" s="13">
        <f t="shared" si="94"/>
        <v>2.9187743612362316E-2</v>
      </c>
      <c r="N190" s="20">
        <f t="shared" si="95"/>
        <v>1.5870007369918216E-3</v>
      </c>
      <c r="O190" s="21">
        <f t="shared" si="96"/>
        <v>9.5451723092865176E-3</v>
      </c>
      <c r="P190" s="22">
        <f t="shared" si="97"/>
        <v>2.1426022376003724</v>
      </c>
      <c r="Q190" s="22">
        <f t="shared" si="98"/>
        <v>2.0451507548158408E-2</v>
      </c>
      <c r="R190" s="10">
        <v>2.14</v>
      </c>
      <c r="S190" s="10">
        <v>2.16</v>
      </c>
      <c r="T190" s="10">
        <v>1518</v>
      </c>
      <c r="U190" s="10">
        <v>1483132263.9400001</v>
      </c>
      <c r="V190" s="10">
        <v>1540323662</v>
      </c>
    </row>
    <row r="191" spans="1:22">
      <c r="A191" s="97">
        <v>169</v>
      </c>
      <c r="B191" s="123" t="s">
        <v>180</v>
      </c>
      <c r="C191" s="25" t="s">
        <v>90</v>
      </c>
      <c r="D191" s="29">
        <v>10417849519.459999</v>
      </c>
      <c r="E191" s="29">
        <v>198539651.15000001</v>
      </c>
      <c r="F191" s="29">
        <v>407342677.01999998</v>
      </c>
      <c r="G191" s="10">
        <v>18813612.469999999</v>
      </c>
      <c r="H191" s="12">
        <f t="shared" si="99"/>
        <v>587068715.69999993</v>
      </c>
      <c r="I191" s="10">
        <v>12149549334.33</v>
      </c>
      <c r="J191" s="13">
        <f t="shared" si="86"/>
        <v>0.16074485296000893</v>
      </c>
      <c r="K191" s="10">
        <v>11946946014.25</v>
      </c>
      <c r="L191" s="13">
        <f t="shared" si="93"/>
        <v>0.15524285480748187</v>
      </c>
      <c r="M191" s="13">
        <f t="shared" si="94"/>
        <v>-1.6675788912393654E-2</v>
      </c>
      <c r="N191" s="20">
        <f t="shared" si="95"/>
        <v>1.5747633284321886E-3</v>
      </c>
      <c r="O191" s="21">
        <f t="shared" si="96"/>
        <v>4.9139647488132945E-2</v>
      </c>
      <c r="P191" s="22">
        <f t="shared" si="97"/>
        <v>697.51498460545588</v>
      </c>
      <c r="Q191" s="22">
        <f t="shared" si="98"/>
        <v>34.275640461202585</v>
      </c>
      <c r="R191" s="10">
        <v>691.85</v>
      </c>
      <c r="S191" s="10">
        <v>700.43</v>
      </c>
      <c r="T191" s="10">
        <v>35</v>
      </c>
      <c r="U191" s="10">
        <v>17092601.66</v>
      </c>
      <c r="V191" s="10">
        <v>17127870.050000001</v>
      </c>
    </row>
    <row r="192" spans="1:22">
      <c r="A192" s="97">
        <v>170</v>
      </c>
      <c r="B192" s="25" t="s">
        <v>181</v>
      </c>
      <c r="C192" s="25" t="s">
        <v>50</v>
      </c>
      <c r="D192" s="29">
        <v>1113948323.6900001</v>
      </c>
      <c r="E192" s="29">
        <v>16611643</v>
      </c>
      <c r="F192" s="29">
        <v>2946098.65</v>
      </c>
      <c r="G192" s="10">
        <v>3138494</v>
      </c>
      <c r="H192" s="12">
        <f t="shared" si="99"/>
        <v>16419247.649999999</v>
      </c>
      <c r="I192" s="10">
        <v>1963596385</v>
      </c>
      <c r="J192" s="13">
        <f t="shared" si="86"/>
        <v>2.5979400839811997E-2</v>
      </c>
      <c r="K192" s="10">
        <v>1932731974</v>
      </c>
      <c r="L192" s="13">
        <f t="shared" si="93"/>
        <v>2.5114604926110548E-2</v>
      </c>
      <c r="M192" s="13">
        <f t="shared" si="94"/>
        <v>-1.5718307100061196E-2</v>
      </c>
      <c r="N192" s="20">
        <f t="shared" si="95"/>
        <v>1.6238640650749641E-3</v>
      </c>
      <c r="O192" s="21">
        <f t="shared" si="96"/>
        <v>8.4953567648692503E-3</v>
      </c>
      <c r="P192" s="22">
        <f t="shared" si="97"/>
        <v>1.6918362683896035</v>
      </c>
      <c r="Q192" s="22">
        <f t="shared" si="98"/>
        <v>1.4372752687714764E-2</v>
      </c>
      <c r="R192" s="10">
        <v>1.69</v>
      </c>
      <c r="S192" s="10">
        <v>1.7</v>
      </c>
      <c r="T192" s="10">
        <v>332</v>
      </c>
      <c r="U192" s="10">
        <v>1137236113</v>
      </c>
      <c r="V192" s="10">
        <v>1142387127</v>
      </c>
    </row>
    <row r="193" spans="1:22">
      <c r="A193" s="97">
        <v>171</v>
      </c>
      <c r="B193" s="25" t="s">
        <v>182</v>
      </c>
      <c r="C193" s="25" t="s">
        <v>94</v>
      </c>
      <c r="D193" s="29">
        <v>5602055726.8199997</v>
      </c>
      <c r="E193" s="29">
        <v>26974841.02</v>
      </c>
      <c r="F193" s="29">
        <v>25278620.620000001</v>
      </c>
      <c r="G193" s="10">
        <v>47652926.189999998</v>
      </c>
      <c r="H193" s="12">
        <f t="shared" si="99"/>
        <v>4600535.450000003</v>
      </c>
      <c r="I193" s="10">
        <v>5507250922.3299999</v>
      </c>
      <c r="J193" s="13">
        <f t="shared" si="86"/>
        <v>7.2863792340214256E-2</v>
      </c>
      <c r="K193" s="10">
        <v>5579834600.4099998</v>
      </c>
      <c r="L193" s="13">
        <f t="shared" si="93"/>
        <v>7.2506350299733319E-2</v>
      </c>
      <c r="M193" s="13">
        <f t="shared" si="94"/>
        <v>1.3179656983795342E-2</v>
      </c>
      <c r="N193" s="20">
        <f t="shared" si="95"/>
        <v>8.5402040745972147E-3</v>
      </c>
      <c r="O193" s="21">
        <f t="shared" si="96"/>
        <v>8.2449315785488708E-4</v>
      </c>
      <c r="P193" s="22">
        <f t="shared" si="97"/>
        <v>33.028559795068936</v>
      </c>
      <c r="Q193" s="22">
        <f t="shared" si="98"/>
        <v>2.7231821564835352E-2</v>
      </c>
      <c r="R193" s="10">
        <v>33.028599999999997</v>
      </c>
      <c r="S193" s="10">
        <v>33.4223</v>
      </c>
      <c r="T193" s="10">
        <v>6150</v>
      </c>
      <c r="U193" s="10">
        <v>168965785.25</v>
      </c>
      <c r="V193" s="10">
        <v>168939688.41</v>
      </c>
    </row>
    <row r="194" spans="1:22" ht="15" customHeight="1">
      <c r="A194" s="136" t="s">
        <v>51</v>
      </c>
      <c r="B194" s="136"/>
      <c r="C194" s="136"/>
      <c r="D194" s="136"/>
      <c r="E194" s="136"/>
      <c r="F194" s="136"/>
      <c r="G194" s="136"/>
      <c r="H194" s="136"/>
      <c r="I194" s="37">
        <f>SUM(I165:I193)</f>
        <v>75582820293.180008</v>
      </c>
      <c r="J194" s="35">
        <f>(I194/$I$237)</f>
        <v>1.1382223608187284E-2</v>
      </c>
      <c r="K194" s="37">
        <f>SUM(K165:K193)</f>
        <v>76956495222.053986</v>
      </c>
      <c r="L194" s="35">
        <f>(K194/$K$237)</f>
        <v>1.1246388808472101E-2</v>
      </c>
      <c r="M194" s="35">
        <f t="shared" si="88"/>
        <v>1.8174433337438286E-2</v>
      </c>
      <c r="N194" s="20"/>
      <c r="O194" s="20"/>
      <c r="P194" s="36"/>
      <c r="Q194" s="36"/>
      <c r="R194" s="37"/>
      <c r="S194" s="37"/>
      <c r="T194" s="37">
        <f>SUM(T165:T193)</f>
        <v>72017</v>
      </c>
      <c r="U194" s="37"/>
      <c r="V194" s="40"/>
    </row>
    <row r="195" spans="1:22" ht="6" customHeight="1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</row>
    <row r="196" spans="1:22">
      <c r="A196" s="135" t="s">
        <v>183</v>
      </c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</row>
    <row r="197" spans="1:22">
      <c r="A197" s="97">
        <v>172</v>
      </c>
      <c r="B197" s="10" t="s">
        <v>184</v>
      </c>
      <c r="C197" s="25" t="s">
        <v>46</v>
      </c>
      <c r="D197" s="10">
        <v>6729211696.79</v>
      </c>
      <c r="E197" s="10">
        <v>98582473.659999996</v>
      </c>
      <c r="F197" s="25">
        <v>13916665.65</v>
      </c>
      <c r="G197" s="10">
        <v>22825798.440000001</v>
      </c>
      <c r="H197" s="12">
        <f>(E197+F197)-G197</f>
        <v>89673340.870000005</v>
      </c>
      <c r="I197" s="10">
        <v>6776813945.8199997</v>
      </c>
      <c r="J197" s="13">
        <f t="shared" ref="J197:J198" si="102">(I197/$I$199)</f>
        <v>0.8267546399036374</v>
      </c>
      <c r="K197" s="10">
        <v>6725546426.9399996</v>
      </c>
      <c r="L197" s="13">
        <f t="shared" ref="L197" si="103">(K197/$K$199)</f>
        <v>0.8254231640859645</v>
      </c>
      <c r="M197" s="13">
        <f t="shared" ref="M197" si="104">((K197-I197)/I197)</f>
        <v>-7.5651359606268053E-3</v>
      </c>
      <c r="N197" s="20">
        <f t="shared" ref="N197" si="105">(G197/K197)</f>
        <v>3.3938950073362771E-3</v>
      </c>
      <c r="O197" s="21">
        <f t="shared" ref="O197" si="106">H197/K197</f>
        <v>1.3333242412958813E-2</v>
      </c>
      <c r="P197" s="22">
        <f t="shared" ref="P197" si="107">K197/V197</f>
        <v>4.3959424361236001</v>
      </c>
      <c r="Q197" s="22">
        <f t="shared" ref="Q197" si="108">H197/V197</f>
        <v>5.8612166134248675E-2</v>
      </c>
      <c r="R197" s="10">
        <v>4.3600000000000003</v>
      </c>
      <c r="S197" s="10">
        <v>4.42</v>
      </c>
      <c r="T197" s="10">
        <v>11193</v>
      </c>
      <c r="U197" s="10">
        <v>1556469307.97</v>
      </c>
      <c r="V197" s="10">
        <v>1529944152.97</v>
      </c>
    </row>
    <row r="198" spans="1:22">
      <c r="A198" s="97">
        <v>173</v>
      </c>
      <c r="B198" s="10" t="s">
        <v>185</v>
      </c>
      <c r="C198" s="25" t="s">
        <v>94</v>
      </c>
      <c r="D198" s="10">
        <v>1419511781.52</v>
      </c>
      <c r="E198" s="10">
        <v>9711100.3399999999</v>
      </c>
      <c r="F198" s="10">
        <v>1905917.4</v>
      </c>
      <c r="G198" s="10">
        <v>6862271.2199999997</v>
      </c>
      <c r="H198" s="12">
        <f>(E198+F198)-G198</f>
        <v>4754746.5200000005</v>
      </c>
      <c r="I198" s="10">
        <v>1420072553.1900001</v>
      </c>
      <c r="J198" s="13">
        <f t="shared" si="102"/>
        <v>0.17324536009636254</v>
      </c>
      <c r="K198" s="10">
        <v>1422451738.8099999</v>
      </c>
      <c r="L198" s="13">
        <f t="shared" ref="L198" si="109">(K198/$K$199)</f>
        <v>0.1745768359140355</v>
      </c>
      <c r="M198" s="13">
        <f t="shared" ref="M198" si="110">((K198-I198)/I198)</f>
        <v>1.6753972285819963E-3</v>
      </c>
      <c r="N198" s="20">
        <f t="shared" ref="N198" si="111">(G198/K198)</f>
        <v>4.8242559186864676E-3</v>
      </c>
      <c r="O198" s="21">
        <f t="shared" ref="O198" si="112">H198/K198</f>
        <v>3.3426417151964285E-3</v>
      </c>
      <c r="P198" s="22">
        <f t="shared" ref="P198" si="113">K198/V198</f>
        <v>40.113732813960603</v>
      </c>
      <c r="Q198" s="22">
        <f t="shared" ref="Q198" si="114">H198/V198</f>
        <v>0.13408583665618853</v>
      </c>
      <c r="R198" s="10">
        <v>39.983800000000002</v>
      </c>
      <c r="S198" s="10">
        <v>40.370199999999997</v>
      </c>
      <c r="T198" s="10">
        <v>1496</v>
      </c>
      <c r="U198" s="10">
        <v>35669238.579999998</v>
      </c>
      <c r="V198" s="10">
        <v>35460468</v>
      </c>
    </row>
    <row r="199" spans="1:22" ht="15" customHeight="1">
      <c r="A199" s="136" t="s">
        <v>51</v>
      </c>
      <c r="B199" s="136"/>
      <c r="C199" s="136"/>
      <c r="D199" s="136"/>
      <c r="E199" s="136"/>
      <c r="F199" s="136"/>
      <c r="G199" s="136"/>
      <c r="H199" s="136"/>
      <c r="I199" s="37">
        <f>SUM(I197:I198)</f>
        <v>8196886499.0100002</v>
      </c>
      <c r="J199" s="35">
        <f>(I199/$I$237)</f>
        <v>1.2343915543342298E-3</v>
      </c>
      <c r="K199" s="37">
        <f>SUM(K197:K198)</f>
        <v>8147998165.75</v>
      </c>
      <c r="L199" s="35">
        <f>(K199/$K$237)</f>
        <v>1.1907449152710548E-3</v>
      </c>
      <c r="M199" s="35">
        <f t="shared" ref="M199" si="115">((K199-I199)/I199)</f>
        <v>-5.9642564607799362E-3</v>
      </c>
      <c r="N199" s="20"/>
      <c r="O199" s="41"/>
      <c r="P199" s="36"/>
      <c r="Q199" s="36"/>
      <c r="R199" s="37"/>
      <c r="S199" s="37"/>
      <c r="T199" s="37">
        <f>SUM(T197:T198)</f>
        <v>12689</v>
      </c>
      <c r="U199" s="37"/>
      <c r="V199" s="40"/>
    </row>
    <row r="200" spans="1:22" ht="4.8" customHeight="1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</row>
    <row r="201" spans="1:22">
      <c r="A201" s="135" t="s">
        <v>186</v>
      </c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</row>
    <row r="202" spans="1:22" ht="12.9" customHeight="1">
      <c r="A202" s="139" t="s">
        <v>187</v>
      </c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</row>
    <row r="203" spans="1:22" ht="15" customHeight="1">
      <c r="A203" s="100">
        <v>174</v>
      </c>
      <c r="B203" s="93" t="s">
        <v>188</v>
      </c>
      <c r="C203" s="19" t="s">
        <v>118</v>
      </c>
      <c r="D203" s="124">
        <v>6546736764.8599997</v>
      </c>
      <c r="E203" s="29">
        <v>91184507.780000001</v>
      </c>
      <c r="F203" s="29">
        <v>142265659.59999999</v>
      </c>
      <c r="G203" s="17">
        <v>3300887.39</v>
      </c>
      <c r="H203" s="12">
        <f>(E203+F203)-G203</f>
        <v>230149279.99000001</v>
      </c>
      <c r="I203" s="29">
        <v>7221464369.8900003</v>
      </c>
      <c r="J203" s="13">
        <f>(I203/$I$227)</f>
        <v>0.10839003152711764</v>
      </c>
      <c r="K203" s="29">
        <v>7518776386.3599997</v>
      </c>
      <c r="L203" s="13">
        <f>(K203/$K$227)</f>
        <v>0.1100605519356737</v>
      </c>
      <c r="M203" s="13">
        <f>((K203-I203)/I203)</f>
        <v>4.1170599374504437E-2</v>
      </c>
      <c r="N203" s="20">
        <f>(G203/K203)</f>
        <v>4.3901922605228992E-4</v>
      </c>
      <c r="O203" s="21">
        <f>H203/K203</f>
        <v>3.0609938128698652E-2</v>
      </c>
      <c r="P203" s="22">
        <f>K203/V203</f>
        <v>2.9312337266968589</v>
      </c>
      <c r="Q203" s="22">
        <f>H203/V203</f>
        <v>8.9724883014945619E-2</v>
      </c>
      <c r="R203" s="29">
        <v>2.9</v>
      </c>
      <c r="S203" s="29">
        <v>2.96</v>
      </c>
      <c r="T203" s="29">
        <v>15167</v>
      </c>
      <c r="U203" s="10">
        <v>2541068709.2199998</v>
      </c>
      <c r="V203" s="10">
        <v>2565055225</v>
      </c>
    </row>
    <row r="204" spans="1:22">
      <c r="A204" s="100">
        <v>175</v>
      </c>
      <c r="B204" s="19" t="s">
        <v>189</v>
      </c>
      <c r="C204" s="19" t="s">
        <v>46</v>
      </c>
      <c r="D204" s="17">
        <v>2982439254.0300002</v>
      </c>
      <c r="E204" s="17">
        <v>64862383.640000001</v>
      </c>
      <c r="F204" s="17">
        <v>21998885.73</v>
      </c>
      <c r="G204" s="17">
        <v>13955780.140000001</v>
      </c>
      <c r="H204" s="12">
        <f>(E204+F204)-G204</f>
        <v>72905489.230000004</v>
      </c>
      <c r="I204" s="17">
        <v>2817800396.1700001</v>
      </c>
      <c r="J204" s="13">
        <f>(I204/$I$227)</f>
        <v>4.2293565146073436E-2</v>
      </c>
      <c r="K204" s="17">
        <v>3026663474.6100001</v>
      </c>
      <c r="L204" s="13">
        <f>(K204/$K$227)</f>
        <v>4.4304583009468809E-2</v>
      </c>
      <c r="M204" s="13">
        <f>((K204-I204)/I204)</f>
        <v>7.41227372683637E-2</v>
      </c>
      <c r="N204" s="20">
        <f>(G204/K204)</f>
        <v>4.6109454377970677E-3</v>
      </c>
      <c r="O204" s="21">
        <f>H204/K204</f>
        <v>2.4087742109946405E-2</v>
      </c>
      <c r="P204" s="22">
        <f>K204/V204</f>
        <v>862.8046005700138</v>
      </c>
      <c r="Q204" s="22">
        <f>H204/V204</f>
        <v>20.783014709805808</v>
      </c>
      <c r="R204" s="17">
        <v>856.24</v>
      </c>
      <c r="S204" s="17">
        <v>867.3</v>
      </c>
      <c r="T204" s="17">
        <v>1895</v>
      </c>
      <c r="U204" s="17">
        <v>3309407.51</v>
      </c>
      <c r="V204" s="17">
        <v>3507936.18</v>
      </c>
    </row>
    <row r="205" spans="1:22" ht="6.9" customHeight="1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</row>
    <row r="206" spans="1:22">
      <c r="A206" s="140" t="s">
        <v>145</v>
      </c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</row>
    <row r="207" spans="1:22">
      <c r="A207" s="90">
        <v>176</v>
      </c>
      <c r="B207" s="91" t="s">
        <v>271</v>
      </c>
      <c r="C207" s="92" t="s">
        <v>58</v>
      </c>
      <c r="D207" s="56">
        <v>695231502.78999996</v>
      </c>
      <c r="E207" s="56">
        <v>12270573.15</v>
      </c>
      <c r="F207" s="10">
        <v>0</v>
      </c>
      <c r="G207" s="56">
        <v>1921817.76</v>
      </c>
      <c r="H207" s="56">
        <f>(E207+F207)-G207</f>
        <v>10348755.390000001</v>
      </c>
      <c r="I207" s="56">
        <v>1182235082</v>
      </c>
      <c r="J207" s="13">
        <f t="shared" ref="J207:J220" si="116">(I207/$I$227)</f>
        <v>1.7744669397627508E-2</v>
      </c>
      <c r="K207" s="56">
        <v>1062672268</v>
      </c>
      <c r="L207" s="13">
        <f t="shared" ref="L207" si="117">(K207/$K$227)</f>
        <v>1.5555496045206389E-2</v>
      </c>
      <c r="M207" s="13">
        <f t="shared" ref="M207:M227" si="118">((K207-I207)/I207)</f>
        <v>-0.10113285912454423</v>
      </c>
      <c r="N207" s="20">
        <f>(G207/K207)</f>
        <v>1.8084764398876739E-3</v>
      </c>
      <c r="O207" s="21">
        <f>H207/K207</f>
        <v>9.7384261372293578E-3</v>
      </c>
      <c r="P207" s="22">
        <f>K207/V207</f>
        <v>1.1062017297405533</v>
      </c>
      <c r="Q207" s="22">
        <f>H207/V207</f>
        <v>1.0772663837953729E-2</v>
      </c>
      <c r="R207" s="56">
        <v>1.1062000000000001</v>
      </c>
      <c r="S207" s="56">
        <v>1.1062000000000001</v>
      </c>
      <c r="T207" s="56">
        <v>688</v>
      </c>
      <c r="U207" s="56">
        <v>1079368199</v>
      </c>
      <c r="V207" s="56">
        <v>960649617</v>
      </c>
    </row>
    <row r="208" spans="1:22">
      <c r="A208" s="90">
        <v>177</v>
      </c>
      <c r="B208" s="91" t="s">
        <v>190</v>
      </c>
      <c r="C208" s="92" t="s">
        <v>191</v>
      </c>
      <c r="D208" s="56">
        <v>178479074</v>
      </c>
      <c r="E208" s="56">
        <v>1481453</v>
      </c>
      <c r="F208" s="10">
        <v>0</v>
      </c>
      <c r="G208" s="56">
        <v>614185</v>
      </c>
      <c r="H208" s="56">
        <f>(E208+F208)-G208</f>
        <v>867268</v>
      </c>
      <c r="I208" s="56">
        <v>303914579</v>
      </c>
      <c r="J208" s="13">
        <f t="shared" si="116"/>
        <v>4.5615832346566649E-3</v>
      </c>
      <c r="K208" s="56">
        <v>330737392</v>
      </c>
      <c r="L208" s="13">
        <f t="shared" ref="L208:L220" si="119">(K208/$K$227)</f>
        <v>4.8413648762478815E-3</v>
      </c>
      <c r="M208" s="13">
        <f t="shared" ref="M208:M220" si="120">((K208-I208)/I208)</f>
        <v>8.825773705314742E-2</v>
      </c>
      <c r="N208" s="20">
        <f t="shared" ref="N208:N220" si="121">(G208/K208)</f>
        <v>1.8570171225151344E-3</v>
      </c>
      <c r="O208" s="21">
        <f t="shared" ref="O208:O220" si="122">H208/K208</f>
        <v>2.6222254301382407E-3</v>
      </c>
      <c r="P208" s="22">
        <f t="shared" ref="P208:P220" si="123">K208/V208</f>
        <v>1006.5627409984144</v>
      </c>
      <c r="Q208" s="22">
        <f t="shared" ref="Q208:Q220" si="124">H208/V208</f>
        <v>2.639434416475694</v>
      </c>
      <c r="R208" s="56">
        <v>1006.56</v>
      </c>
      <c r="S208" s="56">
        <v>1006.56</v>
      </c>
      <c r="T208" s="56">
        <v>22</v>
      </c>
      <c r="U208" s="56">
        <v>328627</v>
      </c>
      <c r="V208" s="56">
        <v>328581</v>
      </c>
    </row>
    <row r="209" spans="1:22" ht="15" customHeight="1">
      <c r="A209" s="90">
        <v>178</v>
      </c>
      <c r="B209" s="91" t="s">
        <v>192</v>
      </c>
      <c r="C209" s="92" t="s">
        <v>62</v>
      </c>
      <c r="D209" s="56">
        <v>122047073.06999999</v>
      </c>
      <c r="E209" s="56">
        <v>2992885.59</v>
      </c>
      <c r="F209" s="10">
        <v>0</v>
      </c>
      <c r="G209" s="56">
        <v>408252.27</v>
      </c>
      <c r="H209" s="56">
        <f t="shared" ref="H209:H219" si="125">(E209+F209)-G209</f>
        <v>2584633.3199999998</v>
      </c>
      <c r="I209" s="56">
        <v>238545231.94999999</v>
      </c>
      <c r="J209" s="13">
        <f t="shared" si="116"/>
        <v>3.5804268895254458E-3</v>
      </c>
      <c r="K209" s="56">
        <v>241055942.63</v>
      </c>
      <c r="L209" s="13">
        <f t="shared" si="119"/>
        <v>3.5285994329292717E-3</v>
      </c>
      <c r="M209" s="13">
        <f t="shared" si="120"/>
        <v>1.0525092702445052E-2</v>
      </c>
      <c r="N209" s="20">
        <f t="shared" si="121"/>
        <v>1.6935996911996147E-3</v>
      </c>
      <c r="O209" s="21">
        <f t="shared" si="122"/>
        <v>1.0722130688008751E-2</v>
      </c>
      <c r="P209" s="22">
        <f t="shared" si="123"/>
        <v>121.89409943441116</v>
      </c>
      <c r="Q209" s="22">
        <f t="shared" si="124"/>
        <v>1.3069644642328899</v>
      </c>
      <c r="R209" s="56">
        <v>121.81</v>
      </c>
      <c r="S209" s="56">
        <v>121.81</v>
      </c>
      <c r="T209" s="56">
        <v>73</v>
      </c>
      <c r="U209" s="56">
        <v>2005434</v>
      </c>
      <c r="V209" s="56">
        <v>1977585</v>
      </c>
    </row>
    <row r="210" spans="1:22" ht="15" customHeight="1">
      <c r="A210" s="90">
        <v>179</v>
      </c>
      <c r="B210" s="91" t="s">
        <v>317</v>
      </c>
      <c r="C210" s="92" t="s">
        <v>318</v>
      </c>
      <c r="D210" s="56">
        <v>50721025</v>
      </c>
      <c r="E210" s="56">
        <v>0</v>
      </c>
      <c r="F210" s="10">
        <v>0</v>
      </c>
      <c r="G210" s="56">
        <v>97215.3</v>
      </c>
      <c r="H210" s="56">
        <f t="shared" ref="H210" si="126">(E210+F210)-G210</f>
        <v>-97215.3</v>
      </c>
      <c r="I210" s="56">
        <v>0</v>
      </c>
      <c r="J210" s="13">
        <f t="shared" si="116"/>
        <v>0</v>
      </c>
      <c r="K210" s="56">
        <v>50721025</v>
      </c>
      <c r="L210" s="13">
        <f t="shared" si="119"/>
        <v>7.4245910762424676E-4</v>
      </c>
      <c r="M210" s="13" t="e">
        <f t="shared" si="120"/>
        <v>#DIV/0!</v>
      </c>
      <c r="N210" s="20">
        <f t="shared" si="121"/>
        <v>1.9166667077410208E-3</v>
      </c>
      <c r="O210" s="21">
        <f t="shared" si="122"/>
        <v>-1.9166667077410208E-3</v>
      </c>
      <c r="P210" s="22">
        <f t="shared" si="123"/>
        <v>99.707145665421663</v>
      </c>
      <c r="Q210" s="22">
        <f t="shared" si="124"/>
        <v>-0.19110536662079811</v>
      </c>
      <c r="R210" s="56">
        <v>98.94</v>
      </c>
      <c r="S210" s="56">
        <v>98.94</v>
      </c>
      <c r="T210" s="56">
        <v>9</v>
      </c>
      <c r="U210" s="56">
        <v>508700</v>
      </c>
      <c r="V210" s="56">
        <v>508700</v>
      </c>
    </row>
    <row r="211" spans="1:22" ht="15" customHeight="1">
      <c r="A211" s="90">
        <v>180</v>
      </c>
      <c r="B211" s="91" t="s">
        <v>193</v>
      </c>
      <c r="C211" s="92" t="s">
        <v>168</v>
      </c>
      <c r="D211" s="56">
        <v>45368576.009999998</v>
      </c>
      <c r="E211" s="56">
        <v>697087.81</v>
      </c>
      <c r="F211" s="10">
        <v>0</v>
      </c>
      <c r="G211" s="56">
        <v>157195.51</v>
      </c>
      <c r="H211" s="56">
        <f t="shared" si="125"/>
        <v>539892.30000000005</v>
      </c>
      <c r="I211" s="56">
        <v>65881805.369999997</v>
      </c>
      <c r="J211" s="13">
        <f t="shared" si="116"/>
        <v>9.8884805011182253E-4</v>
      </c>
      <c r="K211" s="56">
        <v>65733399.729999997</v>
      </c>
      <c r="L211" s="13">
        <f t="shared" si="119"/>
        <v>9.6221165295148708E-4</v>
      </c>
      <c r="M211" s="13">
        <f t="shared" si="120"/>
        <v>-2.2526043293218364E-3</v>
      </c>
      <c r="N211" s="20">
        <f t="shared" si="121"/>
        <v>2.3914100083927002E-3</v>
      </c>
      <c r="O211" s="21">
        <f t="shared" si="122"/>
        <v>8.2133634076072166E-3</v>
      </c>
      <c r="P211" s="22">
        <f t="shared" si="123"/>
        <v>100.24155505909263</v>
      </c>
      <c r="Q211" s="22">
        <f t="shared" si="124"/>
        <v>0.82332032024399548</v>
      </c>
      <c r="R211" s="56">
        <v>101.29</v>
      </c>
      <c r="S211" s="56">
        <v>101.29</v>
      </c>
      <c r="T211" s="56">
        <v>21</v>
      </c>
      <c r="U211" s="56">
        <v>657753</v>
      </c>
      <c r="V211" s="56">
        <v>655750</v>
      </c>
    </row>
    <row r="212" spans="1:22" ht="15" customHeight="1">
      <c r="A212" s="90">
        <v>181</v>
      </c>
      <c r="B212" s="19" t="s">
        <v>258</v>
      </c>
      <c r="C212" s="93" t="s">
        <v>69</v>
      </c>
      <c r="D212" s="16">
        <v>177475276.41</v>
      </c>
      <c r="E212" s="29">
        <v>3003778.65</v>
      </c>
      <c r="F212" s="29">
        <v>0</v>
      </c>
      <c r="G212" s="10">
        <v>663619.41</v>
      </c>
      <c r="H212" s="12">
        <f t="shared" si="125"/>
        <v>2340159.2399999998</v>
      </c>
      <c r="I212" s="17">
        <v>180186751.16</v>
      </c>
      <c r="J212" s="13">
        <f t="shared" si="116"/>
        <v>2.704499619278575E-3</v>
      </c>
      <c r="K212" s="17">
        <v>173739146.56999999</v>
      </c>
      <c r="L212" s="13">
        <f t="shared" si="119"/>
        <v>2.543209876412403E-3</v>
      </c>
      <c r="M212" s="13">
        <f t="shared" si="120"/>
        <v>-3.5782900510119856E-2</v>
      </c>
      <c r="N212" s="20">
        <f t="shared" si="121"/>
        <v>3.8196308840082044E-3</v>
      </c>
      <c r="O212" s="21">
        <f t="shared" si="122"/>
        <v>1.3469383764108356E-2</v>
      </c>
      <c r="P212" s="22">
        <f t="shared" si="123"/>
        <v>1.0600334193912824</v>
      </c>
      <c r="Q212" s="22">
        <f t="shared" si="124"/>
        <v>1.4277996928561201E-2</v>
      </c>
      <c r="R212" s="10">
        <v>1.1314</v>
      </c>
      <c r="S212" s="10">
        <v>1.1314</v>
      </c>
      <c r="T212" s="10">
        <v>49</v>
      </c>
      <c r="U212" s="10">
        <v>161642915.69999999</v>
      </c>
      <c r="V212" s="10">
        <v>163899687.87</v>
      </c>
    </row>
    <row r="213" spans="1:22" ht="15" customHeight="1">
      <c r="A213" s="90">
        <v>182</v>
      </c>
      <c r="B213" s="92" t="s">
        <v>194</v>
      </c>
      <c r="C213" s="92" t="s">
        <v>73</v>
      </c>
      <c r="D213" s="56">
        <v>4777963580.5100002</v>
      </c>
      <c r="E213" s="56">
        <v>67865996.989999995</v>
      </c>
      <c r="F213" s="10">
        <v>0</v>
      </c>
      <c r="G213" s="56">
        <v>7717627.2800000003</v>
      </c>
      <c r="H213" s="56">
        <f t="shared" si="125"/>
        <v>60148369.709999993</v>
      </c>
      <c r="I213" s="56">
        <v>5976881076.1099997</v>
      </c>
      <c r="J213" s="13">
        <f t="shared" si="116"/>
        <v>8.9709551289147149E-2</v>
      </c>
      <c r="K213" s="56">
        <v>4731008175.5900002</v>
      </c>
      <c r="L213" s="13">
        <f t="shared" si="119"/>
        <v>6.9252940140929073E-2</v>
      </c>
      <c r="M213" s="13">
        <f t="shared" si="120"/>
        <v>-0.20844866823598654</v>
      </c>
      <c r="N213" s="20">
        <f t="shared" si="121"/>
        <v>1.6312859740593329E-3</v>
      </c>
      <c r="O213" s="21">
        <f t="shared" si="122"/>
        <v>1.271364738288556E-2</v>
      </c>
      <c r="P213" s="22">
        <f t="shared" si="123"/>
        <v>160.51113822183621</v>
      </c>
      <c r="Q213" s="22">
        <f t="shared" si="124"/>
        <v>2.04068201237803</v>
      </c>
      <c r="R213" s="56">
        <v>160.51</v>
      </c>
      <c r="S213" s="56">
        <v>160.51</v>
      </c>
      <c r="T213" s="56">
        <v>745</v>
      </c>
      <c r="U213" s="56">
        <v>37707647</v>
      </c>
      <c r="V213" s="56">
        <v>29474641</v>
      </c>
    </row>
    <row r="214" spans="1:22" ht="15" customHeight="1">
      <c r="A214" s="90">
        <v>183</v>
      </c>
      <c r="B214" s="92" t="s">
        <v>220</v>
      </c>
      <c r="C214" s="92" t="s">
        <v>60</v>
      </c>
      <c r="D214" s="56">
        <v>805361460.83000004</v>
      </c>
      <c r="E214" s="56">
        <v>8510026.3599999994</v>
      </c>
      <c r="F214" s="10">
        <v>0</v>
      </c>
      <c r="G214" s="56">
        <v>1676528.2</v>
      </c>
      <c r="H214" s="56">
        <f t="shared" si="125"/>
        <v>6833498.1599999992</v>
      </c>
      <c r="I214" s="56">
        <v>681322397.02999997</v>
      </c>
      <c r="J214" s="13">
        <f t="shared" si="116"/>
        <v>1.0226257765963047E-2</v>
      </c>
      <c r="K214" s="56">
        <v>798866250.5</v>
      </c>
      <c r="L214" s="13">
        <f t="shared" si="119"/>
        <v>1.1693878888633618E-2</v>
      </c>
      <c r="M214" s="13">
        <f t="shared" si="120"/>
        <v>0.17252310210613014</v>
      </c>
      <c r="N214" s="20">
        <f t="shared" si="121"/>
        <v>2.0986344071372183E-3</v>
      </c>
      <c r="O214" s="21">
        <f t="shared" si="122"/>
        <v>8.553995309881976E-3</v>
      </c>
      <c r="P214" s="22">
        <f t="shared" si="123"/>
        <v>1300.5039173129128</v>
      </c>
      <c r="Q214" s="22">
        <f t="shared" si="124"/>
        <v>11.124504409177792</v>
      </c>
      <c r="R214" s="56">
        <v>1300.5</v>
      </c>
      <c r="S214" s="56">
        <v>1300.5</v>
      </c>
      <c r="T214" s="56">
        <v>266</v>
      </c>
      <c r="U214" s="56">
        <v>528576.4</v>
      </c>
      <c r="V214" s="56">
        <v>614274.39</v>
      </c>
    </row>
    <row r="215" spans="1:22" ht="15" customHeight="1">
      <c r="A215" s="90">
        <v>184</v>
      </c>
      <c r="B215" s="91" t="s">
        <v>117</v>
      </c>
      <c r="C215" s="92" t="s">
        <v>118</v>
      </c>
      <c r="D215" s="56">
        <v>17452758392.02</v>
      </c>
      <c r="E215" s="56">
        <v>652580952.34000003</v>
      </c>
      <c r="F215" s="10">
        <v>0</v>
      </c>
      <c r="G215" s="56">
        <v>57180113.039999999</v>
      </c>
      <c r="H215" s="56">
        <f t="shared" si="125"/>
        <v>595400839.30000007</v>
      </c>
      <c r="I215" s="56">
        <v>33496231339.43</v>
      </c>
      <c r="J215" s="13">
        <f t="shared" si="116"/>
        <v>0.50275918912769579</v>
      </c>
      <c r="K215" s="56">
        <v>34965872658.010002</v>
      </c>
      <c r="L215" s="13">
        <f t="shared" si="119"/>
        <v>0.51183371414456147</v>
      </c>
      <c r="M215" s="13">
        <f t="shared" si="120"/>
        <v>4.3874825907654194E-2</v>
      </c>
      <c r="N215" s="20">
        <f t="shared" si="121"/>
        <v>1.635312054106596E-3</v>
      </c>
      <c r="O215" s="21">
        <f t="shared" si="122"/>
        <v>1.7028056045488266E-2</v>
      </c>
      <c r="P215" s="22">
        <f t="shared" si="123"/>
        <v>1296.8756661161522</v>
      </c>
      <c r="Q215" s="22">
        <f t="shared" si="124"/>
        <v>22.083271526655768</v>
      </c>
      <c r="R215" s="56">
        <v>1296.8800000000001</v>
      </c>
      <c r="S215" s="56">
        <v>1296.8800000000001</v>
      </c>
      <c r="T215" s="56">
        <v>11127</v>
      </c>
      <c r="U215" s="56">
        <v>26166568.210000001</v>
      </c>
      <c r="V215" s="56">
        <v>26961622.899999999</v>
      </c>
    </row>
    <row r="216" spans="1:22" ht="15" customHeight="1">
      <c r="A216" s="90">
        <v>185</v>
      </c>
      <c r="B216" s="94" t="s">
        <v>217</v>
      </c>
      <c r="C216" s="94" t="s">
        <v>218</v>
      </c>
      <c r="D216" s="56">
        <v>345878382.43000001</v>
      </c>
      <c r="E216" s="56">
        <v>10858931.34</v>
      </c>
      <c r="F216" s="10">
        <v>19846268.920000002</v>
      </c>
      <c r="G216" s="56">
        <v>1694788.16</v>
      </c>
      <c r="H216" s="56">
        <v>10833182.789999999</v>
      </c>
      <c r="I216" s="56">
        <v>422797219.55000001</v>
      </c>
      <c r="J216" s="13">
        <f t="shared" si="116"/>
        <v>6.3459433723274368E-3</v>
      </c>
      <c r="K216" s="56">
        <v>382206907.45999998</v>
      </c>
      <c r="L216" s="13">
        <f t="shared" si="119"/>
        <v>5.5947804572280355E-3</v>
      </c>
      <c r="M216" s="13">
        <f t="shared" si="120"/>
        <v>-9.6004207722089382E-2</v>
      </c>
      <c r="N216" s="20">
        <f t="shared" si="121"/>
        <v>4.4342164595164166E-3</v>
      </c>
      <c r="O216" s="21">
        <f t="shared" si="122"/>
        <v>2.8343765061686517E-2</v>
      </c>
      <c r="P216" s="22">
        <f t="shared" si="123"/>
        <v>118.71650552061998</v>
      </c>
      <c r="Q216" s="22">
        <f t="shared" si="124"/>
        <v>3.364872741420863</v>
      </c>
      <c r="R216" s="56">
        <v>118.14</v>
      </c>
      <c r="S216" s="56">
        <v>119.21</v>
      </c>
      <c r="T216" s="56">
        <v>135</v>
      </c>
      <c r="U216" s="56">
        <v>3518546.03</v>
      </c>
      <c r="V216" s="56">
        <v>3219492.57</v>
      </c>
    </row>
    <row r="217" spans="1:22" ht="15" customHeight="1">
      <c r="A217" s="90">
        <v>186</v>
      </c>
      <c r="B217" s="94" t="s">
        <v>219</v>
      </c>
      <c r="C217" s="94" t="s">
        <v>218</v>
      </c>
      <c r="D217" s="56">
        <v>160219809.47</v>
      </c>
      <c r="E217" s="56">
        <v>16865833.640000001</v>
      </c>
      <c r="F217" s="10">
        <v>9220489.3000000007</v>
      </c>
      <c r="G217" s="56">
        <v>1499591.01</v>
      </c>
      <c r="H217" s="56">
        <f t="shared" si="125"/>
        <v>24586731.93</v>
      </c>
      <c r="I217" s="56">
        <v>278012131.35000002</v>
      </c>
      <c r="J217" s="13">
        <f t="shared" si="116"/>
        <v>4.1728023761483544E-3</v>
      </c>
      <c r="K217" s="56">
        <v>331358381.62</v>
      </c>
      <c r="L217" s="13">
        <f t="shared" si="119"/>
        <v>4.8504549803833775E-3</v>
      </c>
      <c r="M217" s="13">
        <f t="shared" si="120"/>
        <v>0.19188461313164915</v>
      </c>
      <c r="N217" s="20">
        <f t="shared" si="121"/>
        <v>4.5255864742836738E-3</v>
      </c>
      <c r="O217" s="21">
        <f t="shared" si="122"/>
        <v>7.4199818968804385E-2</v>
      </c>
      <c r="P217" s="22">
        <f t="shared" si="123"/>
        <v>129.47966590769445</v>
      </c>
      <c r="Q217" s="22">
        <f t="shared" si="124"/>
        <v>9.6073677704922016</v>
      </c>
      <c r="R217" s="56">
        <v>129.58000000000001</v>
      </c>
      <c r="S217" s="56">
        <v>129.58000000000001</v>
      </c>
      <c r="T217" s="56">
        <v>124</v>
      </c>
      <c r="U217" s="56">
        <v>2171974.4500000002</v>
      </c>
      <c r="V217" s="56">
        <v>2559153.8199999998</v>
      </c>
    </row>
    <row r="218" spans="1:22" ht="13.95" customHeight="1">
      <c r="A218" s="90">
        <v>187</v>
      </c>
      <c r="B218" s="92" t="s">
        <v>195</v>
      </c>
      <c r="C218" s="92" t="s">
        <v>143</v>
      </c>
      <c r="D218" s="56">
        <v>1331931820</v>
      </c>
      <c r="E218" s="56">
        <v>34834779.18</v>
      </c>
      <c r="F218" s="10">
        <v>0</v>
      </c>
      <c r="G218" s="56">
        <v>4075148.34</v>
      </c>
      <c r="H218" s="56">
        <f t="shared" si="125"/>
        <v>30759630.84</v>
      </c>
      <c r="I218" s="56">
        <v>2088063818</v>
      </c>
      <c r="J218" s="13">
        <f t="shared" si="116"/>
        <v>3.1340638334701229E-2</v>
      </c>
      <c r="K218" s="56">
        <v>2256929005</v>
      </c>
      <c r="L218" s="13">
        <f t="shared" si="119"/>
        <v>3.3037137854047292E-2</v>
      </c>
      <c r="M218" s="13">
        <f t="shared" si="120"/>
        <v>8.0871659929313527E-2</v>
      </c>
      <c r="N218" s="20">
        <f t="shared" si="121"/>
        <v>1.8056165395419692E-3</v>
      </c>
      <c r="O218" s="21">
        <f t="shared" si="122"/>
        <v>1.3628975821505736E-2</v>
      </c>
      <c r="P218" s="22">
        <f t="shared" si="123"/>
        <v>107.94500748679808</v>
      </c>
      <c r="Q218" s="22">
        <f t="shared" si="124"/>
        <v>1.4711798970898269</v>
      </c>
      <c r="R218" s="56">
        <v>107.95</v>
      </c>
      <c r="S218" s="56">
        <v>107.95</v>
      </c>
      <c r="T218" s="56">
        <v>694</v>
      </c>
      <c r="U218" s="56">
        <v>19612025</v>
      </c>
      <c r="V218" s="56">
        <v>20908137</v>
      </c>
    </row>
    <row r="219" spans="1:22">
      <c r="A219" s="90">
        <v>188</v>
      </c>
      <c r="B219" s="91" t="s">
        <v>196</v>
      </c>
      <c r="C219" s="91" t="s">
        <v>46</v>
      </c>
      <c r="D219" s="56">
        <v>5167178018.9099998</v>
      </c>
      <c r="E219" s="56">
        <v>35877399.979999997</v>
      </c>
      <c r="F219" s="10">
        <v>0</v>
      </c>
      <c r="G219" s="56">
        <v>8346251.54</v>
      </c>
      <c r="H219" s="56">
        <f t="shared" si="125"/>
        <v>27531148.439999998</v>
      </c>
      <c r="I219" s="56">
        <v>5149221881.79</v>
      </c>
      <c r="J219" s="13">
        <f t="shared" si="116"/>
        <v>7.7286862265006737E-2</v>
      </c>
      <c r="K219" s="56">
        <v>5177691551.8400002</v>
      </c>
      <c r="L219" s="13">
        <f t="shared" si="119"/>
        <v>7.5791533178454648E-2</v>
      </c>
      <c r="M219" s="13">
        <f t="shared" si="120"/>
        <v>5.5289266424276536E-3</v>
      </c>
      <c r="N219" s="20">
        <f t="shared" si="121"/>
        <v>1.611963836863551E-3</v>
      </c>
      <c r="O219" s="21">
        <f t="shared" si="122"/>
        <v>5.3172631402147227E-3</v>
      </c>
      <c r="P219" s="22">
        <f t="shared" si="123"/>
        <v>140.80804802364148</v>
      </c>
      <c r="Q219" s="22">
        <f t="shared" si="124"/>
        <v>0.74871344360169334</v>
      </c>
      <c r="R219" s="56">
        <v>140.81</v>
      </c>
      <c r="S219" s="56">
        <v>140.81</v>
      </c>
      <c r="T219" s="56">
        <v>1552</v>
      </c>
      <c r="U219" s="56">
        <v>36875363.740000002</v>
      </c>
      <c r="V219" s="56">
        <v>36771275.68</v>
      </c>
    </row>
    <row r="220" spans="1:22" ht="15" customHeight="1">
      <c r="A220" s="90">
        <v>189</v>
      </c>
      <c r="B220" s="92" t="s">
        <v>197</v>
      </c>
      <c r="C220" s="92" t="s">
        <v>50</v>
      </c>
      <c r="D220" s="56">
        <v>3017678246</v>
      </c>
      <c r="E220" s="56">
        <v>42103132</v>
      </c>
      <c r="F220" s="10">
        <v>0</v>
      </c>
      <c r="G220" s="56">
        <v>6558120</v>
      </c>
      <c r="H220" s="56">
        <f>(E220+F220)-G220</f>
        <v>35545012</v>
      </c>
      <c r="I220" s="56">
        <v>4071472951</v>
      </c>
      <c r="J220" s="13">
        <f t="shared" si="116"/>
        <v>6.1110469970707453E-2</v>
      </c>
      <c r="K220" s="56">
        <v>4110503273</v>
      </c>
      <c r="L220" s="13">
        <f t="shared" si="119"/>
        <v>6.0169931344213279E-2</v>
      </c>
      <c r="M220" s="13">
        <f t="shared" si="120"/>
        <v>9.5862903842732668E-3</v>
      </c>
      <c r="N220" s="20">
        <f t="shared" si="121"/>
        <v>1.5954542703024385E-3</v>
      </c>
      <c r="O220" s="21">
        <f t="shared" si="122"/>
        <v>8.6473625342859562E-3</v>
      </c>
      <c r="P220" s="22">
        <f t="shared" si="123"/>
        <v>1.1689197728302789</v>
      </c>
      <c r="Q220" s="22">
        <f t="shared" si="124"/>
        <v>1.0108073049158606E-2</v>
      </c>
      <c r="R220" s="56">
        <v>1.17</v>
      </c>
      <c r="S220" s="56">
        <v>1.17</v>
      </c>
      <c r="T220" s="56">
        <v>202</v>
      </c>
      <c r="U220" s="56">
        <v>3512680724.27</v>
      </c>
      <c r="V220" s="56">
        <v>3516497341</v>
      </c>
    </row>
    <row r="221" spans="1:22" ht="4.95" customHeight="1">
      <c r="A221" s="100"/>
      <c r="B221" s="19"/>
      <c r="C221" s="19"/>
      <c r="D221" s="11"/>
      <c r="E221" s="11"/>
      <c r="F221" s="11"/>
      <c r="G221" s="31"/>
      <c r="H221" s="12"/>
      <c r="I221" s="23"/>
      <c r="J221" s="13"/>
      <c r="K221" s="32"/>
      <c r="L221" s="13"/>
      <c r="M221" s="13"/>
      <c r="N221" s="20"/>
      <c r="O221" s="21"/>
      <c r="P221" s="22"/>
      <c r="Q221" s="22"/>
      <c r="R221" s="12"/>
      <c r="S221" s="12"/>
      <c r="T221" s="42"/>
      <c r="U221" s="31"/>
      <c r="V221" s="42"/>
    </row>
    <row r="222" spans="1:22" ht="15" customHeight="1">
      <c r="A222" s="139" t="s">
        <v>215</v>
      </c>
      <c r="B222" s="141"/>
      <c r="C222" s="141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</row>
    <row r="223" spans="1:22" ht="15" customHeight="1">
      <c r="A223" s="131">
        <v>190</v>
      </c>
      <c r="B223" s="125" t="s">
        <v>305</v>
      </c>
      <c r="C223" s="125" t="s">
        <v>306</v>
      </c>
      <c r="D223" s="89">
        <v>304492165.76999998</v>
      </c>
      <c r="E223" s="16">
        <v>3825184.07</v>
      </c>
      <c r="F223" s="16">
        <v>85998.34</v>
      </c>
      <c r="G223" s="16">
        <v>1018242.71</v>
      </c>
      <c r="H223" s="16">
        <f>(E223+F223)-G223</f>
        <v>2892939.6999999997</v>
      </c>
      <c r="I223" s="10">
        <v>0</v>
      </c>
      <c r="J223" s="61">
        <f t="shared" ref="J223:J226" si="127">(I223/$I$227)</f>
        <v>0</v>
      </c>
      <c r="K223" s="60">
        <v>325083848.63999999</v>
      </c>
      <c r="L223" s="13">
        <f t="shared" ref="L223" si="128">(K223/$K$227)</f>
        <v>4.7586077797976299E-3</v>
      </c>
      <c r="M223" s="13" t="e">
        <f>((K223-I223)/I223)</f>
        <v>#DIV/0!</v>
      </c>
      <c r="N223" s="20">
        <f t="shared" ref="N223" si="129">(G223/K223)</f>
        <v>3.1322463858473901E-3</v>
      </c>
      <c r="O223" s="21">
        <f t="shared" ref="O223" si="130">H223/K223</f>
        <v>8.8990570036091218E-3</v>
      </c>
      <c r="P223" s="22">
        <f t="shared" ref="P223" si="131">K223/V223</f>
        <v>101.16507395282255</v>
      </c>
      <c r="Q223" s="22">
        <f t="shared" ref="Q223" si="132">H223/V223</f>
        <v>0.90027375988050029</v>
      </c>
      <c r="R223" s="60">
        <v>101.17</v>
      </c>
      <c r="S223" s="60">
        <v>102.35</v>
      </c>
      <c r="T223" s="60">
        <v>106</v>
      </c>
      <c r="U223" s="60">
        <v>2869700</v>
      </c>
      <c r="V223" s="60">
        <v>3213400</v>
      </c>
    </row>
    <row r="224" spans="1:22" ht="15" customHeight="1">
      <c r="A224" s="132">
        <v>191</v>
      </c>
      <c r="B224" s="126" t="s">
        <v>280</v>
      </c>
      <c r="C224" s="127" t="s">
        <v>58</v>
      </c>
      <c r="D224" s="16">
        <v>1460305574.6099999</v>
      </c>
      <c r="E224" s="16">
        <v>11260314.33</v>
      </c>
      <c r="F224" s="16">
        <v>34764842.18</v>
      </c>
      <c r="G224" s="16">
        <v>5274795.2699999996</v>
      </c>
      <c r="H224" s="16">
        <f>(E224+F224)-G224</f>
        <v>40750361.239999995</v>
      </c>
      <c r="I224" s="10">
        <v>2105323624</v>
      </c>
      <c r="J224" s="61">
        <f t="shared" si="127"/>
        <v>3.1599698107161261E-2</v>
      </c>
      <c r="K224" s="60">
        <v>2378066146</v>
      </c>
      <c r="L224" s="13">
        <f t="shared" ref="L224:L226" si="133">(K224/$K$227)</f>
        <v>3.4810354653333438E-2</v>
      </c>
      <c r="M224" s="13">
        <f t="shared" ref="M224:M226" si="134">((K224-I224)/I224)</f>
        <v>0.1295489771220085</v>
      </c>
      <c r="N224" s="20">
        <f t="shared" ref="N224:N226" si="135">(G224/K224)</f>
        <v>2.2181028390957126E-3</v>
      </c>
      <c r="O224" s="21">
        <f t="shared" ref="O224:O226" si="136">H224/K224</f>
        <v>1.7135924208224271E-2</v>
      </c>
      <c r="P224" s="22">
        <f t="shared" ref="P224:P226" si="137">K224/V224</f>
        <v>95.751958350908851</v>
      </c>
      <c r="Q224" s="22">
        <f t="shared" ref="Q224:Q226" si="138">H224/V224</f>
        <v>1.640798301090221</v>
      </c>
      <c r="R224" s="60">
        <v>95.273200000000003</v>
      </c>
      <c r="S224" s="60">
        <v>98.145799999999994</v>
      </c>
      <c r="T224" s="60">
        <v>2635</v>
      </c>
      <c r="U224" s="60">
        <v>22446917</v>
      </c>
      <c r="V224" s="60">
        <v>24835692</v>
      </c>
    </row>
    <row r="225" spans="1:22" ht="15" customHeight="1">
      <c r="A225" s="133">
        <v>192</v>
      </c>
      <c r="B225" s="10" t="s">
        <v>216</v>
      </c>
      <c r="C225" s="25" t="s">
        <v>118</v>
      </c>
      <c r="D225" s="16">
        <v>209488864.59</v>
      </c>
      <c r="E225" s="16">
        <v>1800486.69</v>
      </c>
      <c r="F225" s="16">
        <v>8400000</v>
      </c>
      <c r="G225" s="10">
        <v>770266.15</v>
      </c>
      <c r="H225" s="12">
        <f>(E225+F225)-G225</f>
        <v>9430220.5399999991</v>
      </c>
      <c r="I225" s="17">
        <v>245550907.97</v>
      </c>
      <c r="J225" s="61">
        <f t="shared" si="127"/>
        <v>3.6855780618891393E-3</v>
      </c>
      <c r="K225" s="17">
        <v>267445014.68000001</v>
      </c>
      <c r="L225" s="13">
        <f t="shared" si="133"/>
        <v>3.914885137630132E-3</v>
      </c>
      <c r="M225" s="13">
        <f t="shared" si="134"/>
        <v>8.9163208114363415E-2</v>
      </c>
      <c r="N225" s="20">
        <f t="shared" si="135"/>
        <v>2.880091636486959E-3</v>
      </c>
      <c r="O225" s="21">
        <f t="shared" si="136"/>
        <v>3.5260408765829226E-2</v>
      </c>
      <c r="P225" s="22">
        <f t="shared" si="137"/>
        <v>1223.7959544290068</v>
      </c>
      <c r="Q225" s="22">
        <f t="shared" si="138"/>
        <v>43.151545599134899</v>
      </c>
      <c r="R225" s="12">
        <v>1223.8</v>
      </c>
      <c r="S225" s="12">
        <v>1223.8</v>
      </c>
      <c r="T225" s="10">
        <v>155</v>
      </c>
      <c r="U225" s="10">
        <v>207282.24</v>
      </c>
      <c r="V225" s="10">
        <v>218537.26</v>
      </c>
    </row>
    <row r="226" spans="1:22" ht="15" customHeight="1">
      <c r="A226" s="133">
        <v>193</v>
      </c>
      <c r="B226" s="10" t="s">
        <v>278</v>
      </c>
      <c r="C226" s="10" t="s">
        <v>279</v>
      </c>
      <c r="D226" s="17">
        <v>45000000</v>
      </c>
      <c r="E226" s="17">
        <v>2291644.34</v>
      </c>
      <c r="F226" s="17">
        <v>6560000</v>
      </c>
      <c r="G226" s="17">
        <v>25070.47</v>
      </c>
      <c r="H226" s="17">
        <f>(E226+F226)-G226</f>
        <v>8826573.8699999992</v>
      </c>
      <c r="I226" s="17">
        <v>99896259.450000003</v>
      </c>
      <c r="J226" s="61">
        <f t="shared" si="127"/>
        <v>1.499385464861271E-3</v>
      </c>
      <c r="K226" s="17">
        <v>119776902.73</v>
      </c>
      <c r="L226" s="13">
        <f t="shared" si="133"/>
        <v>1.7533055042738589E-3</v>
      </c>
      <c r="M226" s="13">
        <f t="shared" si="134"/>
        <v>0.19901288986651844</v>
      </c>
      <c r="N226" s="20">
        <f t="shared" si="135"/>
        <v>2.0930972022639144E-4</v>
      </c>
      <c r="O226" s="21">
        <f t="shared" si="136"/>
        <v>7.3691785885437205E-2</v>
      </c>
      <c r="P226" s="22">
        <f t="shared" si="137"/>
        <v>110.42226011945974</v>
      </c>
      <c r="Q226" s="22">
        <f t="shared" si="138"/>
        <v>8.1372135497092781</v>
      </c>
      <c r="R226" s="17">
        <v>109.3</v>
      </c>
      <c r="S226" s="17">
        <v>111.55</v>
      </c>
      <c r="T226" s="17">
        <v>294</v>
      </c>
      <c r="U226" s="17">
        <v>917291</v>
      </c>
      <c r="V226" s="17">
        <v>1084717</v>
      </c>
    </row>
    <row r="227" spans="1:22" ht="15" customHeight="1">
      <c r="A227" s="136" t="s">
        <v>51</v>
      </c>
      <c r="B227" s="136"/>
      <c r="C227" s="136"/>
      <c r="D227" s="136"/>
      <c r="E227" s="136"/>
      <c r="F227" s="136"/>
      <c r="G227" s="136"/>
      <c r="H227" s="136"/>
      <c r="I227" s="37">
        <f>SUM(I203:I226)</f>
        <v>66624801821.220001</v>
      </c>
      <c r="J227" s="35">
        <f>(I227/$I$237)</f>
        <v>1.0033211108539646E-2</v>
      </c>
      <c r="K227" s="37">
        <f>SUM(K203:K226)</f>
        <v>68314907149.970001</v>
      </c>
      <c r="L227" s="35">
        <f>(K227/$K$237)</f>
        <v>9.9835108785340989E-3</v>
      </c>
      <c r="M227" s="35">
        <f t="shared" si="118"/>
        <v>2.5367510034554449E-2</v>
      </c>
      <c r="N227" s="20"/>
      <c r="O227" s="20"/>
      <c r="P227" s="36"/>
      <c r="Q227" s="36"/>
      <c r="R227" s="37"/>
      <c r="S227" s="37"/>
      <c r="T227" s="37">
        <f>SUM(T203:T226)</f>
        <v>35959</v>
      </c>
      <c r="U227" s="37"/>
      <c r="V227" s="37"/>
    </row>
    <row r="228" spans="1:22" ht="15" customHeight="1">
      <c r="A228" s="137" t="s">
        <v>294</v>
      </c>
      <c r="B228" s="137"/>
      <c r="C228" s="137"/>
      <c r="D228" s="137"/>
      <c r="E228" s="137"/>
      <c r="F228" s="137"/>
      <c r="G228" s="137"/>
      <c r="H228" s="137"/>
      <c r="I228" s="119">
        <f>SUM(I24,I69,I111,I153,I162,I194,I199,I227)</f>
        <v>6622063291121.1602</v>
      </c>
      <c r="J228" s="120"/>
      <c r="K228" s="119">
        <f>SUM(K24,K69,K111,K153,K162,K194,K199,K227)</f>
        <v>6824788014501.4063</v>
      </c>
      <c r="L228" s="120"/>
      <c r="M228" s="120"/>
      <c r="N228" s="121"/>
      <c r="O228" s="121"/>
      <c r="P228" s="122"/>
      <c r="Q228" s="122"/>
      <c r="R228" s="119"/>
      <c r="S228" s="119"/>
      <c r="T228" s="119">
        <f>SUM(T24,T69,T111,T153,T162,T194,T199,T227)</f>
        <v>960309.02110000001</v>
      </c>
      <c r="U228" s="119"/>
      <c r="V228" s="119"/>
    </row>
    <row r="229" spans="1:22" s="6" customFormat="1" ht="6.6" customHeight="1">
      <c r="A229" s="99"/>
      <c r="B229" s="99"/>
      <c r="C229" s="99"/>
      <c r="D229" s="99"/>
      <c r="E229" s="99"/>
      <c r="F229" s="99"/>
      <c r="G229" s="99"/>
      <c r="H229" s="99"/>
      <c r="I229" s="37"/>
      <c r="J229" s="63"/>
      <c r="K229" s="37"/>
      <c r="L229" s="63"/>
      <c r="M229" s="63"/>
      <c r="N229" s="64"/>
      <c r="O229" s="64"/>
      <c r="P229" s="65"/>
      <c r="Q229" s="65"/>
      <c r="R229" s="37"/>
      <c r="S229" s="37"/>
      <c r="T229" s="37"/>
      <c r="U229" s="37"/>
      <c r="V229" s="37"/>
    </row>
    <row r="230" spans="1:22" s="6" customFormat="1" ht="15" customHeight="1">
      <c r="A230" s="149" t="s">
        <v>282</v>
      </c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</row>
    <row r="231" spans="1:22" s="6" customFormat="1" ht="15" customHeight="1">
      <c r="A231" s="134">
        <v>1</v>
      </c>
      <c r="B231" s="25" t="s">
        <v>283</v>
      </c>
      <c r="C231" s="25" t="s">
        <v>58</v>
      </c>
      <c r="D231" s="17">
        <f>750981.78*FX_RATE</f>
        <v>1107958941.472194</v>
      </c>
      <c r="E231" s="16">
        <f>7888.03*FX_RATE</f>
        <v>11637583.762819</v>
      </c>
      <c r="F231" s="16">
        <f>205.4*FX_RATE</f>
        <v>303036.33542000002</v>
      </c>
      <c r="G231" s="16">
        <f>1941.73*FX_RATE</f>
        <v>2864726.1128289998</v>
      </c>
      <c r="H231" s="17">
        <f>(E231+F231)-G231</f>
        <v>9075893.9854099993</v>
      </c>
      <c r="I231" s="10">
        <v>1864665398.2658</v>
      </c>
      <c r="J231" s="13">
        <f>(I231/$I$236)</f>
        <v>0.10154305506408651</v>
      </c>
      <c r="K231" s="10">
        <f>1248165*FX_RATE</f>
        <v>1841476862.7045</v>
      </c>
      <c r="L231" s="13">
        <f>(K231/$K$236)</f>
        <v>0.10238485038467639</v>
      </c>
      <c r="M231" s="13">
        <f>((K231-I231)/I231)</f>
        <v>-1.2435762246066313E-2</v>
      </c>
      <c r="N231" s="20">
        <f t="shared" ref="N231" si="139">(G231/K231)</f>
        <v>1.5556677202132731E-3</v>
      </c>
      <c r="O231" s="21">
        <f t="shared" ref="O231" si="140">H231/K231</f>
        <v>4.9285951777208936E-3</v>
      </c>
      <c r="P231" s="22">
        <f t="shared" ref="P231" si="141">K231/V231</f>
        <v>1506.1763926924784</v>
      </c>
      <c r="Q231" s="22">
        <f t="shared" ref="Q231" si="142">H231/V231</f>
        <v>7.423333705821201</v>
      </c>
      <c r="R231" s="10">
        <f>1.0209*FX_RATE</f>
        <v>1506.1820585699998</v>
      </c>
      <c r="S231" s="10">
        <f>1.0209*FX_RATE</f>
        <v>1506.1820585699998</v>
      </c>
      <c r="T231" s="10">
        <v>49</v>
      </c>
      <c r="U231" s="10">
        <v>1198179</v>
      </c>
      <c r="V231" s="10">
        <v>1222617</v>
      </c>
    </row>
    <row r="232" spans="1:22" s="6" customFormat="1" ht="15" customHeight="1">
      <c r="A232" s="134">
        <v>2</v>
      </c>
      <c r="B232" s="25" t="s">
        <v>284</v>
      </c>
      <c r="C232" s="25" t="s">
        <v>285</v>
      </c>
      <c r="D232" s="16">
        <v>3401715572</v>
      </c>
      <c r="E232" s="16">
        <v>93685351</v>
      </c>
      <c r="F232" s="66">
        <v>0</v>
      </c>
      <c r="G232" s="16">
        <v>16499592.539999999</v>
      </c>
      <c r="H232" s="17">
        <f>(E232+F232)-G232</f>
        <v>77185758.460000008</v>
      </c>
      <c r="I232" s="10">
        <v>4253258297.8699999</v>
      </c>
      <c r="J232" s="13">
        <f t="shared" ref="J232:J235" si="143">(I232/$I$236)</f>
        <v>0.23161734107581289</v>
      </c>
      <c r="K232" s="10">
        <v>3711179672</v>
      </c>
      <c r="L232" s="13">
        <f t="shared" ref="L232:L235" si="144">(K232/$K$236)</f>
        <v>0.20633904403790795</v>
      </c>
      <c r="M232" s="13">
        <f t="shared" ref="M232:M235" si="145">((K232-I232)/I232)</f>
        <v>-0.12745020121196704</v>
      </c>
      <c r="N232" s="20">
        <f t="shared" ref="N232:N235" si="146">(G232/K232)</f>
        <v>4.445915853787852E-3</v>
      </c>
      <c r="O232" s="21">
        <f t="shared" ref="O232:O235" si="147">H232/K232</f>
        <v>2.0798173433193998E-2</v>
      </c>
      <c r="P232" s="22">
        <f t="shared" ref="P232:P235" si="148">K232/V232</f>
        <v>111.8323732266191</v>
      </c>
      <c r="Q232" s="22">
        <f t="shared" ref="Q232:Q235" si="149">H232/V232</f>
        <v>2.3259090938129048</v>
      </c>
      <c r="R232" s="10">
        <v>123.3</v>
      </c>
      <c r="S232" s="10">
        <v>123.3</v>
      </c>
      <c r="T232" s="10">
        <v>9</v>
      </c>
      <c r="U232" s="10">
        <v>33185200</v>
      </c>
      <c r="V232" s="10">
        <v>33185200</v>
      </c>
    </row>
    <row r="233" spans="1:22" s="6" customFormat="1" ht="15" customHeight="1">
      <c r="A233" s="134">
        <v>3</v>
      </c>
      <c r="B233" s="25" t="s">
        <v>286</v>
      </c>
      <c r="C233" s="25" t="s">
        <v>135</v>
      </c>
      <c r="D233" s="16">
        <v>586316033.26999998</v>
      </c>
      <c r="E233" s="16">
        <v>9793210.3800000008</v>
      </c>
      <c r="F233" s="16">
        <v>1553412</v>
      </c>
      <c r="G233" s="16">
        <v>620065.76</v>
      </c>
      <c r="H233" s="17">
        <f>(E233+F233)-G233</f>
        <v>10726556.620000001</v>
      </c>
      <c r="I233" s="10">
        <v>602076106.34000003</v>
      </c>
      <c r="J233" s="13">
        <f t="shared" si="143"/>
        <v>3.2786926424286371E-2</v>
      </c>
      <c r="K233" s="10">
        <v>584853826.22000003</v>
      </c>
      <c r="L233" s="13">
        <f t="shared" si="144"/>
        <v>3.2517471550794687E-2</v>
      </c>
      <c r="M233" s="13">
        <f t="shared" si="145"/>
        <v>-2.8604822444613612E-2</v>
      </c>
      <c r="N233" s="20">
        <f t="shared" si="146"/>
        <v>1.0602063835464326E-3</v>
      </c>
      <c r="O233" s="21">
        <f t="shared" si="147"/>
        <v>1.834057697686169E-2</v>
      </c>
      <c r="P233" s="22">
        <f t="shared" si="148"/>
        <v>157643.81550794214</v>
      </c>
      <c r="Q233" s="22">
        <f t="shared" si="149"/>
        <v>2891.2785332495955</v>
      </c>
      <c r="R233" s="10">
        <f>106.56*FX_RATE</f>
        <v>157213.00828799998</v>
      </c>
      <c r="S233" s="10">
        <f>106.56*FX_RATE</f>
        <v>157213.00828799998</v>
      </c>
      <c r="T233" s="10">
        <v>5</v>
      </c>
      <c r="U233" s="10">
        <v>3614.97</v>
      </c>
      <c r="V233" s="10">
        <v>3709.97</v>
      </c>
    </row>
    <row r="234" spans="1:22" ht="15" customHeight="1">
      <c r="A234" s="134">
        <v>4</v>
      </c>
      <c r="B234" s="25" t="s">
        <v>287</v>
      </c>
      <c r="C234" s="25" t="s">
        <v>288</v>
      </c>
      <c r="D234" s="16">
        <v>11815177302.459999</v>
      </c>
      <c r="E234" s="16">
        <v>180620185.38</v>
      </c>
      <c r="F234" s="66">
        <v>0</v>
      </c>
      <c r="G234" s="16">
        <v>22871566.109999999</v>
      </c>
      <c r="H234" s="17">
        <f>(E234+F234)-G234</f>
        <v>157748619.26999998</v>
      </c>
      <c r="I234" s="10">
        <v>11514823783.68</v>
      </c>
      <c r="J234" s="13">
        <f t="shared" si="143"/>
        <v>0.62705640733555335</v>
      </c>
      <c r="K234" s="10">
        <v>11715781116.860001</v>
      </c>
      <c r="L234" s="13">
        <f t="shared" si="144"/>
        <v>0.65138939352604486</v>
      </c>
      <c r="M234" s="13">
        <f t="shared" si="145"/>
        <v>1.7452054582443356E-2</v>
      </c>
      <c r="N234" s="20">
        <f t="shared" si="146"/>
        <v>1.9522015546266805E-3</v>
      </c>
      <c r="O234" s="21">
        <f t="shared" si="147"/>
        <v>1.3464626702780097E-2</v>
      </c>
      <c r="P234" s="22">
        <f t="shared" si="148"/>
        <v>1.1232771924122724</v>
      </c>
      <c r="Q234" s="22">
        <f t="shared" si="149"/>
        <v>1.5124508079578138E-2</v>
      </c>
      <c r="R234" s="10">
        <v>1.1200000000000001</v>
      </c>
      <c r="S234" s="10">
        <v>1.1200000000000001</v>
      </c>
      <c r="T234" s="10">
        <v>16</v>
      </c>
      <c r="U234" s="10">
        <v>10430000000</v>
      </c>
      <c r="V234" s="10">
        <v>10430000000</v>
      </c>
    </row>
    <row r="235" spans="1:22" ht="15" customHeight="1">
      <c r="A235" s="134">
        <v>5</v>
      </c>
      <c r="B235" s="25" t="s">
        <v>289</v>
      </c>
      <c r="C235" s="25" t="s">
        <v>50</v>
      </c>
      <c r="D235" s="17">
        <v>132744948</v>
      </c>
      <c r="E235" s="16">
        <v>1571917</v>
      </c>
      <c r="F235" s="16">
        <v>1756400</v>
      </c>
      <c r="G235" s="16">
        <v>505350</v>
      </c>
      <c r="H235" s="17">
        <f>(E235+F235)-G235</f>
        <v>2822967</v>
      </c>
      <c r="I235" s="10">
        <v>128474594</v>
      </c>
      <c r="J235" s="13">
        <f t="shared" si="143"/>
        <v>6.9962701002609312E-3</v>
      </c>
      <c r="K235" s="10">
        <v>132541932</v>
      </c>
      <c r="L235" s="13">
        <f t="shared" si="144"/>
        <v>7.3692405005761734E-3</v>
      </c>
      <c r="M235" s="13">
        <f t="shared" si="145"/>
        <v>3.1658695103562652E-2</v>
      </c>
      <c r="N235" s="20">
        <f t="shared" si="146"/>
        <v>3.8127556492838811E-3</v>
      </c>
      <c r="O235" s="21">
        <f t="shared" si="147"/>
        <v>2.1298670974556188E-2</v>
      </c>
      <c r="P235" s="22">
        <f t="shared" si="148"/>
        <v>1.0863445913203436</v>
      </c>
      <c r="Q235" s="22">
        <f t="shared" si="149"/>
        <v>2.3137696015520702E-2</v>
      </c>
      <c r="R235" s="10">
        <v>1.0900000000000001</v>
      </c>
      <c r="S235" s="10">
        <v>1.0900000000000001</v>
      </c>
      <c r="T235" s="10">
        <v>15</v>
      </c>
      <c r="U235" s="10">
        <v>120443579.97</v>
      </c>
      <c r="V235" s="10">
        <v>122007264.59999999</v>
      </c>
    </row>
    <row r="236" spans="1:22" ht="15" customHeight="1">
      <c r="A236" s="147" t="s">
        <v>51</v>
      </c>
      <c r="B236" s="147"/>
      <c r="C236" s="147"/>
      <c r="D236" s="147"/>
      <c r="E236" s="147"/>
      <c r="F236" s="147"/>
      <c r="G236" s="147"/>
      <c r="H236" s="147"/>
      <c r="I236" s="128">
        <f>SUM(I231:I235)</f>
        <v>18363298180.1558</v>
      </c>
      <c r="J236" s="129">
        <f>(I236/$I$237)</f>
        <v>2.7653792920083959E-3</v>
      </c>
      <c r="K236" s="128">
        <f>SUM(K231:K235)</f>
        <v>17985833409.7845</v>
      </c>
      <c r="L236" s="35">
        <f>(K236/$K$237)</f>
        <v>2.6284418876819692E-3</v>
      </c>
      <c r="M236" s="63"/>
      <c r="N236" s="64"/>
      <c r="O236" s="64"/>
      <c r="P236" s="65"/>
      <c r="Q236" s="65"/>
      <c r="R236" s="37"/>
      <c r="S236" s="37"/>
      <c r="T236" s="37">
        <f>SUM(T231:T235)</f>
        <v>94</v>
      </c>
      <c r="U236" s="37"/>
      <c r="V236" s="37"/>
    </row>
    <row r="237" spans="1:22" ht="15.6" customHeight="1">
      <c r="A237" s="148" t="s">
        <v>198</v>
      </c>
      <c r="B237" s="148"/>
      <c r="C237" s="148"/>
      <c r="D237" s="148"/>
      <c r="E237" s="148"/>
      <c r="F237" s="148"/>
      <c r="G237" s="148"/>
      <c r="H237" s="148"/>
      <c r="I237" s="117">
        <f>I228+I236</f>
        <v>6640426589301.3164</v>
      </c>
      <c r="J237" s="116"/>
      <c r="K237" s="117">
        <f>K228+K236</f>
        <v>6842773847911.1904</v>
      </c>
      <c r="L237" s="116"/>
      <c r="M237" s="116"/>
      <c r="N237" s="116"/>
      <c r="O237" s="116"/>
      <c r="P237" s="116"/>
      <c r="Q237" s="116"/>
      <c r="R237" s="118"/>
      <c r="S237" s="118"/>
      <c r="T237" s="117">
        <f>T228+T236</f>
        <v>960403.02110000001</v>
      </c>
      <c r="U237" s="118"/>
      <c r="V237" s="118"/>
    </row>
    <row r="238" spans="1:22" ht="4.95" customHeight="1">
      <c r="A238" s="58"/>
      <c r="B238" s="14"/>
      <c r="C238" s="14"/>
      <c r="D238" s="6"/>
      <c r="E238" s="6"/>
      <c r="F238" s="6"/>
      <c r="G238" s="6"/>
      <c r="H238" s="7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>
      <c r="A239" s="59" t="s">
        <v>199</v>
      </c>
      <c r="B239" s="43" t="s">
        <v>303</v>
      </c>
      <c r="C239" s="62">
        <v>1475.3472999999999</v>
      </c>
      <c r="D239" s="130"/>
      <c r="E239" s="6"/>
      <c r="F239" s="6"/>
      <c r="G239" s="6"/>
      <c r="H239" s="7"/>
      <c r="I239" s="8"/>
      <c r="J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9"/>
    </row>
  </sheetData>
  <sheetProtection algorithmName="SHA-512" hashValue="xLXOW/5aXIJ2aj/SacRsOsXX5jTyNruFgl7DvsiuJER9ev5rOUXXmEWxefHLPGhX13XyIuQAStFAkqyMVZ55uA==" saltValue="IOgd/9JjERmI3yE5cpRQCw==" spinCount="100000" sheet="1" objects="1" scenarios="1"/>
  <mergeCells count="36">
    <mergeCell ref="A236:H236"/>
    <mergeCell ref="A237:H237"/>
    <mergeCell ref="A230:V230"/>
    <mergeCell ref="A1:V1"/>
    <mergeCell ref="A3:V3"/>
    <mergeCell ref="A4:V4"/>
    <mergeCell ref="A24:H24"/>
    <mergeCell ref="A25:V25"/>
    <mergeCell ref="A26:V26"/>
    <mergeCell ref="A69:H69"/>
    <mergeCell ref="A70:V70"/>
    <mergeCell ref="A71:V71"/>
    <mergeCell ref="A111:H111"/>
    <mergeCell ref="A112:V112"/>
    <mergeCell ref="A113:V113"/>
    <mergeCell ref="A114:V114"/>
    <mergeCell ref="A132:V132"/>
    <mergeCell ref="A133:V133"/>
    <mergeCell ref="A153:H153"/>
    <mergeCell ref="A154:V154"/>
    <mergeCell ref="A155:V155"/>
    <mergeCell ref="A162:H162"/>
    <mergeCell ref="A163:V163"/>
    <mergeCell ref="A164:V164"/>
    <mergeCell ref="A194:H194"/>
    <mergeCell ref="A195:V195"/>
    <mergeCell ref="A196:V196"/>
    <mergeCell ref="A199:H199"/>
    <mergeCell ref="A227:H227"/>
    <mergeCell ref="A228:H228"/>
    <mergeCell ref="A200:V200"/>
    <mergeCell ref="A201:V201"/>
    <mergeCell ref="A202:V202"/>
    <mergeCell ref="A205:V205"/>
    <mergeCell ref="A206:V206"/>
    <mergeCell ref="A222:V222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H140 J24 J69 J111 J153 J162 J194 J199 J227 J2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E8" sqref="E8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  <col min="4" max="4" width="11" bestFit="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101"/>
      <c r="B3" s="101"/>
      <c r="C3" s="101"/>
      <c r="D3" s="101"/>
      <c r="E3" s="2"/>
      <c r="F3" s="2"/>
    </row>
    <row r="4" spans="1:6" ht="33" customHeight="1">
      <c r="A4" s="67" t="s">
        <v>200</v>
      </c>
      <c r="B4" s="68" t="s">
        <v>322</v>
      </c>
      <c r="C4" s="68" t="s">
        <v>323</v>
      </c>
      <c r="D4" s="68" t="s">
        <v>321</v>
      </c>
      <c r="E4" s="57"/>
      <c r="F4" s="57"/>
    </row>
    <row r="5" spans="1:6" ht="18.899999999999999" customHeight="1">
      <c r="A5" s="69" t="s">
        <v>20</v>
      </c>
      <c r="B5" s="112">
        <v>66.406113220960009</v>
      </c>
      <c r="C5" s="113">
        <f>[1]August!K24/1000000000</f>
        <v>68.756951083019999</v>
      </c>
      <c r="D5" s="112">
        <f>September!K24/1000000000</f>
        <v>71.229762141910001</v>
      </c>
      <c r="E5" s="57"/>
      <c r="F5" s="57"/>
    </row>
    <row r="6" spans="1:6">
      <c r="A6" s="67" t="s">
        <v>52</v>
      </c>
      <c r="B6" s="114">
        <v>3486.7623653120704</v>
      </c>
      <c r="C6" s="113">
        <f>[1]August!K69/1000000000</f>
        <v>3758.7482996931194</v>
      </c>
      <c r="D6" s="112">
        <f>September!K69/1000000000</f>
        <v>4016.7591331062349</v>
      </c>
      <c r="E6" s="57"/>
      <c r="F6" s="57"/>
    </row>
    <row r="7" spans="1:6">
      <c r="A7" s="67" t="s">
        <v>201</v>
      </c>
      <c r="B7" s="112">
        <v>219.07189169631997</v>
      </c>
      <c r="C7" s="113">
        <f>[1]August!K111/1000000000</f>
        <v>230.15572161177997</v>
      </c>
      <c r="D7" s="112">
        <f>September!K111/1000000000</f>
        <v>230.13504923472004</v>
      </c>
      <c r="E7" s="57"/>
      <c r="F7" s="57"/>
    </row>
    <row r="8" spans="1:6">
      <c r="A8" s="67" t="s">
        <v>202</v>
      </c>
      <c r="B8" s="114">
        <v>1964.46643918118</v>
      </c>
      <c r="C8" s="113">
        <f>[1]August!K153/1000000000</f>
        <v>1991.8866115911712</v>
      </c>
      <c r="D8" s="112">
        <f>September!K153/1000000000</f>
        <v>1931.3497499436774</v>
      </c>
      <c r="E8" s="57"/>
      <c r="F8" s="57"/>
    </row>
    <row r="9" spans="1:6">
      <c r="A9" s="67" t="s">
        <v>203</v>
      </c>
      <c r="B9" s="112">
        <v>418.14732028246999</v>
      </c>
      <c r="C9" s="113">
        <f>[1]August!K162/1000000000</f>
        <v>422.11119852865988</v>
      </c>
      <c r="D9" s="112">
        <f>September!K162/1000000000</f>
        <v>421.89491953708995</v>
      </c>
      <c r="E9" s="57"/>
      <c r="F9" s="57"/>
    </row>
    <row r="10" spans="1:6">
      <c r="A10" s="67" t="s">
        <v>160</v>
      </c>
      <c r="B10" s="112">
        <v>75.255158315529997</v>
      </c>
      <c r="C10" s="113">
        <f>[1]August!K193/1000000000</f>
        <v>75.582820293180006</v>
      </c>
      <c r="D10" s="112">
        <f>September!K194/1000000000</f>
        <v>76.956495222053988</v>
      </c>
      <c r="E10" s="57"/>
      <c r="F10" s="57"/>
    </row>
    <row r="11" spans="1:6">
      <c r="A11" s="67" t="s">
        <v>183</v>
      </c>
      <c r="B11" s="112">
        <v>8.4979001396100013</v>
      </c>
      <c r="C11" s="113">
        <f>[1]August!K198/1000000000</f>
        <v>8.1968864990100005</v>
      </c>
      <c r="D11" s="112">
        <f>September!K199/1000000000</f>
        <v>8.1479981657499998</v>
      </c>
      <c r="E11" s="57"/>
      <c r="F11" s="57"/>
    </row>
    <row r="12" spans="1:6">
      <c r="A12" s="67" t="s">
        <v>204</v>
      </c>
      <c r="B12" s="112">
        <v>64.364207372529989</v>
      </c>
      <c r="C12" s="113">
        <f>[1]August!K224/1000000000</f>
        <v>66.624801821220004</v>
      </c>
      <c r="D12" s="112">
        <f>September!K227/1000000000</f>
        <v>68.314907149969997</v>
      </c>
      <c r="E12" s="57"/>
      <c r="F12" s="57"/>
    </row>
    <row r="13" spans="1:6">
      <c r="A13" s="115" t="s">
        <v>282</v>
      </c>
      <c r="B13" s="112">
        <f>[1]August!I233/1000000000</f>
        <v>17.932540491500276</v>
      </c>
      <c r="C13" s="112">
        <f>[1]August!K233/1000000000</f>
        <v>18.363298180155798</v>
      </c>
      <c r="D13" s="112">
        <f>September!K236/1000000000</f>
        <v>17.985833409784501</v>
      </c>
      <c r="E13" s="57"/>
      <c r="F13" s="57"/>
    </row>
    <row r="14" spans="1:6">
      <c r="A14" s="84"/>
      <c r="B14" s="84"/>
      <c r="C14" s="84"/>
      <c r="D14" s="84"/>
      <c r="E14" s="57"/>
      <c r="F14" s="57"/>
    </row>
    <row r="15" spans="1:6">
      <c r="A15" s="84"/>
      <c r="B15" s="84"/>
      <c r="C15" s="84"/>
      <c r="D15" s="84"/>
      <c r="E15" s="57"/>
      <c r="F15" s="57"/>
    </row>
    <row r="16" spans="1:6">
      <c r="A16" s="84"/>
      <c r="B16" s="85"/>
      <c r="C16" s="84"/>
      <c r="D16" s="84"/>
      <c r="E16" s="57"/>
      <c r="F16" s="57"/>
    </row>
    <row r="17" spans="1:6">
      <c r="A17" s="102"/>
      <c r="B17" s="103"/>
      <c r="C17" s="104"/>
      <c r="D17" s="101"/>
      <c r="E17" s="2"/>
      <c r="F17" s="2"/>
    </row>
    <row r="18" spans="1:6" ht="15.6">
      <c r="A18" s="105"/>
      <c r="B18" s="49"/>
      <c r="C18" s="50"/>
      <c r="D18" s="2"/>
      <c r="E18" s="2"/>
      <c r="F18" s="2"/>
    </row>
    <row r="19" spans="1:6">
      <c r="A19" s="51"/>
      <c r="B19" s="48"/>
      <c r="C19" s="52"/>
      <c r="D19" s="2"/>
      <c r="E19" s="2"/>
      <c r="F19" s="2"/>
    </row>
    <row r="20" spans="1:6">
      <c r="A20" s="51"/>
      <c r="B20" s="49"/>
      <c r="C20" s="50"/>
      <c r="D20" s="2"/>
      <c r="E20" s="2"/>
      <c r="F20" s="2"/>
    </row>
    <row r="21" spans="1:6">
      <c r="A21" s="51"/>
      <c r="B21" s="48"/>
      <c r="C21" s="52"/>
      <c r="D21" s="2"/>
      <c r="E21" s="2"/>
      <c r="F21" s="2"/>
    </row>
    <row r="22" spans="1:6">
      <c r="A22" s="51"/>
      <c r="B22" s="53"/>
      <c r="C22" s="54"/>
      <c r="D22" s="2"/>
      <c r="E22" s="2"/>
      <c r="F22" s="2"/>
    </row>
    <row r="23" spans="1:6">
      <c r="A23" s="51"/>
      <c r="B23" s="48"/>
      <c r="C23" s="52"/>
      <c r="D23" s="2"/>
      <c r="E23" s="2"/>
      <c r="F23" s="2"/>
    </row>
    <row r="24" spans="1:6">
      <c r="A24" s="51"/>
      <c r="B24" s="48"/>
      <c r="C24" s="47"/>
      <c r="D24" s="2"/>
      <c r="E24" s="2"/>
      <c r="F24" s="2"/>
    </row>
    <row r="25" spans="1:6">
      <c r="A25" s="51"/>
      <c r="B25" s="48"/>
      <c r="C25" s="48"/>
      <c r="D25" s="2"/>
      <c r="E25" s="2"/>
      <c r="F25" s="2"/>
    </row>
    <row r="26" spans="1:6">
      <c r="A26" s="51"/>
      <c r="B26" s="48"/>
      <c r="C26" s="48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WmRevl8EcXBksELo7szkFS82i+YjrwS+Em5E+Z9IgfzI9ZeJClKwJL5+vLeaKuMNHCmM4cjFt4aHqL4bQ161HQ==" saltValue="VMJTHUhU+XaCldsOVfa6s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F11" sqref="F11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70" t="s">
        <v>200</v>
      </c>
      <c r="B1" s="71" t="s">
        <v>321</v>
      </c>
      <c r="C1" s="57"/>
      <c r="D1" s="57"/>
      <c r="E1" s="2"/>
      <c r="F1" s="2"/>
    </row>
    <row r="2" spans="1:6">
      <c r="A2" s="70" t="s">
        <v>183</v>
      </c>
      <c r="B2" s="72">
        <f>September!K199</f>
        <v>8147998165.75</v>
      </c>
      <c r="C2" s="57"/>
      <c r="D2" s="57"/>
      <c r="E2" s="2"/>
      <c r="F2" s="2"/>
    </row>
    <row r="3" spans="1:6">
      <c r="A3" s="70" t="s">
        <v>282</v>
      </c>
      <c r="B3" s="72">
        <f>September!K236</f>
        <v>17985833409.7845</v>
      </c>
      <c r="C3" s="57"/>
      <c r="D3" s="57"/>
      <c r="E3" s="2"/>
      <c r="F3" s="2"/>
    </row>
    <row r="4" spans="1:6">
      <c r="A4" s="70" t="s">
        <v>204</v>
      </c>
      <c r="B4" s="73">
        <f>September!K227</f>
        <v>68314907149.970001</v>
      </c>
      <c r="C4" s="57"/>
      <c r="D4" s="57"/>
      <c r="E4" s="2"/>
      <c r="F4" s="2"/>
    </row>
    <row r="5" spans="1:6">
      <c r="A5" s="70" t="s">
        <v>20</v>
      </c>
      <c r="B5" s="74">
        <f>September!K24</f>
        <v>71229762141.910004</v>
      </c>
      <c r="C5" s="57"/>
      <c r="D5" s="57"/>
      <c r="E5" s="2"/>
      <c r="F5" s="2"/>
    </row>
    <row r="6" spans="1:6">
      <c r="A6" s="70" t="s">
        <v>160</v>
      </c>
      <c r="B6" s="74">
        <f>September!K194</f>
        <v>76956495222.053986</v>
      </c>
      <c r="C6" s="57"/>
      <c r="D6" s="57"/>
      <c r="E6" s="2"/>
      <c r="F6" s="2"/>
    </row>
    <row r="7" spans="1:6">
      <c r="A7" s="70" t="s">
        <v>201</v>
      </c>
      <c r="B7" s="75">
        <f>September!K111</f>
        <v>230135049234.72003</v>
      </c>
      <c r="C7" s="57"/>
      <c r="D7" s="57"/>
      <c r="E7" s="2"/>
      <c r="F7" s="2"/>
    </row>
    <row r="8" spans="1:6">
      <c r="A8" s="70" t="s">
        <v>203</v>
      </c>
      <c r="B8" s="75">
        <f>September!K162</f>
        <v>421894919537.08997</v>
      </c>
      <c r="C8" s="57"/>
      <c r="D8" s="57"/>
      <c r="E8" s="2"/>
      <c r="F8" s="2"/>
    </row>
    <row r="9" spans="1:6">
      <c r="A9" s="70" t="s">
        <v>202</v>
      </c>
      <c r="B9" s="74">
        <f>September!K153</f>
        <v>1931349749943.6772</v>
      </c>
      <c r="C9" s="57"/>
      <c r="D9" s="57"/>
      <c r="E9" s="2"/>
      <c r="F9" s="2"/>
    </row>
    <row r="10" spans="1:6">
      <c r="A10" s="70" t="s">
        <v>52</v>
      </c>
      <c r="B10" s="74">
        <f>September!K69</f>
        <v>4016759133106.2349</v>
      </c>
      <c r="C10" s="57"/>
      <c r="D10" s="57"/>
      <c r="E10" s="2"/>
      <c r="F10" s="2"/>
    </row>
    <row r="11" spans="1:6">
      <c r="A11" s="57"/>
      <c r="B11" s="57"/>
      <c r="C11" s="57"/>
      <c r="D11" s="57"/>
      <c r="E11" s="2"/>
      <c r="F11" s="2"/>
    </row>
    <row r="12" spans="1:6">
      <c r="A12" s="78"/>
      <c r="B12" s="57"/>
      <c r="C12" s="57"/>
      <c r="D12" s="57"/>
      <c r="E12" s="2"/>
      <c r="F12" s="2"/>
    </row>
    <row r="13" spans="1:6">
      <c r="A13" s="81"/>
      <c r="B13" s="57"/>
      <c r="C13" s="57"/>
      <c r="D13" s="57"/>
      <c r="E13" s="2"/>
      <c r="F13" s="2"/>
    </row>
    <row r="14" spans="1:6" ht="15" customHeight="1">
      <c r="A14" s="57"/>
      <c r="B14" s="82"/>
      <c r="C14" s="57"/>
      <c r="D14" s="57"/>
      <c r="E14" s="2"/>
      <c r="F14" s="2"/>
    </row>
    <row r="15" spans="1:6">
      <c r="B15" s="106"/>
      <c r="C15" s="2"/>
      <c r="D15" s="2"/>
      <c r="E15" s="2"/>
      <c r="F15" s="2"/>
    </row>
    <row r="16" spans="1:6">
      <c r="A16" s="107"/>
      <c r="B16" s="106"/>
      <c r="C16" s="2"/>
      <c r="D16" s="2"/>
      <c r="E16" s="2"/>
      <c r="F16" s="2"/>
    </row>
    <row r="17" spans="1:6">
      <c r="A17" s="108"/>
      <c r="B17" s="106"/>
      <c r="C17" s="2"/>
      <c r="D17" s="2"/>
      <c r="E17" s="2"/>
      <c r="F17" s="2"/>
    </row>
    <row r="18" spans="1:6">
      <c r="A18" s="108"/>
      <c r="B18" s="106"/>
      <c r="C18" s="2"/>
      <c r="D18" s="2"/>
      <c r="E18" s="2"/>
      <c r="F18" s="2"/>
    </row>
    <row r="19" spans="1:6">
      <c r="A19" s="107"/>
      <c r="B19" s="106"/>
      <c r="C19" s="2"/>
      <c r="D19" s="2"/>
      <c r="E19" s="2"/>
      <c r="F19" s="2"/>
    </row>
    <row r="20" spans="1:6">
      <c r="A20" s="23"/>
      <c r="B20" s="106"/>
      <c r="C20" s="2"/>
      <c r="D20" s="2"/>
      <c r="E20" s="2"/>
      <c r="F20" s="2"/>
    </row>
    <row r="21" spans="1:6">
      <c r="A21" s="109"/>
      <c r="B21" s="106"/>
      <c r="C21" s="2"/>
      <c r="D21" s="2"/>
      <c r="E21" s="2"/>
      <c r="F21" s="2"/>
    </row>
    <row r="22" spans="1:6">
      <c r="A22" s="51"/>
      <c r="B22" s="110"/>
      <c r="C22" s="2"/>
      <c r="D22" s="2"/>
      <c r="E22" s="2"/>
      <c r="F22" s="2"/>
    </row>
    <row r="23" spans="1:6">
      <c r="A23" s="2"/>
      <c r="B23" s="49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3" spans="1:17" ht="15.9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"/>
    </row>
    <row r="34" spans="1:17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"/>
    </row>
  </sheetData>
  <sheetProtection algorithmName="SHA-512" hashValue="K7oaYaQnnQeqVsJo3GAAJNfWTtzriTz6Of1xk9t840xZKFE/GXUYn9TCT8QyZKBsf4kSLlU1yLI+zR7LisifQw==" saltValue="1u/RWMKa1nhVbUwVf/3sNw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8" sqref="E8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57"/>
      <c r="B4" s="57"/>
      <c r="C4" s="57"/>
      <c r="D4" s="2"/>
      <c r="E4" s="2"/>
    </row>
    <row r="5" spans="1:5" ht="15.6">
      <c r="A5" s="76" t="s">
        <v>200</v>
      </c>
      <c r="B5" s="77" t="s">
        <v>205</v>
      </c>
      <c r="C5" s="57"/>
      <c r="D5" s="2"/>
      <c r="E5" s="2"/>
    </row>
    <row r="6" spans="1:5">
      <c r="A6" s="78" t="s">
        <v>20</v>
      </c>
      <c r="B6" s="79">
        <f>September!T24</f>
        <v>58442</v>
      </c>
      <c r="C6" s="57"/>
      <c r="D6" s="2"/>
      <c r="E6" s="2"/>
    </row>
    <row r="7" spans="1:5">
      <c r="A7" s="78" t="s">
        <v>52</v>
      </c>
      <c r="B7" s="79">
        <f>September!T69</f>
        <v>487409</v>
      </c>
      <c r="C7" s="57"/>
      <c r="D7" s="2"/>
      <c r="E7" s="2"/>
    </row>
    <row r="8" spans="1:5">
      <c r="A8" s="78" t="s">
        <v>201</v>
      </c>
      <c r="B8" s="79">
        <f>September!T111</f>
        <v>49333.021099999998</v>
      </c>
      <c r="C8" s="57"/>
      <c r="D8" s="2"/>
      <c r="E8" s="2"/>
    </row>
    <row r="9" spans="1:5">
      <c r="A9" s="78" t="s">
        <v>202</v>
      </c>
      <c r="B9" s="79">
        <f>September!T153</f>
        <v>23839</v>
      </c>
      <c r="C9" s="57"/>
      <c r="D9" s="2"/>
      <c r="E9" s="2"/>
    </row>
    <row r="10" spans="1:5">
      <c r="A10" s="78" t="s">
        <v>203</v>
      </c>
      <c r="B10" s="79">
        <f>September!T162</f>
        <v>220621</v>
      </c>
      <c r="C10" s="57"/>
      <c r="D10" s="2"/>
      <c r="E10" s="2"/>
    </row>
    <row r="11" spans="1:5">
      <c r="A11" s="78" t="s">
        <v>160</v>
      </c>
      <c r="B11" s="79">
        <f>September!T194</f>
        <v>72017</v>
      </c>
      <c r="C11" s="57"/>
      <c r="D11" s="2"/>
      <c r="E11" s="2"/>
    </row>
    <row r="12" spans="1:5">
      <c r="A12" s="78" t="s">
        <v>183</v>
      </c>
      <c r="B12" s="79">
        <f>September!T199</f>
        <v>12689</v>
      </c>
      <c r="C12" s="57"/>
      <c r="D12" s="2"/>
      <c r="E12" s="2"/>
    </row>
    <row r="13" spans="1:5">
      <c r="A13" s="78" t="s">
        <v>204</v>
      </c>
      <c r="B13" s="79">
        <f>September!T227</f>
        <v>35959</v>
      </c>
      <c r="C13" s="57"/>
      <c r="D13" s="2"/>
      <c r="E13" s="2"/>
    </row>
    <row r="14" spans="1:5">
      <c r="A14" s="83" t="s">
        <v>282</v>
      </c>
      <c r="B14" s="111">
        <f>September!T236</f>
        <v>94</v>
      </c>
      <c r="C14" s="57"/>
      <c r="D14" s="2"/>
      <c r="E14" s="2"/>
    </row>
    <row r="15" spans="1:5">
      <c r="A15" s="57"/>
      <c r="B15" s="57"/>
      <c r="C15" s="57"/>
      <c r="D15" s="2"/>
      <c r="E15" s="2"/>
    </row>
    <row r="16" spans="1:5">
      <c r="A16" s="57"/>
      <c r="B16" s="57"/>
      <c r="C16" s="57"/>
      <c r="D16" s="2"/>
      <c r="E16" s="2"/>
    </row>
    <row r="17" spans="1:5">
      <c r="A17" s="57"/>
      <c r="B17" s="57"/>
      <c r="C17" s="57"/>
      <c r="D17" s="2"/>
      <c r="E17" s="2"/>
    </row>
    <row r="18" spans="1:5">
      <c r="A18" s="57"/>
      <c r="B18" s="57"/>
      <c r="C18" s="57"/>
      <c r="D18" s="2"/>
      <c r="E18" s="2"/>
    </row>
    <row r="19" spans="1:5">
      <c r="A19" s="57"/>
      <c r="B19" s="57"/>
      <c r="C19" s="57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80"/>
    </row>
    <row r="23" spans="1:5">
      <c r="A23" s="2"/>
      <c r="B23" s="2"/>
      <c r="C23" s="2"/>
      <c r="D23" s="2"/>
      <c r="E23" s="80"/>
    </row>
    <row r="24" spans="1:5">
      <c r="A24" s="2"/>
      <c r="B24" s="2"/>
      <c r="C24" s="2"/>
      <c r="D24" s="2"/>
    </row>
    <row r="25" spans="1:5">
      <c r="A25" s="2"/>
      <c r="B25" s="2"/>
      <c r="C25" s="2"/>
      <c r="D25" s="2"/>
    </row>
    <row r="26" spans="1:5">
      <c r="A26" s="2"/>
      <c r="B26" s="2"/>
      <c r="C26" s="2"/>
      <c r="D26" s="2"/>
    </row>
  </sheetData>
  <sheetProtection algorithmName="SHA-512" hashValue="hS8fH67OJjM1SXn2guyGUrJ7J5KTMRaktNnZxVoiZfq2pVO2pD6PhSTrWlljq4jRiu5Clgi1FqU3DgzYEprNjg==" saltValue="zkGx7jKMOXb5mornhTS4b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September</vt:lpstr>
      <vt:lpstr>NAV Comparison</vt:lpstr>
      <vt:lpstr>Market Share</vt:lpstr>
      <vt:lpstr>Unitholders</vt:lpstr>
      <vt:lpstr>September!_Hlk34300669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2025-11-27T09:52:22Z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