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5588" windowHeight="92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Valuation'!$W$136</definedName>
    <definedName name="NFEM_RATE" localSheetId="0">'Weekly Valuation'!$W$136</definedName>
  </definedNames>
  <calcPr calcId="162913"/>
</workbook>
</file>

<file path=xl/calcChain.xml><?xml version="1.0" encoding="utf-8"?>
<calcChain xmlns="http://schemas.openxmlformats.org/spreadsheetml/2006/main">
  <c r="K128" i="1" l="1"/>
  <c r="N150" i="1" l="1"/>
  <c r="M150" i="1"/>
  <c r="K150" i="1"/>
  <c r="K144" i="1"/>
  <c r="M122" i="1"/>
  <c r="K122" i="1"/>
  <c r="K138" i="1"/>
  <c r="N154" i="1"/>
  <c r="M154" i="1"/>
  <c r="K154" i="1"/>
  <c r="N131" i="1" l="1"/>
  <c r="M131" i="1"/>
  <c r="K131" i="1"/>
  <c r="N146" i="1" l="1"/>
  <c r="N121" i="1"/>
  <c r="M121" i="1"/>
  <c r="K121" i="1"/>
  <c r="N124" i="1"/>
  <c r="M124" i="1"/>
  <c r="K124" i="1"/>
  <c r="K142" i="1"/>
  <c r="N137" i="1" l="1"/>
  <c r="M137" i="1"/>
  <c r="K137" i="1"/>
  <c r="N148" i="1" l="1"/>
  <c r="M148" i="1"/>
  <c r="K148" i="1"/>
  <c r="N136" i="1"/>
  <c r="M136" i="1"/>
  <c r="K136" i="1"/>
  <c r="N123" i="1"/>
  <c r="M123" i="1"/>
  <c r="K123" i="1"/>
  <c r="N153" i="1" l="1"/>
  <c r="M153" i="1"/>
  <c r="K153" i="1"/>
  <c r="K118" i="1"/>
  <c r="N117" i="1" l="1"/>
  <c r="M117" i="1"/>
  <c r="K117" i="1"/>
  <c r="N140" i="1"/>
  <c r="M140" i="1"/>
  <c r="K140" i="1"/>
  <c r="N232" i="1" l="1"/>
  <c r="M232" i="1"/>
  <c r="K232" i="1"/>
  <c r="N120" i="1"/>
  <c r="M120" i="1"/>
  <c r="K120" i="1"/>
  <c r="N119" i="1"/>
  <c r="M119" i="1"/>
  <c r="K119" i="1"/>
  <c r="N147" i="1"/>
  <c r="M147" i="1"/>
  <c r="K147" i="1"/>
  <c r="N129" i="1"/>
  <c r="M129" i="1"/>
  <c r="K129" i="1"/>
  <c r="N132" i="1" l="1"/>
  <c r="M132" i="1"/>
  <c r="K132" i="1"/>
  <c r="K130" i="1" l="1"/>
  <c r="N145" i="1"/>
  <c r="M145" i="1"/>
  <c r="K145" i="1"/>
  <c r="N234" i="1" l="1"/>
  <c r="M234" i="1"/>
  <c r="N127" i="1"/>
  <c r="M127" i="1"/>
  <c r="K127" i="1"/>
  <c r="N126" i="1"/>
  <c r="M126" i="1"/>
  <c r="K126" i="1"/>
  <c r="N152" i="1"/>
  <c r="M152" i="1"/>
  <c r="K152" i="1"/>
  <c r="N151" i="1" l="1"/>
  <c r="M151" i="1"/>
  <c r="K151" i="1"/>
  <c r="N133" i="1"/>
  <c r="M133" i="1"/>
  <c r="K133" i="1"/>
  <c r="E234" i="1" l="1"/>
  <c r="R142" i="1" l="1"/>
  <c r="S131" i="1"/>
  <c r="S127" i="1"/>
  <c r="S126" i="1"/>
  <c r="S234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F12" i="4" s="1"/>
  <c r="D10" i="4"/>
  <c r="C4" i="5" s="1"/>
  <c r="C3" i="5" s="1"/>
  <c r="C10" i="4"/>
  <c r="B10" i="4"/>
  <c r="I4" i="6"/>
  <c r="I3" i="6" s="1"/>
  <c r="H4" i="6"/>
  <c r="H3" i="6" s="1"/>
  <c r="G4" i="6"/>
  <c r="F4" i="6"/>
  <c r="E4" i="6"/>
  <c r="E3" i="6" s="1"/>
  <c r="D4" i="6"/>
  <c r="D3" i="6" s="1"/>
  <c r="C4" i="6"/>
  <c r="C3" i="6" s="1"/>
  <c r="B4" i="6"/>
  <c r="B3" i="6" s="1"/>
  <c r="G3" i="6"/>
  <c r="F3" i="6"/>
  <c r="B4" i="5"/>
  <c r="B3" i="5" s="1"/>
  <c r="V257" i="1"/>
  <c r="U257" i="1"/>
  <c r="S257" i="1"/>
  <c r="O257" i="1"/>
  <c r="K257" i="1"/>
  <c r="H257" i="1"/>
  <c r="D257" i="1"/>
  <c r="E255" i="1" s="1"/>
  <c r="V256" i="1"/>
  <c r="U256" i="1"/>
  <c r="T256" i="1"/>
  <c r="S256" i="1"/>
  <c r="R256" i="1"/>
  <c r="L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O242" i="1"/>
  <c r="K242" i="1"/>
  <c r="H242" i="1"/>
  <c r="D242" i="1"/>
  <c r="E241" i="1" s="1"/>
  <c r="V241" i="1"/>
  <c r="U241" i="1"/>
  <c r="T241" i="1"/>
  <c r="S241" i="1"/>
  <c r="R241" i="1"/>
  <c r="L241" i="1"/>
  <c r="V240" i="1"/>
  <c r="U240" i="1"/>
  <c r="T240" i="1"/>
  <c r="S240" i="1"/>
  <c r="R240" i="1"/>
  <c r="E240" i="1"/>
  <c r="O237" i="1"/>
  <c r="H237" i="1"/>
  <c r="D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R234" i="1"/>
  <c r="V233" i="1"/>
  <c r="U233" i="1"/>
  <c r="T233" i="1"/>
  <c r="S233" i="1"/>
  <c r="R233" i="1"/>
  <c r="V232" i="1"/>
  <c r="U232" i="1"/>
  <c r="T232" i="1"/>
  <c r="S232" i="1"/>
  <c r="K237" i="1"/>
  <c r="V228" i="1"/>
  <c r="U228" i="1"/>
  <c r="S228" i="1"/>
  <c r="O228" i="1"/>
  <c r="K228" i="1"/>
  <c r="B4" i="3" s="1"/>
  <c r="H228" i="1"/>
  <c r="D228" i="1"/>
  <c r="B20" i="2" s="1"/>
  <c r="B10" i="2" s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E224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5" i="1"/>
  <c r="U205" i="1"/>
  <c r="T205" i="1"/>
  <c r="S205" i="1"/>
  <c r="R205" i="1"/>
  <c r="V204" i="1"/>
  <c r="U204" i="1"/>
  <c r="T204" i="1"/>
  <c r="S204" i="1"/>
  <c r="R204" i="1"/>
  <c r="V200" i="1"/>
  <c r="U200" i="1"/>
  <c r="S200" i="1"/>
  <c r="O200" i="1"/>
  <c r="T200" i="1" s="1"/>
  <c r="K200" i="1"/>
  <c r="B2" i="3" s="1"/>
  <c r="H200" i="1"/>
  <c r="D200" i="1"/>
  <c r="B19" i="2" s="1"/>
  <c r="B9" i="2" s="1"/>
  <c r="V199" i="1"/>
  <c r="U199" i="1"/>
  <c r="T199" i="1"/>
  <c r="S199" i="1"/>
  <c r="R199" i="1"/>
  <c r="E199" i="1"/>
  <c r="V198" i="1"/>
  <c r="U198" i="1"/>
  <c r="T198" i="1"/>
  <c r="S198" i="1"/>
  <c r="R198" i="1"/>
  <c r="L198" i="1"/>
  <c r="V195" i="1"/>
  <c r="U195" i="1"/>
  <c r="S195" i="1"/>
  <c r="O195" i="1"/>
  <c r="K195" i="1"/>
  <c r="H195" i="1"/>
  <c r="T195" i="1" s="1"/>
  <c r="D195" i="1"/>
  <c r="B18" i="2" s="1"/>
  <c r="B8" i="2" s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E177" i="1"/>
  <c r="V176" i="1"/>
  <c r="U176" i="1"/>
  <c r="T176" i="1"/>
  <c r="S176" i="1"/>
  <c r="R176" i="1"/>
  <c r="V175" i="1"/>
  <c r="U175" i="1"/>
  <c r="T175" i="1"/>
  <c r="S175" i="1"/>
  <c r="R175" i="1"/>
  <c r="E175" i="1"/>
  <c r="V174" i="1"/>
  <c r="U174" i="1"/>
  <c r="T174" i="1"/>
  <c r="S174" i="1"/>
  <c r="R174" i="1"/>
  <c r="V173" i="1"/>
  <c r="U173" i="1"/>
  <c r="T173" i="1"/>
  <c r="S173" i="1"/>
  <c r="R173" i="1"/>
  <c r="E173" i="1"/>
  <c r="V172" i="1"/>
  <c r="U172" i="1"/>
  <c r="T172" i="1"/>
  <c r="S172" i="1"/>
  <c r="R172" i="1"/>
  <c r="V171" i="1"/>
  <c r="U171" i="1"/>
  <c r="T171" i="1"/>
  <c r="S171" i="1"/>
  <c r="R171" i="1"/>
  <c r="E171" i="1"/>
  <c r="V170" i="1"/>
  <c r="U170" i="1"/>
  <c r="T170" i="1"/>
  <c r="S170" i="1"/>
  <c r="R170" i="1"/>
  <c r="V169" i="1"/>
  <c r="U169" i="1"/>
  <c r="T169" i="1"/>
  <c r="S169" i="1"/>
  <c r="R169" i="1"/>
  <c r="E169" i="1"/>
  <c r="V168" i="1"/>
  <c r="U168" i="1"/>
  <c r="T168" i="1"/>
  <c r="S168" i="1"/>
  <c r="R168" i="1"/>
  <c r="V167" i="1"/>
  <c r="U167" i="1"/>
  <c r="T167" i="1"/>
  <c r="S167" i="1"/>
  <c r="R167" i="1"/>
  <c r="E167" i="1"/>
  <c r="V164" i="1"/>
  <c r="U164" i="1"/>
  <c r="S164" i="1"/>
  <c r="O164" i="1"/>
  <c r="K164" i="1"/>
  <c r="L160" i="1" s="1"/>
  <c r="H164" i="1"/>
  <c r="D164" i="1"/>
  <c r="B17" i="2" s="1"/>
  <c r="B7" i="2" s="1"/>
  <c r="V163" i="1"/>
  <c r="U163" i="1"/>
  <c r="T163" i="1"/>
  <c r="S163" i="1"/>
  <c r="R163" i="1"/>
  <c r="E163" i="1"/>
  <c r="V162" i="1"/>
  <c r="U162" i="1"/>
  <c r="T162" i="1"/>
  <c r="S162" i="1"/>
  <c r="R162" i="1"/>
  <c r="L162" i="1"/>
  <c r="E162" i="1"/>
  <c r="V161" i="1"/>
  <c r="U161" i="1"/>
  <c r="T161" i="1"/>
  <c r="S161" i="1"/>
  <c r="R161" i="1"/>
  <c r="E161" i="1"/>
  <c r="V160" i="1"/>
  <c r="U160" i="1"/>
  <c r="T160" i="1"/>
  <c r="S160" i="1"/>
  <c r="R160" i="1"/>
  <c r="E160" i="1"/>
  <c r="V159" i="1"/>
  <c r="U159" i="1"/>
  <c r="T159" i="1"/>
  <c r="S159" i="1"/>
  <c r="R159" i="1"/>
  <c r="V158" i="1"/>
  <c r="U158" i="1"/>
  <c r="T158" i="1"/>
  <c r="S158" i="1"/>
  <c r="R158" i="1"/>
  <c r="E158" i="1"/>
  <c r="V155" i="1"/>
  <c r="U155" i="1"/>
  <c r="S155" i="1"/>
  <c r="O155" i="1"/>
  <c r="H155" i="1"/>
  <c r="D155" i="1"/>
  <c r="B16" i="2" s="1"/>
  <c r="B6" i="2" s="1"/>
  <c r="V154" i="1"/>
  <c r="U154" i="1"/>
  <c r="T154" i="1"/>
  <c r="R154" i="1"/>
  <c r="S154" i="1"/>
  <c r="V153" i="1"/>
  <c r="U153" i="1"/>
  <c r="T153" i="1"/>
  <c r="R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M146" i="1"/>
  <c r="V145" i="1"/>
  <c r="U145" i="1"/>
  <c r="T145" i="1"/>
  <c r="S145" i="1"/>
  <c r="R145" i="1"/>
  <c r="V144" i="1"/>
  <c r="U144" i="1"/>
  <c r="T144" i="1"/>
  <c r="N144" i="1"/>
  <c r="S144" i="1" s="1"/>
  <c r="M144" i="1"/>
  <c r="R144" i="1"/>
  <c r="V143" i="1"/>
  <c r="U143" i="1"/>
  <c r="T143" i="1"/>
  <c r="R143" i="1"/>
  <c r="N143" i="1"/>
  <c r="S143" i="1" s="1"/>
  <c r="M143" i="1"/>
  <c r="V142" i="1"/>
  <c r="U142" i="1"/>
  <c r="T142" i="1"/>
  <c r="N142" i="1"/>
  <c r="S142" i="1" s="1"/>
  <c r="M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8" i="1"/>
  <c r="U138" i="1"/>
  <c r="T138" i="1"/>
  <c r="N138" i="1"/>
  <c r="S138" i="1" s="1"/>
  <c r="M138" i="1"/>
  <c r="V137" i="1"/>
  <c r="U137" i="1"/>
  <c r="T137" i="1"/>
  <c r="S137" i="1"/>
  <c r="R137" i="1"/>
  <c r="V136" i="1"/>
  <c r="U136" i="1"/>
  <c r="T136" i="1"/>
  <c r="S136" i="1"/>
  <c r="R136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R131" i="1"/>
  <c r="V130" i="1"/>
  <c r="U130" i="1"/>
  <c r="T130" i="1"/>
  <c r="N130" i="1"/>
  <c r="S130" i="1" s="1"/>
  <c r="M130" i="1"/>
  <c r="R130" i="1"/>
  <c r="V129" i="1"/>
  <c r="U129" i="1"/>
  <c r="T129" i="1"/>
  <c r="S129" i="1"/>
  <c r="R129" i="1"/>
  <c r="V128" i="1"/>
  <c r="U128" i="1"/>
  <c r="T128" i="1"/>
  <c r="N128" i="1"/>
  <c r="S128" i="1" s="1"/>
  <c r="M128" i="1"/>
  <c r="V127" i="1"/>
  <c r="U127" i="1"/>
  <c r="T127" i="1"/>
  <c r="V126" i="1"/>
  <c r="U126" i="1"/>
  <c r="T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N122" i="1"/>
  <c r="S122" i="1" s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N118" i="1"/>
  <c r="S118" i="1" s="1"/>
  <c r="M118" i="1"/>
  <c r="V117" i="1"/>
  <c r="U117" i="1"/>
  <c r="T117" i="1"/>
  <c r="S117" i="1"/>
  <c r="V113" i="1"/>
  <c r="U113" i="1"/>
  <c r="S113" i="1"/>
  <c r="O113" i="1"/>
  <c r="K113" i="1"/>
  <c r="H113" i="1"/>
  <c r="D113" i="1"/>
  <c r="B15" i="2" s="1"/>
  <c r="B5" i="2" s="1"/>
  <c r="V112" i="1"/>
  <c r="U112" i="1"/>
  <c r="T112" i="1"/>
  <c r="S112" i="1"/>
  <c r="R112" i="1"/>
  <c r="L112" i="1"/>
  <c r="V111" i="1"/>
  <c r="U111" i="1"/>
  <c r="T111" i="1"/>
  <c r="S111" i="1"/>
  <c r="R111" i="1"/>
  <c r="E111" i="1"/>
  <c r="V110" i="1"/>
  <c r="U110" i="1"/>
  <c r="T110" i="1"/>
  <c r="S110" i="1"/>
  <c r="R110" i="1"/>
  <c r="V109" i="1"/>
  <c r="U109" i="1"/>
  <c r="T109" i="1"/>
  <c r="S109" i="1"/>
  <c r="R109" i="1"/>
  <c r="E109" i="1"/>
  <c r="V108" i="1"/>
  <c r="U108" i="1"/>
  <c r="T108" i="1"/>
  <c r="S108" i="1"/>
  <c r="R108" i="1"/>
  <c r="V107" i="1"/>
  <c r="U107" i="1"/>
  <c r="T107" i="1"/>
  <c r="S107" i="1"/>
  <c r="R107" i="1"/>
  <c r="E107" i="1"/>
  <c r="V106" i="1"/>
  <c r="U106" i="1"/>
  <c r="T106" i="1"/>
  <c r="S106" i="1"/>
  <c r="R106" i="1"/>
  <c r="V105" i="1"/>
  <c r="U105" i="1"/>
  <c r="T105" i="1"/>
  <c r="S105" i="1"/>
  <c r="R105" i="1"/>
  <c r="E105" i="1"/>
  <c r="V104" i="1"/>
  <c r="U104" i="1"/>
  <c r="T104" i="1"/>
  <c r="S104" i="1"/>
  <c r="R104" i="1"/>
  <c r="V103" i="1"/>
  <c r="U103" i="1"/>
  <c r="T103" i="1"/>
  <c r="S103" i="1"/>
  <c r="R103" i="1"/>
  <c r="E103" i="1"/>
  <c r="V102" i="1"/>
  <c r="U102" i="1"/>
  <c r="T102" i="1"/>
  <c r="S102" i="1"/>
  <c r="R102" i="1"/>
  <c r="V101" i="1"/>
  <c r="U101" i="1"/>
  <c r="T101" i="1"/>
  <c r="S101" i="1"/>
  <c r="R101" i="1"/>
  <c r="E101" i="1"/>
  <c r="V100" i="1"/>
  <c r="U100" i="1"/>
  <c r="T100" i="1"/>
  <c r="S100" i="1"/>
  <c r="R100" i="1"/>
  <c r="V99" i="1"/>
  <c r="U99" i="1"/>
  <c r="T99" i="1"/>
  <c r="S99" i="1"/>
  <c r="R99" i="1"/>
  <c r="E99" i="1"/>
  <c r="V98" i="1"/>
  <c r="U98" i="1"/>
  <c r="T98" i="1"/>
  <c r="S98" i="1"/>
  <c r="R98" i="1"/>
  <c r="V97" i="1"/>
  <c r="U97" i="1"/>
  <c r="T97" i="1"/>
  <c r="S97" i="1"/>
  <c r="R97" i="1"/>
  <c r="E97" i="1"/>
  <c r="V96" i="1"/>
  <c r="U96" i="1"/>
  <c r="T96" i="1"/>
  <c r="S96" i="1"/>
  <c r="R96" i="1"/>
  <c r="V95" i="1"/>
  <c r="U95" i="1"/>
  <c r="T95" i="1"/>
  <c r="S95" i="1"/>
  <c r="R95" i="1"/>
  <c r="E95" i="1"/>
  <c r="V94" i="1"/>
  <c r="U94" i="1"/>
  <c r="T94" i="1"/>
  <c r="S94" i="1"/>
  <c r="R94" i="1"/>
  <c r="V93" i="1"/>
  <c r="U93" i="1"/>
  <c r="T93" i="1"/>
  <c r="S93" i="1"/>
  <c r="R93" i="1"/>
  <c r="E93" i="1"/>
  <c r="V92" i="1"/>
  <c r="U92" i="1"/>
  <c r="T92" i="1"/>
  <c r="S92" i="1"/>
  <c r="R92" i="1"/>
  <c r="V91" i="1"/>
  <c r="U91" i="1"/>
  <c r="T91" i="1"/>
  <c r="S91" i="1"/>
  <c r="R91" i="1"/>
  <c r="E91" i="1"/>
  <c r="V90" i="1"/>
  <c r="U90" i="1"/>
  <c r="T90" i="1"/>
  <c r="S90" i="1"/>
  <c r="R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V85" i="1"/>
  <c r="U85" i="1"/>
  <c r="T85" i="1"/>
  <c r="S85" i="1"/>
  <c r="R85" i="1"/>
  <c r="E85" i="1"/>
  <c r="V84" i="1"/>
  <c r="U84" i="1"/>
  <c r="T84" i="1"/>
  <c r="S84" i="1"/>
  <c r="R84" i="1"/>
  <c r="V83" i="1"/>
  <c r="U83" i="1"/>
  <c r="T83" i="1"/>
  <c r="S83" i="1"/>
  <c r="R83" i="1"/>
  <c r="E83" i="1"/>
  <c r="V82" i="1"/>
  <c r="U82" i="1"/>
  <c r="T82" i="1"/>
  <c r="S82" i="1"/>
  <c r="R82" i="1"/>
  <c r="V81" i="1"/>
  <c r="U81" i="1"/>
  <c r="T81" i="1"/>
  <c r="S81" i="1"/>
  <c r="R81" i="1"/>
  <c r="E81" i="1"/>
  <c r="V80" i="1"/>
  <c r="U80" i="1"/>
  <c r="T80" i="1"/>
  <c r="S80" i="1"/>
  <c r="R80" i="1"/>
  <c r="V79" i="1"/>
  <c r="U79" i="1"/>
  <c r="T79" i="1"/>
  <c r="S79" i="1"/>
  <c r="R79" i="1"/>
  <c r="E79" i="1"/>
  <c r="V78" i="1"/>
  <c r="U78" i="1"/>
  <c r="T78" i="1"/>
  <c r="S78" i="1"/>
  <c r="R78" i="1"/>
  <c r="V77" i="1"/>
  <c r="U77" i="1"/>
  <c r="T77" i="1"/>
  <c r="S77" i="1"/>
  <c r="R77" i="1"/>
  <c r="E77" i="1"/>
  <c r="V76" i="1"/>
  <c r="U76" i="1"/>
  <c r="T76" i="1"/>
  <c r="S76" i="1"/>
  <c r="R76" i="1"/>
  <c r="V75" i="1"/>
  <c r="U75" i="1"/>
  <c r="T75" i="1"/>
  <c r="S75" i="1"/>
  <c r="R75" i="1"/>
  <c r="E75" i="1"/>
  <c r="V74" i="1"/>
  <c r="U74" i="1"/>
  <c r="T74" i="1"/>
  <c r="S74" i="1"/>
  <c r="R74" i="1"/>
  <c r="V71" i="1"/>
  <c r="U71" i="1"/>
  <c r="S71" i="1"/>
  <c r="O71" i="1"/>
  <c r="K71" i="1"/>
  <c r="L56" i="1" s="1"/>
  <c r="H71" i="1"/>
  <c r="D71" i="1"/>
  <c r="B14" i="2" s="1"/>
  <c r="B4" i="2" s="1"/>
  <c r="V70" i="1"/>
  <c r="U70" i="1"/>
  <c r="T70" i="1"/>
  <c r="S70" i="1"/>
  <c r="R70" i="1"/>
  <c r="L70" i="1"/>
  <c r="V69" i="1"/>
  <c r="U69" i="1"/>
  <c r="T69" i="1"/>
  <c r="S69" i="1"/>
  <c r="R69" i="1"/>
  <c r="E69" i="1"/>
  <c r="V68" i="1"/>
  <c r="U68" i="1"/>
  <c r="T68" i="1"/>
  <c r="S68" i="1"/>
  <c r="R68" i="1"/>
  <c r="L68" i="1"/>
  <c r="V67" i="1"/>
  <c r="U67" i="1"/>
  <c r="T67" i="1"/>
  <c r="S67" i="1"/>
  <c r="R67" i="1"/>
  <c r="E67" i="1"/>
  <c r="V66" i="1"/>
  <c r="U66" i="1"/>
  <c r="T66" i="1"/>
  <c r="S66" i="1"/>
  <c r="R66" i="1"/>
  <c r="L66" i="1"/>
  <c r="V65" i="1"/>
  <c r="U65" i="1"/>
  <c r="T65" i="1"/>
  <c r="S65" i="1"/>
  <c r="R65" i="1"/>
  <c r="E65" i="1"/>
  <c r="V64" i="1"/>
  <c r="U64" i="1"/>
  <c r="T64" i="1"/>
  <c r="S64" i="1"/>
  <c r="R64" i="1"/>
  <c r="L64" i="1"/>
  <c r="V63" i="1"/>
  <c r="U63" i="1"/>
  <c r="T63" i="1"/>
  <c r="S63" i="1"/>
  <c r="R63" i="1"/>
  <c r="E63" i="1"/>
  <c r="V62" i="1"/>
  <c r="U62" i="1"/>
  <c r="T62" i="1"/>
  <c r="S62" i="1"/>
  <c r="R62" i="1"/>
  <c r="L62" i="1"/>
  <c r="V61" i="1"/>
  <c r="U61" i="1"/>
  <c r="T61" i="1"/>
  <c r="S61" i="1"/>
  <c r="R61" i="1"/>
  <c r="E61" i="1"/>
  <c r="V60" i="1"/>
  <c r="U60" i="1"/>
  <c r="T60" i="1"/>
  <c r="S60" i="1"/>
  <c r="R60" i="1"/>
  <c r="L60" i="1"/>
  <c r="V59" i="1"/>
  <c r="U59" i="1"/>
  <c r="T59" i="1"/>
  <c r="S59" i="1"/>
  <c r="R59" i="1"/>
  <c r="E59" i="1"/>
  <c r="V58" i="1"/>
  <c r="U58" i="1"/>
  <c r="T58" i="1"/>
  <c r="S58" i="1"/>
  <c r="R58" i="1"/>
  <c r="L58" i="1"/>
  <c r="V57" i="1"/>
  <c r="U57" i="1"/>
  <c r="T57" i="1"/>
  <c r="S57" i="1"/>
  <c r="R57" i="1"/>
  <c r="E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E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34" i="1" s="1"/>
  <c r="V24" i="1"/>
  <c r="U24" i="1"/>
  <c r="T24" i="1"/>
  <c r="S24" i="1"/>
  <c r="R24" i="1"/>
  <c r="V23" i="1"/>
  <c r="U23" i="1"/>
  <c r="T23" i="1"/>
  <c r="S23" i="1"/>
  <c r="R23" i="1"/>
  <c r="E23" i="1"/>
  <c r="V22" i="1"/>
  <c r="U22" i="1"/>
  <c r="T22" i="1"/>
  <c r="S22" i="1"/>
  <c r="R22" i="1"/>
  <c r="V21" i="1"/>
  <c r="U21" i="1"/>
  <c r="T21" i="1"/>
  <c r="S21" i="1"/>
  <c r="R21" i="1"/>
  <c r="E21" i="1"/>
  <c r="V20" i="1"/>
  <c r="U20" i="1"/>
  <c r="T20" i="1"/>
  <c r="S20" i="1"/>
  <c r="R20" i="1"/>
  <c r="V19" i="1"/>
  <c r="U19" i="1"/>
  <c r="T19" i="1"/>
  <c r="S19" i="1"/>
  <c r="R19" i="1"/>
  <c r="E19" i="1"/>
  <c r="V18" i="1"/>
  <c r="U18" i="1"/>
  <c r="T18" i="1"/>
  <c r="S18" i="1"/>
  <c r="R18" i="1"/>
  <c r="V17" i="1"/>
  <c r="U17" i="1"/>
  <c r="T17" i="1"/>
  <c r="S17" i="1"/>
  <c r="R17" i="1"/>
  <c r="E17" i="1"/>
  <c r="V16" i="1"/>
  <c r="U16" i="1"/>
  <c r="T16" i="1"/>
  <c r="S16" i="1"/>
  <c r="R16" i="1"/>
  <c r="V15" i="1"/>
  <c r="U15" i="1"/>
  <c r="T15" i="1"/>
  <c r="S15" i="1"/>
  <c r="R15" i="1"/>
  <c r="E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V11" i="1"/>
  <c r="U11" i="1"/>
  <c r="T11" i="1"/>
  <c r="S11" i="1"/>
  <c r="R11" i="1"/>
  <c r="E11" i="1"/>
  <c r="V10" i="1"/>
  <c r="U10" i="1"/>
  <c r="T10" i="1"/>
  <c r="S10" i="1"/>
  <c r="R10" i="1"/>
  <c r="V9" i="1"/>
  <c r="U9" i="1"/>
  <c r="T9" i="1"/>
  <c r="S9" i="1"/>
  <c r="R9" i="1"/>
  <c r="E9" i="1"/>
  <c r="V8" i="1"/>
  <c r="U8" i="1"/>
  <c r="T8" i="1"/>
  <c r="S8" i="1"/>
  <c r="R8" i="1"/>
  <c r="V7" i="1"/>
  <c r="U7" i="1"/>
  <c r="T7" i="1"/>
  <c r="S7" i="1"/>
  <c r="R7" i="1"/>
  <c r="E7" i="1"/>
  <c r="V6" i="1"/>
  <c r="U6" i="1"/>
  <c r="T6" i="1"/>
  <c r="S6" i="1"/>
  <c r="R6" i="1"/>
  <c r="D12" i="4" l="1"/>
  <c r="T228" i="1"/>
  <c r="L84" i="1"/>
  <c r="L93" i="1"/>
  <c r="E51" i="1"/>
  <c r="L52" i="1"/>
  <c r="E53" i="1"/>
  <c r="L54" i="1"/>
  <c r="E55" i="1"/>
  <c r="L22" i="1"/>
  <c r="L34" i="1"/>
  <c r="B5" i="3"/>
  <c r="L177" i="1"/>
  <c r="E153" i="1"/>
  <c r="K155" i="1"/>
  <c r="B8" i="3" s="1"/>
  <c r="T257" i="1"/>
  <c r="R257" i="1"/>
  <c r="E246" i="1"/>
  <c r="E248" i="1"/>
  <c r="E250" i="1"/>
  <c r="E252" i="1"/>
  <c r="E256" i="1"/>
  <c r="E254" i="1"/>
  <c r="E245" i="1"/>
  <c r="E247" i="1"/>
  <c r="E249" i="1"/>
  <c r="E251" i="1"/>
  <c r="E253" i="1"/>
  <c r="R242" i="1"/>
  <c r="E210" i="1"/>
  <c r="E208" i="1"/>
  <c r="E204" i="1"/>
  <c r="E226" i="1"/>
  <c r="E220" i="1"/>
  <c r="E218" i="1"/>
  <c r="E216" i="1"/>
  <c r="E214" i="1"/>
  <c r="E198" i="1"/>
  <c r="E193" i="1"/>
  <c r="E191" i="1"/>
  <c r="E189" i="1"/>
  <c r="E187" i="1"/>
  <c r="E185" i="1"/>
  <c r="E168" i="1"/>
  <c r="E170" i="1"/>
  <c r="E183" i="1"/>
  <c r="E181" i="1"/>
  <c r="E179" i="1"/>
  <c r="T164" i="1"/>
  <c r="T155" i="1"/>
  <c r="E129" i="1"/>
  <c r="E144" i="1"/>
  <c r="E146" i="1"/>
  <c r="E117" i="1"/>
  <c r="E119" i="1"/>
  <c r="E127" i="1"/>
  <c r="E125" i="1"/>
  <c r="E133" i="1"/>
  <c r="E150" i="1"/>
  <c r="E121" i="1"/>
  <c r="E137" i="1"/>
  <c r="E139" i="1"/>
  <c r="E141" i="1"/>
  <c r="E152" i="1"/>
  <c r="E143" i="1"/>
  <c r="E128" i="1"/>
  <c r="E145" i="1"/>
  <c r="E154" i="1"/>
  <c r="E118" i="1"/>
  <c r="E130" i="1"/>
  <c r="E147" i="1"/>
  <c r="E120" i="1"/>
  <c r="E124" i="1"/>
  <c r="E126" i="1"/>
  <c r="E132" i="1"/>
  <c r="E149" i="1"/>
  <c r="E151" i="1"/>
  <c r="E131" i="1"/>
  <c r="E148" i="1"/>
  <c r="E122" i="1"/>
  <c r="E136" i="1"/>
  <c r="E138" i="1"/>
  <c r="E142" i="1"/>
  <c r="H229" i="1"/>
  <c r="H258" i="1" s="1"/>
  <c r="T113" i="1"/>
  <c r="R113" i="1"/>
  <c r="E80" i="1"/>
  <c r="E82" i="1"/>
  <c r="E84" i="1"/>
  <c r="E100" i="1"/>
  <c r="E102" i="1"/>
  <c r="E104" i="1"/>
  <c r="E106" i="1"/>
  <c r="E108" i="1"/>
  <c r="E110" i="1"/>
  <c r="E112" i="1"/>
  <c r="E74" i="1"/>
  <c r="E76" i="1"/>
  <c r="E86" i="1"/>
  <c r="E88" i="1"/>
  <c r="E90" i="1"/>
  <c r="E92" i="1"/>
  <c r="E94" i="1"/>
  <c r="E96" i="1"/>
  <c r="T71" i="1"/>
  <c r="E6" i="1"/>
  <c r="E8" i="1"/>
  <c r="E10" i="1"/>
  <c r="E12" i="1"/>
  <c r="E14" i="1"/>
  <c r="E16" i="1"/>
  <c r="E18" i="1"/>
  <c r="E22" i="1"/>
  <c r="E24" i="1"/>
  <c r="E20" i="1"/>
  <c r="J12" i="4"/>
  <c r="D4" i="5"/>
  <c r="D3" i="5" s="1"/>
  <c r="H12" i="4"/>
  <c r="L98" i="1"/>
  <c r="L36" i="1"/>
  <c r="L204" i="1"/>
  <c r="L205" i="1"/>
  <c r="L210" i="1"/>
  <c r="L211" i="1"/>
  <c r="L212" i="1"/>
  <c r="L213" i="1"/>
  <c r="L216" i="1"/>
  <c r="L217" i="1"/>
  <c r="L220" i="1"/>
  <c r="L221" i="1"/>
  <c r="L226" i="1"/>
  <c r="L227" i="1"/>
  <c r="L92" i="1"/>
  <c r="L104" i="1"/>
  <c r="L74" i="1"/>
  <c r="L80" i="1"/>
  <c r="L88" i="1"/>
  <c r="L96" i="1"/>
  <c r="L100" i="1"/>
  <c r="L108" i="1"/>
  <c r="L76" i="1"/>
  <c r="L78" i="1"/>
  <c r="L82" i="1"/>
  <c r="L86" i="1"/>
  <c r="L90" i="1"/>
  <c r="L94" i="1"/>
  <c r="L102" i="1"/>
  <c r="L106" i="1"/>
  <c r="L110" i="1"/>
  <c r="L170" i="1"/>
  <c r="L173" i="1"/>
  <c r="L174" i="1"/>
  <c r="L178" i="1"/>
  <c r="L181" i="1"/>
  <c r="L182" i="1"/>
  <c r="L185" i="1"/>
  <c r="L186" i="1"/>
  <c r="L189" i="1"/>
  <c r="L190" i="1"/>
  <c r="L193" i="1"/>
  <c r="L194" i="1"/>
  <c r="L168" i="1"/>
  <c r="L248" i="1"/>
  <c r="L252" i="1"/>
  <c r="L246" i="1"/>
  <c r="L250" i="1"/>
  <c r="L254" i="1"/>
  <c r="L245" i="1"/>
  <c r="L247" i="1"/>
  <c r="L249" i="1"/>
  <c r="L251" i="1"/>
  <c r="L253" i="1"/>
  <c r="L255" i="1"/>
  <c r="L50" i="1"/>
  <c r="L167" i="1"/>
  <c r="L169" i="1"/>
  <c r="L171" i="1"/>
  <c r="L172" i="1"/>
  <c r="L175" i="1"/>
  <c r="L176" i="1"/>
  <c r="L179" i="1"/>
  <c r="L180" i="1"/>
  <c r="L183" i="1"/>
  <c r="L184" i="1"/>
  <c r="L187" i="1"/>
  <c r="L188" i="1"/>
  <c r="L191" i="1"/>
  <c r="L192" i="1"/>
  <c r="E28" i="1"/>
  <c r="L29" i="1"/>
  <c r="E30" i="1"/>
  <c r="L31" i="1"/>
  <c r="E32" i="1"/>
  <c r="L33" i="1"/>
  <c r="L23" i="1"/>
  <c r="L10" i="1"/>
  <c r="L6" i="1"/>
  <c r="L14" i="1"/>
  <c r="L8" i="1"/>
  <c r="L12" i="1"/>
  <c r="L16" i="1"/>
  <c r="L7" i="1"/>
  <c r="L9" i="1"/>
  <c r="L11" i="1"/>
  <c r="L13" i="1"/>
  <c r="L15" i="1"/>
  <c r="L19" i="1"/>
  <c r="L17" i="1"/>
  <c r="L21" i="1"/>
  <c r="L75" i="1"/>
  <c r="L77" i="1"/>
  <c r="E78" i="1"/>
  <c r="L79" i="1"/>
  <c r="L81" i="1"/>
  <c r="L83" i="1"/>
  <c r="L85" i="1"/>
  <c r="L87" i="1"/>
  <c r="L89" i="1"/>
  <c r="L91" i="1"/>
  <c r="L95" i="1"/>
  <c r="L97" i="1"/>
  <c r="L99" i="1"/>
  <c r="L101" i="1"/>
  <c r="L103" i="1"/>
  <c r="L105" i="1"/>
  <c r="L107" i="1"/>
  <c r="L109" i="1"/>
  <c r="L111" i="1"/>
  <c r="L35" i="1"/>
  <c r="E36" i="1"/>
  <c r="L37" i="1"/>
  <c r="E38" i="1"/>
  <c r="L39" i="1"/>
  <c r="L40" i="1"/>
  <c r="E41" i="1"/>
  <c r="L42" i="1"/>
  <c r="E43" i="1"/>
  <c r="L44" i="1"/>
  <c r="E45" i="1"/>
  <c r="L46" i="1"/>
  <c r="E47" i="1"/>
  <c r="L48" i="1"/>
  <c r="E49" i="1"/>
  <c r="O229" i="1"/>
  <c r="O258" i="1" s="1"/>
  <c r="L208" i="1"/>
  <c r="L209" i="1"/>
  <c r="L214" i="1"/>
  <c r="L215" i="1"/>
  <c r="L218" i="1"/>
  <c r="L219" i="1"/>
  <c r="L18" i="1"/>
  <c r="L20" i="1"/>
  <c r="L28" i="1"/>
  <c r="E29" i="1"/>
  <c r="L30" i="1"/>
  <c r="E31" i="1"/>
  <c r="L32" i="1"/>
  <c r="E33" i="1"/>
  <c r="E35" i="1"/>
  <c r="E37" i="1"/>
  <c r="L38" i="1"/>
  <c r="E39" i="1"/>
  <c r="L41" i="1"/>
  <c r="E42" i="1"/>
  <c r="L43" i="1"/>
  <c r="E44" i="1"/>
  <c r="L45" i="1"/>
  <c r="E46" i="1"/>
  <c r="L47" i="1"/>
  <c r="E48" i="1"/>
  <c r="L49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E68" i="1"/>
  <c r="L69" i="1"/>
  <c r="E70" i="1"/>
  <c r="B3" i="3"/>
  <c r="C13" i="2"/>
  <c r="C3" i="2" s="1"/>
  <c r="R71" i="1"/>
  <c r="R117" i="1"/>
  <c r="R118" i="1"/>
  <c r="R119" i="1"/>
  <c r="R126" i="1"/>
  <c r="R127" i="1"/>
  <c r="R128" i="1"/>
  <c r="R152" i="1"/>
  <c r="B6" i="3"/>
  <c r="C17" i="2"/>
  <c r="C7" i="2" s="1"/>
  <c r="R164" i="1"/>
  <c r="L163" i="1"/>
  <c r="L161" i="1"/>
  <c r="L159" i="1"/>
  <c r="L158" i="1"/>
  <c r="L235" i="1"/>
  <c r="L232" i="1"/>
  <c r="R237" i="1"/>
  <c r="L236" i="1"/>
  <c r="L233" i="1"/>
  <c r="L24" i="1"/>
  <c r="B13" i="2"/>
  <c r="B3" i="2" s="1"/>
  <c r="D229" i="1"/>
  <c r="E228" i="1" s="1"/>
  <c r="R25" i="1"/>
  <c r="T25" i="1"/>
  <c r="B9" i="3"/>
  <c r="C14" i="2"/>
  <c r="C4" i="2" s="1"/>
  <c r="E98" i="1"/>
  <c r="B7" i="3"/>
  <c r="C15" i="2"/>
  <c r="C5" i="2" s="1"/>
  <c r="L139" i="1"/>
  <c r="E140" i="1"/>
  <c r="L14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L199" i="1"/>
  <c r="R200" i="1"/>
  <c r="E205" i="1"/>
  <c r="E209" i="1"/>
  <c r="E212" i="1"/>
  <c r="E215" i="1"/>
  <c r="E217" i="1"/>
  <c r="E219" i="1"/>
  <c r="E221" i="1"/>
  <c r="L224" i="1"/>
  <c r="E225" i="1"/>
  <c r="E227" i="1"/>
  <c r="R232" i="1"/>
  <c r="L234" i="1"/>
  <c r="E235" i="1"/>
  <c r="L240" i="1"/>
  <c r="C18" i="2"/>
  <c r="C8" i="2" s="1"/>
  <c r="C19" i="2"/>
  <c r="C9" i="2" s="1"/>
  <c r="C20" i="2"/>
  <c r="C10" i="2" s="1"/>
  <c r="C12" i="4"/>
  <c r="E12" i="4"/>
  <c r="G12" i="4"/>
  <c r="I12" i="4"/>
  <c r="R195" i="1"/>
  <c r="L225" i="1"/>
  <c r="R228" i="1"/>
  <c r="E232" i="1"/>
  <c r="E233" i="1"/>
  <c r="E236" i="1"/>
  <c r="L142" i="1" l="1"/>
  <c r="L124" i="1"/>
  <c r="L130" i="1"/>
  <c r="L119" i="1"/>
  <c r="L144" i="1"/>
  <c r="L128" i="1"/>
  <c r="L121" i="1"/>
  <c r="L136" i="1"/>
  <c r="L151" i="1"/>
  <c r="L154" i="1"/>
  <c r="L148" i="1"/>
  <c r="K229" i="1"/>
  <c r="L155" i="1" s="1"/>
  <c r="L118" i="1"/>
  <c r="L146" i="1"/>
  <c r="L125" i="1"/>
  <c r="L132" i="1"/>
  <c r="L138" i="1"/>
  <c r="L149" i="1"/>
  <c r="C16" i="2"/>
  <c r="C6" i="2" s="1"/>
  <c r="L153" i="1"/>
  <c r="L117" i="1"/>
  <c r="L147" i="1"/>
  <c r="L123" i="1"/>
  <c r="L152" i="1"/>
  <c r="L126" i="1"/>
  <c r="L127" i="1"/>
  <c r="L141" i="1"/>
  <c r="L120" i="1"/>
  <c r="L122" i="1"/>
  <c r="L129" i="1"/>
  <c r="L131" i="1"/>
  <c r="L133" i="1"/>
  <c r="L137" i="1"/>
  <c r="L143" i="1"/>
  <c r="L145" i="1"/>
  <c r="L150" i="1"/>
  <c r="R155" i="1"/>
  <c r="E195" i="1"/>
  <c r="E113" i="1"/>
  <c r="D258" i="1"/>
  <c r="E200" i="1"/>
  <c r="E155" i="1"/>
  <c r="E164" i="1"/>
  <c r="E25" i="1"/>
  <c r="E71" i="1"/>
  <c r="L200" i="1" l="1"/>
  <c r="R229" i="1"/>
  <c r="L71" i="1"/>
  <c r="L228" i="1"/>
  <c r="L164" i="1"/>
  <c r="L195" i="1"/>
  <c r="K258" i="1"/>
  <c r="L113" i="1"/>
  <c r="L25" i="1"/>
</calcChain>
</file>

<file path=xl/sharedStrings.xml><?xml version="1.0" encoding="utf-8"?>
<sst xmlns="http://schemas.openxmlformats.org/spreadsheetml/2006/main" count="527" uniqueCount="334">
  <si>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</si>
  <si>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</si>
  <si>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</si>
  <si>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</si>
  <si>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</si>
  <si>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</si>
  <si>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</si>
  <si>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</si>
  <si>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</si>
  <si>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</si>
  <si>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</si>
  <si>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</si>
  <si>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</si>
  <si>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</si>
  <si>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</si>
  <si>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</si>
  <si>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</si>
  <si>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</si>
  <si>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</si>
  <si>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</si>
  <si>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</si>
  <si>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</si>
  <si>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</si>
  <si>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</si>
  <si>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</si>
  <si>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</si>
  <si>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</si>
  <si>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</si>
  <si>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</si>
  <si>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</si>
  <si>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</si>
  <si>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</si>
  <si>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</si>
  <si>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</si>
  <si>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</si>
  <si>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</si>
  <si>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</si>
  <si>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</si>
  <si>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</si>
  <si>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</si>
  <si>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</si>
  <si>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</si>
  <si>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</si>
  <si>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</si>
  <si>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</si>
  <si>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</si>
  <si>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</si>
  <si>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</si>
  <si>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</si>
  <si>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</si>
  <si>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</si>
  <si>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</si>
  <si>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</si>
  <si>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</si>
  <si>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</si>
  <si>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</si>
  <si>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</si>
  <si>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</si>
  <si>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</si>
  <si>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</si>
  <si>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</si>
  <si>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</si>
  <si>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</si>
  <si>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</si>
  <si>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</si>
  <si>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</si>
  <si>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</si>
  <si>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</si>
  <si>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</si>
  <si>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</si>
  <si>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</si>
  <si>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</si>
  <si>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</si>
  <si>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</si>
  <si>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</si>
  <si>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</si>
  <si>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</si>
  <si>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</si>
  <si>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</si>
  <si>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</si>
  <si>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</si>
  <si>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</si>
  <si>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</si>
  <si>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</si>
  <si>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</si>
  <si>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</si>
  <si>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</si>
  <si>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</si>
  <si>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</si>
  <si>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</si>
  <si>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</si>
  <si>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</si>
  <si>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</si>
  <si>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</si>
  <si>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</si>
  <si>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</si>
  <si>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</si>
  <si>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</si>
  <si>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</si>
  <si>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</si>
  <si>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</si>
  <si>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</si>
  <si>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</si>
  <si>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</si>
  <si>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</si>
  <si>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</si>
  <si>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</si>
  <si>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</si>
  <si>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</si>
  <si>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</si>
  <si>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</si>
  <si>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</si>
  <si>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</si>
  <si>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</si>
  <si>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</si>
  <si>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</si>
  <si>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</si>
  <si>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</si>
  <si>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</si>
  <si>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</si>
  <si>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</si>
  <si>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</si>
  <si>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</si>
  <si>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</si>
  <si>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</si>
  <si>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</si>
  <si>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</si>
  <si>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</si>
  <si>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</si>
  <si>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</si>
  <si>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</si>
  <si>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</si>
  <si>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</si>
  <si>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</si>
  <si>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</si>
  <si>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</si>
  <si>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</si>
  <si>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</si>
  <si>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</si>
  <si>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</si>
  <si>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</si>
  <si>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</si>
  <si>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</si>
  <si>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</si>
  <si>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</si>
  <si>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</si>
  <si>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</si>
  <si>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</si>
  <si>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</si>
  <si>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</si>
  <si>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</si>
  <si>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</si>
  <si>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</si>
  <si>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</si>
  <si>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</si>
  <si>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</si>
  <si>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</si>
  <si>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</si>
  <si>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</si>
  <si>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</si>
  <si>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</si>
  <si>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</si>
  <si>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</si>
  <si>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</si>
  <si>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</si>
  <si>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</si>
  <si>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</si>
  <si>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</si>
  <si>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</si>
  <si>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</si>
  <si>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</si>
  <si>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</si>
  <si>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</si>
  <si>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</si>
  <si>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</si>
  <si>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</si>
  <si>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</si>
  <si>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</si>
  <si>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</si>
  <si>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</si>
  <si>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</si>
  <si>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</si>
  <si>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</si>
  <si>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</si>
  <si>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</si>
  <si>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</si>
  <si>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</si>
  <si>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</si>
  <si>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</si>
  <si>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</si>
  <si>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</si>
  <si>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</si>
  <si>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</si>
  <si>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</si>
  <si>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</si>
  <si>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</si>
  <si>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</si>
  <si>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</si>
  <si>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</si>
  <si>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</si>
  <si>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</si>
  <si>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</si>
  <si>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</si>
  <si>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</si>
  <si>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</si>
  <si>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</si>
  <si>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</si>
  <si>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</si>
  <si>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</si>
  <si>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</si>
  <si>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</si>
  <si>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</si>
  <si>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</si>
  <si>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</si>
  <si>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</si>
  <si>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</si>
  <si>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</si>
  <si>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</si>
  <si>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</si>
  <si>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</si>
  <si>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</si>
  <si>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</si>
  <si>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</si>
  <si>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</si>
  <si>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</si>
  <si>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</si>
  <si>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</si>
  <si>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</si>
  <si>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</si>
  <si>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</si>
  <si>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</si>
  <si>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</si>
  <si>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</si>
  <si>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</si>
  <si>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</si>
  <si>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</si>
  <si>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</si>
  <si>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</si>
  <si>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</si>
  <si>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</si>
  <si>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</si>
  <si>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</si>
  <si>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</si>
  <si>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</si>
  <si>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</si>
  <si>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</si>
  <si>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</si>
  <si>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</si>
  <si>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</si>
  <si>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</si>
  <si>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</si>
  <si>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</si>
  <si>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</si>
  <si>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</si>
  <si>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</si>
  <si>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</si>
  <si>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</si>
  <si>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</si>
  <si>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</si>
  <si>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</si>
  <si>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</si>
  <si>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</si>
  <si>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</si>
  <si>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</si>
  <si>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</si>
  <si>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</si>
  <si>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</si>
  <si>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</si>
  <si>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</si>
  <si>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</si>
  <si>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</si>
  <si>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</si>
  <si>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</si>
  <si>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</si>
  <si>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</si>
  <si>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</si>
  <si>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</si>
  <si>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</si>
  <si>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</si>
  <si>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</si>
  <si>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</si>
  <si>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</si>
  <si>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</si>
  <si>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</si>
  <si>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</si>
  <si>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</si>
  <si>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</si>
  <si>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</si>
  <si>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</si>
  <si>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</si>
  <si>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</si>
  <si>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</si>
  <si>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</si>
  <si>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</si>
  <si>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</si>
  <si>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</si>
  <si>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</si>
  <si>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</si>
  <si>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</si>
  <si>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</si>
  <si>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</si>
  <si>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</si>
  <si>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</si>
  <si>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</si>
  <si>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</si>
  <si>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</si>
  <si>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</si>
  <si>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</si>
  <si>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</si>
  <si>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</si>
  <si>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</si>
  <si>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</si>
  <si>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</si>
  <si>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</si>
  <si>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</si>
  <si>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</si>
  <si>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</si>
  <si>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</si>
  <si>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</si>
  <si>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</si>
  <si>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</si>
  <si>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</si>
  <si>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</si>
  <si>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</si>
  <si>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</si>
  <si>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</si>
  <si>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</si>
  <si>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</si>
  <si>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NAV, Unit Price and Yield as at Week Ended November 7, 2025</t>
  </si>
  <si>
    <t>Week Ended November 7, 2025</t>
  </si>
  <si>
    <t>WEEKLY VALUATION REPORT OF COLLECTIVE INVESTMENT SCHEMES AS AT WEEK ENDED FRIDAY, NOVEMBER 14, 2025</t>
  </si>
  <si>
    <t>NAV, Unit Price and Yield as at Week Ended November 14, 2025</t>
  </si>
  <si>
    <t>NFEM RATE NG₦/US$ as at 14th November, 2025 = N1,442.4309</t>
  </si>
  <si>
    <t>Week Ended 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</si>
</sst>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0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5" fillId="21" borderId="0" applyNumberFormat="0" applyBorder="0" applyAlignment="0" applyProtection="0"/>
    <xf numFmtId="0" fontId="46" fillId="0" borderId="0"/>
    <xf numFmtId="0" fontId="43" fillId="0" borderId="0"/>
    <xf numFmtId="0" fontId="43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43" fontId="6" fillId="0" borderId="0" xfId="0" applyNumberFormat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4" fontId="11" fillId="0" borderId="0" xfId="0" applyNumberFormat="1" applyFont="1"/>
    <xf numFmtId="0" fontId="12" fillId="2" borderId="0" xfId="0" applyFont="1" applyFill="1" applyAlignment="1">
      <alignment horizontal="right"/>
    </xf>
    <xf numFmtId="16" fontId="13" fillId="2" borderId="0" xfId="0" applyNumberFormat="1" applyFont="1" applyFill="1"/>
    <xf numFmtId="0" fontId="8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4" fontId="14" fillId="2" borderId="0" xfId="0" applyNumberFormat="1" applyFont="1" applyFill="1" applyAlignment="1">
      <alignment horizontal="right"/>
    </xf>
    <xf numFmtId="164" fontId="8" fillId="2" borderId="0" xfId="1" applyFont="1" applyFill="1" applyBorder="1"/>
    <xf numFmtId="0" fontId="13" fillId="0" borderId="0" xfId="0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0" fontId="7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horizontal="right" wrapText="1"/>
    </xf>
    <xf numFmtId="4" fontId="18" fillId="2" borderId="0" xfId="0" applyNumberFormat="1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164" fontId="20" fillId="0" borderId="0" xfId="1" applyFont="1" applyBorder="1"/>
    <xf numFmtId="4" fontId="20" fillId="2" borderId="0" xfId="0" applyNumberFormat="1" applyFont="1" applyFill="1"/>
    <xf numFmtId="0" fontId="19" fillId="0" borderId="0" xfId="0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4" fontId="20" fillId="2" borderId="0" xfId="1" applyFont="1" applyFill="1" applyBorder="1" applyAlignment="1">
      <alignment horizontal="right" vertical="top" wrapText="1"/>
    </xf>
    <xf numFmtId="0" fontId="4" fillId="6" borderId="1" xfId="0" applyFont="1" applyFill="1" applyBorder="1"/>
    <xf numFmtId="0" fontId="22" fillId="7" borderId="1" xfId="0" applyFont="1" applyFill="1" applyBorder="1"/>
    <xf numFmtId="0" fontId="23" fillId="7" borderId="1" xfId="0" applyFont="1" applyFill="1" applyBorder="1"/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4" fontId="27" fillId="2" borderId="1" xfId="0" applyNumberFormat="1" applyFont="1" applyFill="1" applyBorder="1"/>
    <xf numFmtId="10" fontId="27" fillId="7" borderId="1" xfId="2" applyNumberFormat="1" applyFont="1" applyFill="1" applyBorder="1" applyAlignment="1">
      <alignment horizontal="center"/>
    </xf>
    <xf numFmtId="164" fontId="27" fillId="9" borderId="1" xfId="1" applyFont="1" applyFill="1" applyBorder="1" applyAlignment="1">
      <alignment horizontal="center"/>
    </xf>
    <xf numFmtId="0" fontId="28" fillId="0" borderId="0" xfId="0" applyFont="1"/>
    <xf numFmtId="164" fontId="25" fillId="9" borderId="1" xfId="1" applyFont="1" applyFill="1" applyBorder="1" applyAlignment="1">
      <alignment horizontal="center"/>
    </xf>
    <xf numFmtId="164" fontId="27" fillId="2" borderId="1" xfId="1" applyFont="1" applyFill="1" applyBorder="1"/>
    <xf numFmtId="164" fontId="27" fillId="2" borderId="1" xfId="10" applyFont="1" applyFill="1" applyBorder="1"/>
    <xf numFmtId="4" fontId="28" fillId="0" borderId="0" xfId="0" applyNumberFormat="1" applyFont="1"/>
    <xf numFmtId="4" fontId="27" fillId="2" borderId="1" xfId="0" applyNumberFormat="1" applyFont="1" applyFill="1" applyBorder="1" applyAlignment="1">
      <alignment horizontal="right"/>
    </xf>
    <xf numFmtId="0" fontId="25" fillId="0" borderId="1" xfId="0" applyFont="1" applyBorder="1"/>
    <xf numFmtId="0" fontId="25" fillId="2" borderId="1" xfId="0" applyFont="1" applyFill="1" applyBorder="1"/>
    <xf numFmtId="0" fontId="24" fillId="2" borderId="1" xfId="0" applyFont="1" applyFill="1" applyBorder="1" applyAlignment="1">
      <alignment horizontal="right"/>
    </xf>
    <xf numFmtId="164" fontId="24" fillId="2" borderId="1" xfId="1" applyFont="1" applyFill="1" applyBorder="1" applyAlignment="1">
      <alignment horizontal="right" vertical="top" wrapText="1"/>
    </xf>
    <xf numFmtId="10" fontId="30" fillId="7" borderId="1" xfId="2" applyNumberFormat="1" applyFont="1" applyFill="1" applyBorder="1" applyAlignment="1">
      <alignment horizontal="center" vertical="top" wrapText="1"/>
    </xf>
    <xf numFmtId="10" fontId="27" fillId="2" borderId="1" xfId="2" applyNumberFormat="1" applyFont="1" applyFill="1" applyBorder="1" applyAlignment="1">
      <alignment horizontal="center" vertical="top" wrapText="1"/>
    </xf>
    <xf numFmtId="4" fontId="27" fillId="2" borderId="1" xfId="1" applyNumberFormat="1" applyFont="1" applyFill="1" applyBorder="1" applyAlignment="1">
      <alignment vertical="top" wrapText="1"/>
    </xf>
    <xf numFmtId="164" fontId="24" fillId="9" borderId="1" xfId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164" fontId="27" fillId="2" borderId="1" xfId="10" applyFont="1" applyFill="1" applyBorder="1" applyAlignment="1">
      <alignment horizontal="right"/>
    </xf>
    <xf numFmtId="4" fontId="27" fillId="2" borderId="1" xfId="1" applyNumberFormat="1" applyFont="1" applyFill="1" applyBorder="1" applyAlignment="1">
      <alignment horizontal="right"/>
    </xf>
    <xf numFmtId="164" fontId="27" fillId="9" borderId="1" xfId="1" applyFont="1" applyFill="1" applyBorder="1" applyAlignment="1">
      <alignment horizontal="center" wrapText="1"/>
    </xf>
    <xf numFmtId="164" fontId="27" fillId="2" borderId="1" xfId="1" applyFont="1" applyFill="1" applyBorder="1" applyAlignment="1">
      <alignment horizontal="right"/>
    </xf>
    <xf numFmtId="164" fontId="27" fillId="2" borderId="1" xfId="10" applyFont="1" applyFill="1" applyBorder="1" applyAlignment="1">
      <alignment horizontal="right" wrapText="1"/>
    </xf>
    <xf numFmtId="164" fontId="22" fillId="3" borderId="1" xfId="1" applyFont="1" applyFill="1" applyBorder="1" applyAlignment="1">
      <alignment horizontal="center" vertical="top"/>
    </xf>
    <xf numFmtId="10" fontId="27" fillId="9" borderId="1" xfId="2" applyNumberFormat="1" applyFont="1" applyFill="1" applyBorder="1" applyAlignment="1">
      <alignment horizontal="center"/>
    </xf>
    <xf numFmtId="10" fontId="25" fillId="9" borderId="1" xfId="2" applyNumberFormat="1" applyFont="1" applyFill="1" applyBorder="1" applyAlignment="1">
      <alignment horizontal="center"/>
    </xf>
    <xf numFmtId="10" fontId="27" fillId="9" borderId="1" xfId="2" applyNumberFormat="1" applyFont="1" applyFill="1" applyBorder="1" applyAlignment="1">
      <alignment horizontal="center" vertical="top" wrapText="1"/>
    </xf>
    <xf numFmtId="10" fontId="27" fillId="9" borderId="1" xfId="2" applyNumberFormat="1" applyFont="1" applyFill="1" applyBorder="1" applyAlignment="1">
      <alignment horizontal="center" wrapText="1"/>
    </xf>
    <xf numFmtId="10" fontId="27" fillId="7" borderId="1" xfId="2" applyNumberFormat="1" applyFont="1" applyFill="1" applyBorder="1" applyAlignment="1">
      <alignment horizontal="center" wrapText="1"/>
    </xf>
    <xf numFmtId="10" fontId="27" fillId="3" borderId="1" xfId="2" applyNumberFormat="1" applyFont="1" applyFill="1" applyBorder="1" applyAlignment="1">
      <alignment horizontal="center" vertical="top" wrapText="1"/>
    </xf>
    <xf numFmtId="10" fontId="25" fillId="3" borderId="1" xfId="2" applyNumberFormat="1" applyFont="1" applyFill="1" applyBorder="1" applyAlignment="1">
      <alignment horizontal="center" vertical="top" wrapText="1"/>
    </xf>
    <xf numFmtId="10" fontId="25" fillId="3" borderId="1" xfId="1" applyNumberFormat="1" applyFont="1" applyFill="1" applyBorder="1" applyAlignment="1">
      <alignment horizontal="center" vertical="top" wrapText="1"/>
    </xf>
    <xf numFmtId="10" fontId="31" fillId="10" borderId="0" xfId="0" applyNumberFormat="1" applyFont="1" applyFill="1" applyAlignment="1">
      <alignment horizontal="right" vertical="center" wrapText="1"/>
    </xf>
    <xf numFmtId="164" fontId="24" fillId="2" borderId="1" xfId="1" applyFont="1" applyFill="1" applyBorder="1" applyAlignment="1">
      <alignment horizontal="right"/>
    </xf>
    <xf numFmtId="2" fontId="27" fillId="2" borderId="1" xfId="0" applyNumberFormat="1" applyFont="1" applyFill="1" applyBorder="1"/>
    <xf numFmtId="164" fontId="27" fillId="2" borderId="1" xfId="10" applyFont="1" applyFill="1" applyBorder="1" applyAlignment="1">
      <alignment wrapText="1"/>
    </xf>
    <xf numFmtId="164" fontId="27" fillId="11" borderId="1" xfId="1" applyFont="1" applyFill="1" applyBorder="1" applyAlignment="1">
      <alignment horizontal="center"/>
    </xf>
    <xf numFmtId="10" fontId="27" fillId="9" borderId="1" xfId="1" applyNumberFormat="1" applyFont="1" applyFill="1" applyBorder="1" applyAlignment="1">
      <alignment horizontal="center"/>
    </xf>
    <xf numFmtId="10" fontId="27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8" fillId="0" borderId="0" xfId="1" applyFont="1"/>
    <xf numFmtId="2" fontId="0" fillId="0" borderId="0" xfId="0" applyNumberFormat="1"/>
    <xf numFmtId="165" fontId="0" fillId="0" borderId="0" xfId="0" applyNumberFormat="1"/>
    <xf numFmtId="4" fontId="33" fillId="10" borderId="0" xfId="0" applyNumberFormat="1" applyFont="1" applyFill="1" applyAlignment="1">
      <alignment horizontal="right" vertical="center" wrapText="1"/>
    </xf>
    <xf numFmtId="0" fontId="27" fillId="0" borderId="1" xfId="0" applyFont="1" applyBorder="1"/>
    <xf numFmtId="0" fontId="24" fillId="0" borderId="1" xfId="0" applyFont="1" applyBorder="1" applyAlignment="1">
      <alignment horizontal="right"/>
    </xf>
    <xf numFmtId="4" fontId="35" fillId="0" borderId="1" xfId="0" applyNumberFormat="1" applyFont="1" applyBorder="1"/>
    <xf numFmtId="0" fontId="29" fillId="2" borderId="1" xfId="0" applyFont="1" applyFill="1" applyBorder="1"/>
    <xf numFmtId="4" fontId="27" fillId="2" borderId="1" xfId="1" applyNumberFormat="1" applyFont="1" applyFill="1" applyBorder="1" applyAlignment="1">
      <alignment horizontal="right" vertical="top" wrapText="1"/>
    </xf>
    <xf numFmtId="4" fontId="27" fillId="9" borderId="1" xfId="1" applyNumberFormat="1" applyFont="1" applyFill="1" applyBorder="1" applyAlignment="1">
      <alignment horizontal="center"/>
    </xf>
    <xf numFmtId="4" fontId="27" fillId="9" borderId="1" xfId="1" applyNumberFormat="1" applyFont="1" applyFill="1" applyBorder="1" applyAlignment="1">
      <alignment horizontal="center" vertical="top" wrapText="1"/>
    </xf>
    <xf numFmtId="166" fontId="20" fillId="0" borderId="0" xfId="1" applyNumberFormat="1" applyFont="1"/>
    <xf numFmtId="4" fontId="36" fillId="0" borderId="0" xfId="0" applyNumberFormat="1" applyFont="1"/>
    <xf numFmtId="164" fontId="24" fillId="2" borderId="1" xfId="1" applyFont="1" applyFill="1" applyBorder="1"/>
    <xf numFmtId="43" fontId="27" fillId="2" borderId="1" xfId="0" applyNumberFormat="1" applyFont="1" applyFill="1" applyBorder="1"/>
    <xf numFmtId="4" fontId="27" fillId="2" borderId="1" xfId="0" applyNumberFormat="1" applyFont="1" applyFill="1" applyBorder="1" applyAlignment="1">
      <alignment horizontal="right" wrapText="1"/>
    </xf>
    <xf numFmtId="4" fontId="27" fillId="2" borderId="1" xfId="10" applyNumberFormat="1" applyFont="1" applyFill="1" applyBorder="1" applyAlignment="1">
      <alignment horizontal="right"/>
    </xf>
    <xf numFmtId="4" fontId="27" fillId="2" borderId="1" xfId="10" applyNumberFormat="1" applyFont="1" applyFill="1" applyBorder="1" applyAlignment="1">
      <alignment horizontal="right" wrapText="1"/>
    </xf>
    <xf numFmtId="4" fontId="24" fillId="9" borderId="1" xfId="1" applyNumberFormat="1" applyFont="1" applyFill="1" applyBorder="1" applyAlignment="1">
      <alignment horizontal="right" vertical="top" wrapText="1"/>
    </xf>
    <xf numFmtId="0" fontId="27" fillId="14" borderId="1" xfId="0" applyFont="1" applyFill="1" applyBorder="1" applyAlignment="1">
      <alignment horizontal="right" vertical="center"/>
    </xf>
    <xf numFmtId="0" fontId="24" fillId="14" borderId="1" xfId="0" applyFont="1" applyFill="1" applyBorder="1" applyAlignment="1">
      <alignment horizontal="right" vertical="center"/>
    </xf>
    <xf numFmtId="164" fontId="24" fillId="14" borderId="1" xfId="1" applyFont="1" applyFill="1" applyBorder="1" applyAlignment="1">
      <alignment horizontal="right" vertical="center" wrapText="1"/>
    </xf>
    <xf numFmtId="10" fontId="27" fillId="14" borderId="1" xfId="1" applyNumberFormat="1" applyFont="1" applyFill="1" applyBorder="1" applyAlignment="1">
      <alignment horizontal="right" vertical="center" wrapText="1"/>
    </xf>
    <xf numFmtId="4" fontId="27" fillId="14" borderId="1" xfId="1" applyNumberFormat="1" applyFont="1" applyFill="1" applyBorder="1" applyAlignment="1">
      <alignment horizontal="right" vertical="center" wrapText="1"/>
    </xf>
    <xf numFmtId="164" fontId="24" fillId="14" borderId="1" xfId="1" applyFont="1" applyFill="1" applyBorder="1" applyAlignment="1">
      <alignment horizontal="right" vertical="top" wrapText="1"/>
    </xf>
    <xf numFmtId="4" fontId="27" fillId="2" borderId="1" xfId="10" applyNumberFormat="1" applyFont="1" applyFill="1" applyBorder="1" applyAlignment="1">
      <alignment horizontal="right" vertical="top" wrapText="1"/>
    </xf>
    <xf numFmtId="164" fontId="37" fillId="14" borderId="1" xfId="1" applyFont="1" applyFill="1" applyBorder="1" applyAlignment="1">
      <alignment horizontal="right" vertical="top" wrapText="1"/>
    </xf>
    <xf numFmtId="4" fontId="27" fillId="14" borderId="1" xfId="1" applyNumberFormat="1" applyFont="1" applyFill="1" applyBorder="1" applyAlignment="1">
      <alignment horizontal="right" vertical="top" wrapText="1"/>
    </xf>
    <xf numFmtId="164" fontId="27" fillId="2" borderId="1" xfId="10" applyFont="1" applyFill="1" applyBorder="1" applyAlignment="1">
      <alignment horizontal="right" vertical="top" wrapText="1"/>
    </xf>
    <xf numFmtId="10" fontId="27" fillId="7" borderId="1" xfId="2" applyNumberFormat="1" applyFont="1" applyFill="1" applyBorder="1" applyAlignment="1">
      <alignment horizontal="center" vertical="top" wrapText="1"/>
    </xf>
    <xf numFmtId="164" fontId="27" fillId="9" borderId="1" xfId="1" applyFont="1" applyFill="1" applyBorder="1" applyAlignment="1">
      <alignment horizontal="center" vertical="top" wrapText="1"/>
    </xf>
    <xf numFmtId="164" fontId="27" fillId="2" borderId="1" xfId="1" applyFont="1" applyFill="1" applyBorder="1" applyAlignment="1">
      <alignment horizontal="right" vertical="top" wrapText="1"/>
    </xf>
    <xf numFmtId="43" fontId="27" fillId="9" borderId="1" xfId="0" applyNumberFormat="1" applyFont="1" applyFill="1" applyBorder="1" applyAlignment="1">
      <alignment horizontal="center"/>
    </xf>
    <xf numFmtId="9" fontId="27" fillId="14" borderId="1" xfId="2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top" wrapText="1"/>
    </xf>
    <xf numFmtId="10" fontId="27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5" fillId="14" borderId="1" xfId="2" applyNumberFormat="1" applyFont="1" applyFill="1" applyBorder="1" applyAlignment="1">
      <alignment horizontal="center" vertical="top" wrapText="1"/>
    </xf>
    <xf numFmtId="167" fontId="25" fillId="14" borderId="1" xfId="2" applyNumberFormat="1" applyFont="1" applyFill="1" applyBorder="1" applyAlignment="1">
      <alignment horizontal="center" vertical="top" wrapText="1"/>
    </xf>
    <xf numFmtId="10" fontId="25" fillId="14" borderId="1" xfId="1" applyNumberFormat="1" applyFont="1" applyFill="1" applyBorder="1" applyAlignment="1">
      <alignment horizontal="center" vertical="top" wrapText="1"/>
    </xf>
    <xf numFmtId="0" fontId="27" fillId="14" borderId="1" xfId="0" applyFont="1" applyFill="1" applyBorder="1" applyAlignment="1">
      <alignment horizontal="right"/>
    </xf>
    <xf numFmtId="0" fontId="24" fillId="14" borderId="1" xfId="0" applyFont="1" applyFill="1" applyBorder="1" applyAlignment="1">
      <alignment horizontal="right"/>
    </xf>
    <xf numFmtId="0" fontId="27" fillId="15" borderId="1" xfId="0" applyFont="1" applyFill="1" applyBorder="1" applyAlignment="1">
      <alignment horizontal="right" vertical="top" wrapText="1"/>
    </xf>
    <xf numFmtId="0" fontId="34" fillId="15" borderId="1" xfId="0" applyFont="1" applyFill="1" applyBorder="1" applyAlignment="1">
      <alignment horizontal="right" vertical="top" wrapText="1"/>
    </xf>
    <xf numFmtId="164" fontId="34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8" fillId="5" borderId="1" xfId="0" applyFont="1" applyFill="1" applyBorder="1" applyAlignment="1">
      <alignment horizontal="right" vertical="center"/>
    </xf>
    <xf numFmtId="0" fontId="38" fillId="5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39" fillId="0" borderId="0" xfId="0" applyFont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29" fillId="2" borderId="0" xfId="0" applyFont="1" applyFill="1" applyAlignment="1">
      <alignment wrapText="1"/>
    </xf>
    <xf numFmtId="43" fontId="41" fillId="0" borderId="0" xfId="16" applyFont="1" applyBorder="1"/>
    <xf numFmtId="2" fontId="41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7" fillId="15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9" fillId="0" borderId="0" xfId="0" applyFont="1"/>
    <xf numFmtId="0" fontId="27" fillId="0" borderId="1" xfId="0" applyFont="1" applyBorder="1" applyAlignment="1">
      <alignment horizontal="center"/>
    </xf>
    <xf numFmtId="4" fontId="27" fillId="2" borderId="1" xfId="44" applyNumberFormat="1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9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wrapText="1"/>
    </xf>
    <xf numFmtId="0" fontId="27" fillId="2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34" fillId="13" borderId="1" xfId="0" applyFont="1" applyFill="1" applyBorder="1" applyAlignment="1">
      <alignment horizontal="center" wrapText="1"/>
    </xf>
    <xf numFmtId="0" fontId="34" fillId="8" borderId="1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77.622970040713497</c:v>
                </c:pt>
                <c:pt idx="1">
                  <c:v>4392.3786564765815</c:v>
                </c:pt>
                <c:pt idx="2">
                  <c:v>243.26846350748514</c:v>
                </c:pt>
                <c:pt idx="3">
                  <c:v>1915.3574379924437</c:v>
                </c:pt>
                <c:pt idx="4">
                  <c:v>371.32163729857228</c:v>
                </c:pt>
                <c:pt idx="5" formatCode="_-* #,##0.00_-;\-* #,##0.00_-;_-* &quot;-&quot;??_-;_-@_-">
                  <c:v>79.917304669356696</c:v>
                </c:pt>
                <c:pt idx="6">
                  <c:v>8.3286805587600004</c:v>
                </c:pt>
                <c:pt idx="7">
                  <c:v>73.208194782318941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14,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77.1032295771154</c:v>
                </c:pt>
                <c:pt idx="1">
                  <c:v>4459.5467580953064</c:v>
                </c:pt>
                <c:pt idx="2">
                  <c:v>244.01969400690029</c:v>
                </c:pt>
                <c:pt idx="3">
                  <c:v>1910.3818843259755</c:v>
                </c:pt>
                <c:pt idx="4">
                  <c:v>372.26527855055269</c:v>
                </c:pt>
                <c:pt idx="5" formatCode="_-* #,##0.00_-;\-* #,##0.00_-;_-* &quot;-&quot;??_-;_-@_-">
                  <c:v>79.959427590508113</c:v>
                </c:pt>
                <c:pt idx="6">
                  <c:v>8.3176949666799995</c:v>
                </c:pt>
                <c:pt idx="7">
                  <c:v>73.372100099812556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4297448"/>
        <c:axId val="330191552"/>
      </c:barChart>
      <c:catAx>
        <c:axId val="25429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0191552"/>
        <c:crosses val="autoZero"/>
        <c:auto val="1"/>
        <c:lblAlgn val="ctr"/>
        <c:lblOffset val="100"/>
        <c:noMultiLvlLbl val="0"/>
      </c:catAx>
      <c:valAx>
        <c:axId val="33019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4297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14TH NOVEMBER,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1"/>
          <c:y val="1.43638007281235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14-Nov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8317694966.6799994</c:v>
                </c:pt>
                <c:pt idx="1">
                  <c:v>77103229577.115402</c:v>
                </c:pt>
                <c:pt idx="2" formatCode="_-* #,##0.00_-;\-* #,##0.00_-;_-* &quot;-&quot;??_-;_-@_-">
                  <c:v>73372100099.812561</c:v>
                </c:pt>
                <c:pt idx="3">
                  <c:v>79959427590.508118</c:v>
                </c:pt>
                <c:pt idx="4">
                  <c:v>372265278550.55267</c:v>
                </c:pt>
                <c:pt idx="5">
                  <c:v>244019694006.9003</c:v>
                </c:pt>
                <c:pt idx="6">
                  <c:v>1910381884325.9756</c:v>
                </c:pt>
                <c:pt idx="7">
                  <c:v>4459546758095.3066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45926</c:v>
                </c:pt>
                <c:pt idx="1">
                  <c:v>45933</c:v>
                </c:pt>
                <c:pt idx="2">
                  <c:v>45940</c:v>
                </c:pt>
                <c:pt idx="3">
                  <c:v>45947</c:v>
                </c:pt>
                <c:pt idx="4">
                  <c:v>45954</c:v>
                </c:pt>
                <c:pt idx="5">
                  <c:v>45961</c:v>
                </c:pt>
                <c:pt idx="6">
                  <c:v>45968</c:v>
                </c:pt>
                <c:pt idx="7">
                  <c:v>45975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6745.4768805021858</c:v>
                </c:pt>
                <c:pt idx="1">
                  <c:v>6812.2098133156469</c:v>
                </c:pt>
                <c:pt idx="2">
                  <c:v>6925.6615260417648</c:v>
                </c:pt>
                <c:pt idx="3">
                  <c:v>7020.2119881351573</c:v>
                </c:pt>
                <c:pt idx="4">
                  <c:v>7084.74766079442</c:v>
                </c:pt>
                <c:pt idx="5">
                  <c:v>7104.7215850315024</c:v>
                </c:pt>
                <c:pt idx="6">
                  <c:v>7157.322477516268</c:v>
                </c:pt>
                <c:pt idx="7">
                  <c:v>7224.9660672128502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0192728"/>
        <c:axId val="330193904"/>
      </c:lineChart>
      <c:dateAx>
        <c:axId val="3301927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93904"/>
        <c:crosses val="autoZero"/>
        <c:auto val="1"/>
        <c:lblOffset val="100"/>
        <c:baseTimeUnit val="days"/>
      </c:dateAx>
      <c:valAx>
        <c:axId val="330193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9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45926</c:v>
                </c:pt>
                <c:pt idx="1">
                  <c:v>45933</c:v>
                </c:pt>
                <c:pt idx="2">
                  <c:v>45940</c:v>
                </c:pt>
                <c:pt idx="3">
                  <c:v>45947</c:v>
                </c:pt>
                <c:pt idx="4">
                  <c:v>45954</c:v>
                </c:pt>
                <c:pt idx="5">
                  <c:v>45961</c:v>
                </c:pt>
                <c:pt idx="6">
                  <c:v>45968</c:v>
                </c:pt>
                <c:pt idx="7">
                  <c:v>45975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17.03010698616</c:v>
                </c:pt>
                <c:pt idx="1">
                  <c:v>17.235315862970001</c:v>
                </c:pt>
                <c:pt idx="2">
                  <c:v>17.54959499956</c:v>
                </c:pt>
                <c:pt idx="3">
                  <c:v>17.680301749159998</c:v>
                </c:pt>
                <c:pt idx="4">
                  <c:v>18.29339423531</c:v>
                </c:pt>
                <c:pt idx="5">
                  <c:v>17.97007204989</c:v>
                </c:pt>
                <c:pt idx="6">
                  <c:v>17.390304867240001</c:v>
                </c:pt>
                <c:pt idx="7">
                  <c:v>17.29912062779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0192336"/>
        <c:axId val="330188416"/>
      </c:lineChart>
      <c:dateAx>
        <c:axId val="3301923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88416"/>
        <c:crosses val="autoZero"/>
        <c:auto val="1"/>
        <c:lblOffset val="100"/>
        <c:baseTimeUnit val="days"/>
      </c:dateAx>
      <c:valAx>
        <c:axId val="33018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19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6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7" t="s">
        <v>330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5" ht="14.4" customHeight="1">
      <c r="A2" s="52"/>
      <c r="B2" s="53"/>
      <c r="C2" s="54"/>
      <c r="D2" s="188" t="s">
        <v>328</v>
      </c>
      <c r="E2" s="188"/>
      <c r="F2" s="188"/>
      <c r="G2" s="188"/>
      <c r="H2" s="188"/>
      <c r="I2" s="188"/>
      <c r="J2" s="188"/>
      <c r="K2" s="188" t="s">
        <v>331</v>
      </c>
      <c r="L2" s="188"/>
      <c r="M2" s="188"/>
      <c r="N2" s="188"/>
      <c r="O2" s="188"/>
      <c r="P2" s="188"/>
      <c r="Q2" s="188"/>
      <c r="R2" s="188" t="s">
        <v>0</v>
      </c>
      <c r="S2" s="188"/>
      <c r="T2" s="188"/>
      <c r="U2" s="188" t="s">
        <v>1</v>
      </c>
      <c r="V2" s="188"/>
    </row>
    <row r="3" spans="1:25" ht="20.399999999999999">
      <c r="A3" s="55" t="s">
        <v>2</v>
      </c>
      <c r="B3" s="56" t="s">
        <v>3</v>
      </c>
      <c r="C3" s="57" t="s">
        <v>4</v>
      </c>
      <c r="D3" s="58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84" t="s">
        <v>5</v>
      </c>
      <c r="L3" s="59" t="s">
        <v>6</v>
      </c>
      <c r="M3" s="59" t="s">
        <v>12</v>
      </c>
      <c r="N3" s="59" t="s">
        <v>8</v>
      </c>
      <c r="O3" s="59" t="s">
        <v>9</v>
      </c>
      <c r="P3" s="59" t="s">
        <v>10</v>
      </c>
      <c r="Q3" s="59" t="s">
        <v>11</v>
      </c>
      <c r="R3" s="58" t="s">
        <v>13</v>
      </c>
      <c r="S3" s="59" t="s">
        <v>14</v>
      </c>
      <c r="T3" s="59" t="s">
        <v>15</v>
      </c>
      <c r="U3" s="59" t="s">
        <v>16</v>
      </c>
      <c r="V3" s="59" t="s">
        <v>17</v>
      </c>
    </row>
    <row r="4" spans="1:25" ht="5.25" customHeight="1">
      <c r="A4" s="60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5" spans="1:25" ht="15" customHeight="1">
      <c r="A5" s="185" t="s">
        <v>18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</row>
    <row r="6" spans="1:25">
      <c r="A6" s="173">
        <v>1</v>
      </c>
      <c r="B6" s="172" t="s">
        <v>19</v>
      </c>
      <c r="C6" s="171" t="s">
        <v>20</v>
      </c>
      <c r="D6" s="61">
        <v>4312628868.8999996</v>
      </c>
      <c r="E6" s="62">
        <f t="shared" ref="E6:E22" si="0">(D6/$D$25)</f>
        <v>5.5558668608506112E-2</v>
      </c>
      <c r="F6" s="61">
        <v>589.79790000000003</v>
      </c>
      <c r="G6" s="61">
        <v>593.93780000000004</v>
      </c>
      <c r="H6" s="63">
        <v>1695</v>
      </c>
      <c r="I6" s="85">
        <v>-3.3500000000000002E-2</v>
      </c>
      <c r="J6" s="85">
        <v>0.48370000000000002</v>
      </c>
      <c r="K6" s="61">
        <v>4200780525.1900001</v>
      </c>
      <c r="L6" s="62">
        <f t="shared" ref="L6:L21" si="1">(K6/$K$25)</f>
        <v>5.4482549540788773E-2</v>
      </c>
      <c r="M6" s="61">
        <v>590.35889999999995</v>
      </c>
      <c r="N6" s="61">
        <v>594.87670000000003</v>
      </c>
      <c r="O6" s="63">
        <v>1695</v>
      </c>
      <c r="P6" s="85">
        <v>1E-3</v>
      </c>
      <c r="Q6" s="85">
        <v>0.48509999999999998</v>
      </c>
      <c r="R6" s="90">
        <f>((K6-D6)/D6)</f>
        <v>-2.5935072808277181E-2</v>
      </c>
      <c r="S6" s="90">
        <f>((N6-G6)/G6)</f>
        <v>1.5808052627732897E-3</v>
      </c>
      <c r="T6" s="90">
        <f>((O6-H6)/H6)</f>
        <v>0</v>
      </c>
      <c r="U6" s="91">
        <f>P6-I6</f>
        <v>3.4500000000000003E-2</v>
      </c>
      <c r="V6" s="92">
        <f>Q6-J6</f>
        <v>1.3999999999999568E-3</v>
      </c>
    </row>
    <row r="7" spans="1:25">
      <c r="A7" s="173">
        <v>2</v>
      </c>
      <c r="B7" s="172" t="s">
        <v>21</v>
      </c>
      <c r="C7" s="171" t="s">
        <v>22</v>
      </c>
      <c r="D7" s="61">
        <v>1165738778.51</v>
      </c>
      <c r="E7" s="62">
        <f t="shared" si="0"/>
        <v>1.5017961537655236E-2</v>
      </c>
      <c r="F7" s="61">
        <v>401.06169999999997</v>
      </c>
      <c r="G7" s="61">
        <v>405.77050000000003</v>
      </c>
      <c r="H7" s="63">
        <v>613</v>
      </c>
      <c r="I7" s="85">
        <v>-4.633E-3</v>
      </c>
      <c r="J7" s="85">
        <v>0.5575</v>
      </c>
      <c r="K7" s="61">
        <v>1170401246.52</v>
      </c>
      <c r="L7" s="62">
        <f t="shared" si="1"/>
        <v>1.5179665663024063E-2</v>
      </c>
      <c r="M7" s="61">
        <v>399.62860000000001</v>
      </c>
      <c r="N7" s="61">
        <v>404.27809999999999</v>
      </c>
      <c r="O7" s="63">
        <v>616</v>
      </c>
      <c r="P7" s="85">
        <v>-3.1799999999999998E-4</v>
      </c>
      <c r="Q7" s="85">
        <v>0.55189999999999995</v>
      </c>
      <c r="R7" s="90">
        <f t="shared" ref="R7:R25" si="2">((K7-D7)/D7)</f>
        <v>3.9995821499215871E-3</v>
      </c>
      <c r="S7" s="90">
        <f t="shared" ref="S7:S25" si="3">((N7-G7)/G7)</f>
        <v>-3.6779411021748299E-3</v>
      </c>
      <c r="T7" s="90">
        <f t="shared" ref="T7:T25" si="4">((O7-H7)/H7)</f>
        <v>4.8939641109298528E-3</v>
      </c>
      <c r="U7" s="91">
        <f t="shared" ref="U7:U25" si="5">P7-I7</f>
        <v>4.3150000000000003E-3</v>
      </c>
      <c r="V7" s="92">
        <f t="shared" ref="V7:V25" si="6">Q7-J7</f>
        <v>-5.6000000000000494E-3</v>
      </c>
    </row>
    <row r="8" spans="1:25">
      <c r="A8" s="173">
        <v>3</v>
      </c>
      <c r="B8" s="172" t="s">
        <v>23</v>
      </c>
      <c r="C8" s="171" t="s">
        <v>24</v>
      </c>
      <c r="D8" s="61">
        <v>6836359599.3100004</v>
      </c>
      <c r="E8" s="62">
        <f t="shared" si="0"/>
        <v>8.8071347897720323E-2</v>
      </c>
      <c r="F8" s="61">
        <v>51.090600000000002</v>
      </c>
      <c r="G8" s="64">
        <v>52.631</v>
      </c>
      <c r="H8" s="65">
        <v>8118</v>
      </c>
      <c r="I8" s="86">
        <v>-1.1823999999999999</v>
      </c>
      <c r="J8" s="86">
        <v>0.51759999999999995</v>
      </c>
      <c r="K8" s="61">
        <v>6713029991.4700003</v>
      </c>
      <c r="L8" s="62">
        <f t="shared" si="1"/>
        <v>8.706548387517167E-2</v>
      </c>
      <c r="M8" s="61">
        <v>50.398299999999999</v>
      </c>
      <c r="N8" s="64">
        <v>51.917900000000003</v>
      </c>
      <c r="O8" s="65">
        <v>8160</v>
      </c>
      <c r="P8" s="86">
        <v>-0.70650000000000002</v>
      </c>
      <c r="Q8" s="86">
        <v>0.48380000000000001</v>
      </c>
      <c r="R8" s="90">
        <f t="shared" si="2"/>
        <v>-1.8040245842604288E-2</v>
      </c>
      <c r="S8" s="90">
        <f t="shared" si="3"/>
        <v>-1.3549049039539381E-2</v>
      </c>
      <c r="T8" s="90">
        <f t="shared" si="4"/>
        <v>5.1736881005173688E-3</v>
      </c>
      <c r="U8" s="91">
        <f t="shared" si="5"/>
        <v>0.47589999999999988</v>
      </c>
      <c r="V8" s="92">
        <f t="shared" si="6"/>
        <v>-3.3799999999999941E-2</v>
      </c>
      <c r="X8" s="93"/>
      <c r="Y8" s="93"/>
    </row>
    <row r="9" spans="1:25">
      <c r="A9" s="173">
        <v>4</v>
      </c>
      <c r="B9" s="172" t="s">
        <v>25</v>
      </c>
      <c r="C9" s="171" t="s">
        <v>26</v>
      </c>
      <c r="D9" s="61">
        <v>1154935791.72</v>
      </c>
      <c r="E9" s="62">
        <f t="shared" si="0"/>
        <v>1.4878788986227047E-2</v>
      </c>
      <c r="F9" s="61">
        <v>246.60749999999999</v>
      </c>
      <c r="G9" s="61">
        <v>246.60749999999999</v>
      </c>
      <c r="H9" s="63">
        <v>2268</v>
      </c>
      <c r="I9" s="85">
        <v>-3.9800000000000002E-2</v>
      </c>
      <c r="J9" s="85">
        <v>0.28060000000000002</v>
      </c>
      <c r="K9" s="61">
        <v>1158426316.21</v>
      </c>
      <c r="L9" s="62">
        <f t="shared" si="1"/>
        <v>1.5024355303449265E-2</v>
      </c>
      <c r="M9" s="61">
        <v>245.7054</v>
      </c>
      <c r="N9" s="61">
        <v>245.7054</v>
      </c>
      <c r="O9" s="63">
        <v>2250</v>
      </c>
      <c r="P9" s="85">
        <v>-3.7000000000000002E-3</v>
      </c>
      <c r="Q9" s="85">
        <v>0.27650000000000002</v>
      </c>
      <c r="R9" s="90">
        <f t="shared" si="2"/>
        <v>3.0222671381598711E-3</v>
      </c>
      <c r="S9" s="90">
        <f t="shared" si="3"/>
        <v>-3.6580395973358076E-3</v>
      </c>
      <c r="T9" s="90">
        <f t="shared" si="4"/>
        <v>-7.9365079365079361E-3</v>
      </c>
      <c r="U9" s="91">
        <f t="shared" si="5"/>
        <v>3.61E-2</v>
      </c>
      <c r="V9" s="92">
        <f t="shared" si="6"/>
        <v>-4.0999999999999925E-3</v>
      </c>
    </row>
    <row r="10" spans="1:25">
      <c r="A10" s="173">
        <v>5</v>
      </c>
      <c r="B10" s="172" t="s">
        <v>27</v>
      </c>
      <c r="C10" s="171" t="s">
        <v>28</v>
      </c>
      <c r="D10" s="61">
        <v>1911074117.27</v>
      </c>
      <c r="E10" s="62">
        <f t="shared" si="0"/>
        <v>2.4619956132413322E-2</v>
      </c>
      <c r="F10" s="61">
        <v>1.6144000000000001</v>
      </c>
      <c r="G10" s="61">
        <v>1.6325000000000001</v>
      </c>
      <c r="H10" s="63">
        <v>912</v>
      </c>
      <c r="I10" s="85">
        <v>-3.4299999999999997E-2</v>
      </c>
      <c r="J10" s="85">
        <v>0.36890000000000001</v>
      </c>
      <c r="K10" s="61">
        <v>1899235819.28</v>
      </c>
      <c r="L10" s="62">
        <f t="shared" si="1"/>
        <v>2.4632377005433533E-2</v>
      </c>
      <c r="M10" s="61">
        <v>1.6114999999999999</v>
      </c>
      <c r="N10" s="61">
        <v>1.6313</v>
      </c>
      <c r="O10" s="63">
        <v>931</v>
      </c>
      <c r="P10" s="85">
        <v>-1.2999999999999999E-3</v>
      </c>
      <c r="Q10" s="85">
        <v>0.36720000000000003</v>
      </c>
      <c r="R10" s="90">
        <f t="shared" si="2"/>
        <v>-6.1945781605326792E-3</v>
      </c>
      <c r="S10" s="90">
        <f t="shared" si="3"/>
        <v>-7.3506891271062167E-4</v>
      </c>
      <c r="T10" s="90">
        <f t="shared" si="4"/>
        <v>2.0833333333333332E-2</v>
      </c>
      <c r="U10" s="91">
        <f t="shared" si="5"/>
        <v>3.2999999999999995E-2</v>
      </c>
      <c r="V10" s="92">
        <f t="shared" si="6"/>
        <v>-1.6999999999999793E-3</v>
      </c>
    </row>
    <row r="11" spans="1:25">
      <c r="A11" s="173">
        <v>6</v>
      </c>
      <c r="B11" s="172" t="s">
        <v>29</v>
      </c>
      <c r="C11" s="171" t="s">
        <v>30</v>
      </c>
      <c r="D11" s="66">
        <v>206021693.16999999</v>
      </c>
      <c r="E11" s="62">
        <f t="shared" si="0"/>
        <v>2.6541330879498804E-3</v>
      </c>
      <c r="F11" s="61">
        <v>211.2413</v>
      </c>
      <c r="G11" s="61">
        <v>213.0592</v>
      </c>
      <c r="H11" s="65">
        <v>104</v>
      </c>
      <c r="I11" s="86">
        <v>-4.1149999999999997E-3</v>
      </c>
      <c r="J11" s="86">
        <v>0.2792</v>
      </c>
      <c r="K11" s="66">
        <v>196700578.56</v>
      </c>
      <c r="L11" s="62">
        <f t="shared" si="1"/>
        <v>2.5511328077803585E-3</v>
      </c>
      <c r="M11" s="61">
        <v>208.32689999999999</v>
      </c>
      <c r="N11" s="61">
        <v>210.14439999999999</v>
      </c>
      <c r="O11" s="65">
        <v>103</v>
      </c>
      <c r="P11" s="86">
        <v>-2.5660000000000001E-3</v>
      </c>
      <c r="Q11" s="86">
        <v>0.26900000000000002</v>
      </c>
      <c r="R11" s="90">
        <f t="shared" si="2"/>
        <v>-4.5243364747558953E-2</v>
      </c>
      <c r="S11" s="90">
        <f t="shared" si="3"/>
        <v>-1.3680704705546692E-2</v>
      </c>
      <c r="T11" s="90">
        <f t="shared" si="4"/>
        <v>-9.6153846153846159E-3</v>
      </c>
      <c r="U11" s="91">
        <f t="shared" si="5"/>
        <v>1.5489999999999996E-3</v>
      </c>
      <c r="V11" s="92">
        <f t="shared" si="6"/>
        <v>-1.0199999999999987E-2</v>
      </c>
    </row>
    <row r="12" spans="1:25">
      <c r="A12" s="173">
        <v>7</v>
      </c>
      <c r="B12" s="172" t="s">
        <v>31</v>
      </c>
      <c r="C12" s="171" t="s">
        <v>32</v>
      </c>
      <c r="D12" s="61">
        <v>2732029537.73</v>
      </c>
      <c r="E12" s="62">
        <f t="shared" si="0"/>
        <v>3.5196147948178762E-2</v>
      </c>
      <c r="F12" s="61">
        <v>486.21</v>
      </c>
      <c r="G12" s="61">
        <v>493.01</v>
      </c>
      <c r="H12" s="65">
        <v>1838</v>
      </c>
      <c r="I12" s="86">
        <v>-2.6100000000000002E-2</v>
      </c>
      <c r="J12" s="86">
        <v>0.50149999999999995</v>
      </c>
      <c r="K12" s="61">
        <v>2650670954.96</v>
      </c>
      <c r="L12" s="62">
        <f t="shared" si="1"/>
        <v>3.4378209181353557E-2</v>
      </c>
      <c r="M12" s="61">
        <v>493.24</v>
      </c>
      <c r="N12" s="61">
        <v>500.46</v>
      </c>
      <c r="O12" s="65">
        <v>1837</v>
      </c>
      <c r="P12" s="86">
        <v>1.4800000000000001E-2</v>
      </c>
      <c r="Q12" s="86">
        <v>0.5232</v>
      </c>
      <c r="R12" s="90">
        <f t="shared" si="2"/>
        <v>-2.977953995241191E-2</v>
      </c>
      <c r="S12" s="90">
        <f t="shared" si="3"/>
        <v>1.5111255349790043E-2</v>
      </c>
      <c r="T12" s="90">
        <f t="shared" si="4"/>
        <v>-5.4406964091403701E-4</v>
      </c>
      <c r="U12" s="91">
        <f t="shared" si="5"/>
        <v>4.0900000000000006E-2</v>
      </c>
      <c r="V12" s="92">
        <f t="shared" si="6"/>
        <v>2.1700000000000053E-2</v>
      </c>
    </row>
    <row r="13" spans="1:25">
      <c r="A13" s="173">
        <v>8</v>
      </c>
      <c r="B13" s="172" t="s">
        <v>33</v>
      </c>
      <c r="C13" s="171" t="s">
        <v>34</v>
      </c>
      <c r="D13" s="67">
        <v>494128884.77999997</v>
      </c>
      <c r="E13" s="62">
        <f t="shared" si="0"/>
        <v>6.3657559678639937E-3</v>
      </c>
      <c r="F13" s="61">
        <v>245.94</v>
      </c>
      <c r="G13" s="61">
        <v>256.67</v>
      </c>
      <c r="H13" s="63">
        <v>2469</v>
      </c>
      <c r="I13" s="85">
        <v>4.36E-2</v>
      </c>
      <c r="J13" s="85">
        <v>0.1613</v>
      </c>
      <c r="K13" s="67">
        <v>502517174.04000002</v>
      </c>
      <c r="L13" s="62">
        <f t="shared" si="1"/>
        <v>6.5174594734375363E-3</v>
      </c>
      <c r="M13" s="61">
        <v>250.11</v>
      </c>
      <c r="N13" s="61">
        <v>261.27</v>
      </c>
      <c r="O13" s="63">
        <v>2469</v>
      </c>
      <c r="P13" s="85">
        <v>1.7000000000000001E-2</v>
      </c>
      <c r="Q13" s="85">
        <v>0.18099999999999999</v>
      </c>
      <c r="R13" s="90">
        <f t="shared" si="2"/>
        <v>1.6975913609532767E-2</v>
      </c>
      <c r="S13" s="90">
        <f t="shared" si="3"/>
        <v>1.7921845170841805E-2</v>
      </c>
      <c r="T13" s="90">
        <f t="shared" si="4"/>
        <v>0</v>
      </c>
      <c r="U13" s="91">
        <f t="shared" si="5"/>
        <v>-2.6599999999999999E-2</v>
      </c>
      <c r="V13" s="92">
        <f t="shared" si="6"/>
        <v>1.9699999999999995E-2</v>
      </c>
    </row>
    <row r="14" spans="1:25">
      <c r="A14" s="173">
        <v>9</v>
      </c>
      <c r="B14" s="172" t="s">
        <v>35</v>
      </c>
      <c r="C14" s="171" t="s">
        <v>36</v>
      </c>
      <c r="D14" s="66">
        <v>88343433.173500001</v>
      </c>
      <c r="E14" s="62">
        <f t="shared" si="0"/>
        <v>1.1381094169311426E-3</v>
      </c>
      <c r="F14" s="61">
        <v>315.14999999999998</v>
      </c>
      <c r="G14" s="61">
        <v>323.41000000000003</v>
      </c>
      <c r="H14" s="63">
        <v>23</v>
      </c>
      <c r="I14" s="85">
        <v>-3.0099999999999998E-2</v>
      </c>
      <c r="J14" s="85">
        <v>0.42230000000000001</v>
      </c>
      <c r="K14" s="66">
        <v>88769566.105399996</v>
      </c>
      <c r="L14" s="62">
        <f t="shared" si="1"/>
        <v>1.1513080138441725E-3</v>
      </c>
      <c r="M14" s="61">
        <v>316.4853</v>
      </c>
      <c r="N14" s="61">
        <v>324.79000000000002</v>
      </c>
      <c r="O14" s="63">
        <v>23</v>
      </c>
      <c r="P14" s="85">
        <v>4.3E-3</v>
      </c>
      <c r="Q14" s="85">
        <v>0.4284</v>
      </c>
      <c r="R14" s="90">
        <f t="shared" si="2"/>
        <v>4.8235948795775337E-3</v>
      </c>
      <c r="S14" s="90">
        <f t="shared" si="3"/>
        <v>4.2670294672397125E-3</v>
      </c>
      <c r="T14" s="90">
        <f t="shared" si="4"/>
        <v>0</v>
      </c>
      <c r="U14" s="91">
        <f t="shared" si="5"/>
        <v>3.44E-2</v>
      </c>
      <c r="V14" s="92">
        <f t="shared" si="6"/>
        <v>6.0999999999999943E-3</v>
      </c>
    </row>
    <row r="15" spans="1:25" ht="14.25" customHeight="1">
      <c r="A15" s="173">
        <v>10</v>
      </c>
      <c r="B15" s="172" t="s">
        <v>37</v>
      </c>
      <c r="C15" s="171" t="s">
        <v>38</v>
      </c>
      <c r="D15" s="67">
        <v>2703398400.0100002</v>
      </c>
      <c r="E15" s="62">
        <f t="shared" si="0"/>
        <v>3.4827299169202866E-2</v>
      </c>
      <c r="F15" s="61">
        <v>3.8248540000000002</v>
      </c>
      <c r="G15" s="61">
        <v>3.852338</v>
      </c>
      <c r="H15" s="63">
        <v>2455</v>
      </c>
      <c r="I15" s="85">
        <v>-3.5999999999999997E-2</v>
      </c>
      <c r="J15" s="85">
        <v>0.82599999999999996</v>
      </c>
      <c r="K15" s="67">
        <v>2703185550.6700001</v>
      </c>
      <c r="L15" s="62">
        <f t="shared" si="1"/>
        <v>3.5059303812512647E-2</v>
      </c>
      <c r="M15" s="61">
        <v>3.832719</v>
      </c>
      <c r="N15" s="61">
        <v>3.8619309999999998</v>
      </c>
      <c r="O15" s="63">
        <v>2525</v>
      </c>
      <c r="P15" s="85">
        <v>2.0999999999999999E-3</v>
      </c>
      <c r="Q15" s="85">
        <v>0.82979999999999998</v>
      </c>
      <c r="R15" s="90">
        <f t="shared" si="2"/>
        <v>-7.8733989041114043E-5</v>
      </c>
      <c r="S15" s="90">
        <f t="shared" si="3"/>
        <v>2.4901760956592437E-3</v>
      </c>
      <c r="T15" s="90">
        <f t="shared" si="4"/>
        <v>2.8513238289205704E-2</v>
      </c>
      <c r="U15" s="91">
        <f t="shared" si="5"/>
        <v>3.8099999999999995E-2</v>
      </c>
      <c r="V15" s="92">
        <f t="shared" si="6"/>
        <v>3.8000000000000256E-3</v>
      </c>
    </row>
    <row r="16" spans="1:25" ht="14.25" customHeight="1">
      <c r="A16" s="176">
        <v>11</v>
      </c>
      <c r="B16" s="172" t="s">
        <v>39</v>
      </c>
      <c r="C16" s="171" t="s">
        <v>40</v>
      </c>
      <c r="D16" s="67">
        <v>114781975.42</v>
      </c>
      <c r="E16" s="62">
        <f t="shared" si="0"/>
        <v>1.4787114607930679E-3</v>
      </c>
      <c r="F16" s="61">
        <v>25.74</v>
      </c>
      <c r="G16" s="61">
        <v>26.14</v>
      </c>
      <c r="H16" s="63">
        <v>72</v>
      </c>
      <c r="I16" s="85">
        <v>-6.4000000000000003E-3</v>
      </c>
      <c r="J16" s="85">
        <v>1.57</v>
      </c>
      <c r="K16" s="67">
        <v>114781975.42</v>
      </c>
      <c r="L16" s="62">
        <f t="shared" si="1"/>
        <v>1.4886792168050484E-3</v>
      </c>
      <c r="M16" s="61">
        <v>25.34</v>
      </c>
      <c r="N16" s="61">
        <v>25.74</v>
      </c>
      <c r="O16" s="63">
        <v>72</v>
      </c>
      <c r="P16" s="85">
        <v>-1.55E-2</v>
      </c>
      <c r="Q16" s="85">
        <v>1.53</v>
      </c>
      <c r="R16" s="90">
        <f t="shared" ref="R16" si="7">((K16-D16)/D16)</f>
        <v>0</v>
      </c>
      <c r="S16" s="90">
        <f t="shared" ref="S16" si="8">((N16-G16)/G16)</f>
        <v>-1.5302218821729233E-2</v>
      </c>
      <c r="T16" s="90">
        <f t="shared" ref="T16" si="9">((O16-H16)/H16)</f>
        <v>0</v>
      </c>
      <c r="U16" s="91">
        <f t="shared" ref="U16" si="10">P16-I16</f>
        <v>-9.1000000000000004E-3</v>
      </c>
      <c r="V16" s="92">
        <f t="shared" ref="V16" si="11">Q16-J16</f>
        <v>-4.0000000000000036E-2</v>
      </c>
    </row>
    <row r="17" spans="1:22">
      <c r="A17" s="173">
        <v>12</v>
      </c>
      <c r="B17" s="172" t="s">
        <v>41</v>
      </c>
      <c r="C17" s="171" t="s">
        <v>42</v>
      </c>
      <c r="D17" s="68">
        <v>2594583364.75</v>
      </c>
      <c r="E17" s="62">
        <f t="shared" si="0"/>
        <v>3.3425458512977957E-2</v>
      </c>
      <c r="F17" s="61">
        <v>5.28</v>
      </c>
      <c r="G17" s="61">
        <v>5.39</v>
      </c>
      <c r="H17" s="63">
        <v>3694</v>
      </c>
      <c r="I17" s="85">
        <v>-2.5399999999999999E-2</v>
      </c>
      <c r="J17" s="85">
        <v>0.45029999999999998</v>
      </c>
      <c r="K17" s="68">
        <v>2545592220.1100001</v>
      </c>
      <c r="L17" s="62">
        <f t="shared" si="1"/>
        <v>3.3015377359310302E-2</v>
      </c>
      <c r="M17" s="61">
        <v>5.18</v>
      </c>
      <c r="N17" s="61">
        <v>5.29</v>
      </c>
      <c r="O17" s="63">
        <v>3695</v>
      </c>
      <c r="P17" s="85">
        <v>-2.8799999999999999E-2</v>
      </c>
      <c r="Q17" s="85">
        <v>0.4229</v>
      </c>
      <c r="R17" s="90">
        <f t="shared" si="2"/>
        <v>-1.8882085388195028E-2</v>
      </c>
      <c r="S17" s="90">
        <f t="shared" si="3"/>
        <v>-1.8552875695732773E-2</v>
      </c>
      <c r="T17" s="90">
        <f t="shared" si="4"/>
        <v>2.7070925825663239E-4</v>
      </c>
      <c r="U17" s="91">
        <f t="shared" si="5"/>
        <v>-3.4000000000000002E-3</v>
      </c>
      <c r="V17" s="92">
        <f t="shared" si="6"/>
        <v>-2.739999999999998E-2</v>
      </c>
    </row>
    <row r="18" spans="1:22">
      <c r="A18" s="173">
        <v>13</v>
      </c>
      <c r="B18" s="172" t="s">
        <v>43</v>
      </c>
      <c r="C18" s="171" t="s">
        <v>44</v>
      </c>
      <c r="D18" s="61">
        <v>3915879879.8699999</v>
      </c>
      <c r="E18" s="62">
        <f t="shared" si="0"/>
        <v>5.0447436858137587E-2</v>
      </c>
      <c r="F18" s="61">
        <v>32.200000000000003</v>
      </c>
      <c r="G18" s="61">
        <v>32.270000000000003</v>
      </c>
      <c r="H18" s="63">
        <v>1018</v>
      </c>
      <c r="I18" s="85">
        <v>-3.4099999999999998E-2</v>
      </c>
      <c r="J18" s="85">
        <v>0.37080000000000002</v>
      </c>
      <c r="K18" s="61">
        <v>3912841688.1500001</v>
      </c>
      <c r="L18" s="62">
        <f t="shared" si="1"/>
        <v>5.0748090703989779E-2</v>
      </c>
      <c r="M18" s="61">
        <v>32.270000000000003</v>
      </c>
      <c r="N18" s="61">
        <v>32.340000000000003</v>
      </c>
      <c r="O18" s="63">
        <v>1025</v>
      </c>
      <c r="P18" s="85">
        <v>-8.0000000000000004E-4</v>
      </c>
      <c r="Q18" s="85">
        <v>0.37080000000000002</v>
      </c>
      <c r="R18" s="90">
        <f t="shared" si="2"/>
        <v>-7.7586438123854109E-4</v>
      </c>
      <c r="S18" s="90">
        <f t="shared" si="3"/>
        <v>2.1691973969631324E-3</v>
      </c>
      <c r="T18" s="90">
        <f t="shared" si="4"/>
        <v>6.8762278978389E-3</v>
      </c>
      <c r="U18" s="91">
        <f t="shared" si="5"/>
        <v>3.3299999999999996E-2</v>
      </c>
      <c r="V18" s="92">
        <f t="shared" si="6"/>
        <v>0</v>
      </c>
    </row>
    <row r="19" spans="1:22">
      <c r="A19" s="173">
        <v>14</v>
      </c>
      <c r="B19" s="172" t="s">
        <v>45</v>
      </c>
      <c r="C19" s="171" t="s">
        <v>46</v>
      </c>
      <c r="D19" s="61">
        <v>184501911.72</v>
      </c>
      <c r="E19" s="62">
        <f t="shared" si="0"/>
        <v>2.3768983797351241E-3</v>
      </c>
      <c r="F19" s="61">
        <v>1.98</v>
      </c>
      <c r="G19" s="61">
        <v>2.06</v>
      </c>
      <c r="H19" s="63">
        <v>26</v>
      </c>
      <c r="I19" s="85">
        <v>4.0500000000000001E-2</v>
      </c>
      <c r="J19" s="85">
        <v>0.4224</v>
      </c>
      <c r="K19" s="61">
        <v>180070329.81999999</v>
      </c>
      <c r="L19" s="62">
        <f t="shared" si="1"/>
        <v>2.3354447123372598E-3</v>
      </c>
      <c r="M19" s="61">
        <v>2.0499999999999998</v>
      </c>
      <c r="N19" s="61">
        <v>2.13</v>
      </c>
      <c r="O19" s="63">
        <v>26</v>
      </c>
      <c r="P19" s="85">
        <v>5.3199999999999997E-2</v>
      </c>
      <c r="Q19" s="85">
        <v>0.47099999999999997</v>
      </c>
      <c r="R19" s="90">
        <f t="shared" si="2"/>
        <v>-2.4019165214533778E-2</v>
      </c>
      <c r="S19" s="90">
        <f t="shared" si="3"/>
        <v>3.3980582524271767E-2</v>
      </c>
      <c r="T19" s="90">
        <f t="shared" si="4"/>
        <v>0</v>
      </c>
      <c r="U19" s="91">
        <f t="shared" si="5"/>
        <v>1.2699999999999996E-2</v>
      </c>
      <c r="V19" s="92">
        <f t="shared" si="6"/>
        <v>4.8599999999999977E-2</v>
      </c>
    </row>
    <row r="20" spans="1:22">
      <c r="A20" s="173">
        <v>15</v>
      </c>
      <c r="B20" s="172" t="s">
        <v>47</v>
      </c>
      <c r="C20" s="171" t="s">
        <v>48</v>
      </c>
      <c r="D20" s="67">
        <v>8379034093.4700003</v>
      </c>
      <c r="E20" s="62">
        <f t="shared" si="0"/>
        <v>0.10794529105334631</v>
      </c>
      <c r="F20" s="61">
        <v>48.68</v>
      </c>
      <c r="G20" s="61">
        <v>48.8</v>
      </c>
      <c r="H20" s="63">
        <v>8944</v>
      </c>
      <c r="I20" s="85">
        <v>-4.0599999999999997E-2</v>
      </c>
      <c r="J20" s="85">
        <v>0.59860000000000002</v>
      </c>
      <c r="K20" s="67">
        <v>8011964805.7200003</v>
      </c>
      <c r="L20" s="62">
        <f t="shared" si="1"/>
        <v>0.10391218175506864</v>
      </c>
      <c r="M20" s="61">
        <v>48.98</v>
      </c>
      <c r="N20" s="61">
        <v>49.12</v>
      </c>
      <c r="O20" s="63">
        <v>8944</v>
      </c>
      <c r="P20" s="85">
        <v>1.17E-2</v>
      </c>
      <c r="Q20" s="85">
        <v>0.61029999999999995</v>
      </c>
      <c r="R20" s="90">
        <f t="shared" si="2"/>
        <v>-4.38080670940421E-2</v>
      </c>
      <c r="S20" s="90">
        <f t="shared" si="3"/>
        <v>6.5573770491803339E-3</v>
      </c>
      <c r="T20" s="90">
        <f t="shared" si="4"/>
        <v>0</v>
      </c>
      <c r="U20" s="91">
        <f t="shared" si="5"/>
        <v>5.2299999999999999E-2</v>
      </c>
      <c r="V20" s="92">
        <f t="shared" si="6"/>
        <v>1.1699999999999933E-2</v>
      </c>
    </row>
    <row r="21" spans="1:22" ht="12.75" customHeight="1">
      <c r="A21" s="173">
        <v>16</v>
      </c>
      <c r="B21" s="172" t="s">
        <v>49</v>
      </c>
      <c r="C21" s="171" t="s">
        <v>50</v>
      </c>
      <c r="D21" s="61">
        <v>1480037465.1900001</v>
      </c>
      <c r="E21" s="62">
        <f t="shared" si="0"/>
        <v>1.9067003805880084E-2</v>
      </c>
      <c r="F21" s="61">
        <v>11996.9</v>
      </c>
      <c r="G21" s="61">
        <v>12159.15</v>
      </c>
      <c r="H21" s="63">
        <v>29</v>
      </c>
      <c r="I21" s="85">
        <v>-0.04</v>
      </c>
      <c r="J21" s="85">
        <v>0.49909999999999999</v>
      </c>
      <c r="K21" s="61">
        <v>1500374395.3599999</v>
      </c>
      <c r="L21" s="62">
        <f t="shared" si="1"/>
        <v>1.9459293775228814E-2</v>
      </c>
      <c r="M21" s="61">
        <v>12185.16</v>
      </c>
      <c r="N21" s="61">
        <v>12350.57</v>
      </c>
      <c r="O21" s="63">
        <v>29</v>
      </c>
      <c r="P21" s="85">
        <v>1.5699999999999999E-2</v>
      </c>
      <c r="Q21" s="85">
        <v>0.52270000000000005</v>
      </c>
      <c r="R21" s="90">
        <f t="shared" si="2"/>
        <v>1.3740821194272322E-2</v>
      </c>
      <c r="S21" s="90">
        <f t="shared" si="3"/>
        <v>1.5742876763589566E-2</v>
      </c>
      <c r="T21" s="90">
        <f t="shared" si="4"/>
        <v>0</v>
      </c>
      <c r="U21" s="91">
        <f t="shared" si="5"/>
        <v>5.57E-2</v>
      </c>
      <c r="V21" s="92">
        <f t="shared" si="6"/>
        <v>2.3600000000000065E-2</v>
      </c>
    </row>
    <row r="22" spans="1:22">
      <c r="A22" s="173">
        <v>17</v>
      </c>
      <c r="B22" s="172" t="s">
        <v>51</v>
      </c>
      <c r="C22" s="171" t="s">
        <v>50</v>
      </c>
      <c r="D22" s="61">
        <v>24069754551.57</v>
      </c>
      <c r="E22" s="62">
        <f t="shared" si="0"/>
        <v>0.31008546231798828</v>
      </c>
      <c r="F22" s="61">
        <v>40684.85</v>
      </c>
      <c r="G22" s="61">
        <v>41236.879999999997</v>
      </c>
      <c r="H22" s="63">
        <v>19598</v>
      </c>
      <c r="I22" s="85">
        <v>-2.8500000000000001E-2</v>
      </c>
      <c r="J22" s="85">
        <v>0.60450000000000004</v>
      </c>
      <c r="K22" s="61">
        <v>24118551786.68</v>
      </c>
      <c r="L22" s="62">
        <f t="shared" ref="L22:L24" si="12">(K22/$K$25)</f>
        <v>0.3128085803793425</v>
      </c>
      <c r="M22" s="61">
        <v>40907.67</v>
      </c>
      <c r="N22" s="61">
        <v>41464.65</v>
      </c>
      <c r="O22" s="63">
        <v>19634</v>
      </c>
      <c r="P22" s="85">
        <v>5.4999999999999997E-3</v>
      </c>
      <c r="Q22" s="85">
        <v>0.61329999999999996</v>
      </c>
      <c r="R22" s="90">
        <f t="shared" si="2"/>
        <v>2.0273258294118213E-3</v>
      </c>
      <c r="S22" s="90">
        <f t="shared" si="3"/>
        <v>5.5234537627483959E-3</v>
      </c>
      <c r="T22" s="90">
        <f t="shared" si="4"/>
        <v>1.8369221349117256E-3</v>
      </c>
      <c r="U22" s="91">
        <f t="shared" si="5"/>
        <v>3.4000000000000002E-2</v>
      </c>
      <c r="V22" s="92">
        <f t="shared" si="6"/>
        <v>8.799999999999919E-3</v>
      </c>
    </row>
    <row r="23" spans="1:22">
      <c r="A23" s="173">
        <v>18</v>
      </c>
      <c r="B23" s="171" t="s">
        <v>52</v>
      </c>
      <c r="C23" s="171" t="s">
        <v>53</v>
      </c>
      <c r="D23" s="61">
        <v>6140794894.1899996</v>
      </c>
      <c r="E23" s="62">
        <f t="shared" ref="E23:E24" si="13">(D23/$D$25)</f>
        <v>7.9110537653598323E-2</v>
      </c>
      <c r="F23" s="61">
        <v>1.8952</v>
      </c>
      <c r="G23" s="69">
        <v>1.915</v>
      </c>
      <c r="H23" s="63">
        <v>6432</v>
      </c>
      <c r="I23" s="85">
        <v>-1.9699999999999999E-2</v>
      </c>
      <c r="J23" s="85">
        <v>0.45569999999999999</v>
      </c>
      <c r="K23" s="61">
        <v>6103296556.8000002</v>
      </c>
      <c r="L23" s="62">
        <f t="shared" si="12"/>
        <v>7.9157469671172986E-2</v>
      </c>
      <c r="M23" s="61">
        <v>1.8848</v>
      </c>
      <c r="N23" s="69">
        <v>1.9043000000000001</v>
      </c>
      <c r="O23" s="63">
        <v>6462</v>
      </c>
      <c r="P23" s="85">
        <v>-5.4999999999999997E-3</v>
      </c>
      <c r="Q23" s="85">
        <v>0.44869999999999999</v>
      </c>
      <c r="R23" s="90">
        <f t="shared" ref="R23" si="14">((K23-D23)/D23)</f>
        <v>-6.1064305250575542E-3</v>
      </c>
      <c r="S23" s="90">
        <f t="shared" ref="S23" si="15">((N23-G23)/G23)</f>
        <v>-5.5874673629242467E-3</v>
      </c>
      <c r="T23" s="90">
        <f t="shared" ref="T23" si="16">((O23-H23)/H23)</f>
        <v>4.6641791044776115E-3</v>
      </c>
      <c r="U23" s="91">
        <f t="shared" ref="U23" si="17">P23-I23</f>
        <v>1.4199999999999999E-2</v>
      </c>
      <c r="V23" s="92">
        <f t="shared" ref="V23" si="18">Q23-J23</f>
        <v>-7.0000000000000062E-3</v>
      </c>
    </row>
    <row r="24" spans="1:22">
      <c r="A24" s="173">
        <v>19</v>
      </c>
      <c r="B24" s="171" t="s">
        <v>54</v>
      </c>
      <c r="C24" s="171" t="s">
        <v>55</v>
      </c>
      <c r="D24" s="61">
        <v>9138942799.9599991</v>
      </c>
      <c r="E24" s="62">
        <f t="shared" si="13"/>
        <v>0.11773503120489455</v>
      </c>
      <c r="F24" s="61">
        <v>200.18</v>
      </c>
      <c r="G24" s="69">
        <v>203.54</v>
      </c>
      <c r="H24" s="63">
        <v>77</v>
      </c>
      <c r="I24" s="85">
        <v>-5.3499999999999999E-2</v>
      </c>
      <c r="J24" s="85">
        <v>0.64470000000000005</v>
      </c>
      <c r="K24" s="61">
        <v>9332038096.0499992</v>
      </c>
      <c r="L24" s="62">
        <f t="shared" si="12"/>
        <v>0.12103303774994909</v>
      </c>
      <c r="M24" s="61">
        <v>203.53</v>
      </c>
      <c r="N24" s="69">
        <v>206.93</v>
      </c>
      <c r="O24" s="63">
        <v>76</v>
      </c>
      <c r="P24" s="85">
        <v>1.67E-2</v>
      </c>
      <c r="Q24" s="85">
        <v>0.67210000000000003</v>
      </c>
      <c r="R24" s="90">
        <f t="shared" si="2"/>
        <v>2.1128843928298283E-2</v>
      </c>
      <c r="S24" s="90">
        <f t="shared" si="3"/>
        <v>1.6655202908519282E-2</v>
      </c>
      <c r="T24" s="90">
        <f t="shared" si="4"/>
        <v>-1.2987012987012988E-2</v>
      </c>
      <c r="U24" s="91">
        <f t="shared" si="5"/>
        <v>7.0199999999999999E-2</v>
      </c>
      <c r="V24" s="92">
        <f t="shared" si="6"/>
        <v>2.739999999999998E-2</v>
      </c>
    </row>
    <row r="25" spans="1:22">
      <c r="A25" s="70"/>
      <c r="B25" s="71"/>
      <c r="C25" s="72" t="s">
        <v>56</v>
      </c>
      <c r="D25" s="73">
        <f>SUM(D6:D24)</f>
        <v>77622970040.713501</v>
      </c>
      <c r="E25" s="74">
        <f>(D25/$D$229)</f>
        <v>1.0839072497064813E-2</v>
      </c>
      <c r="F25" s="75"/>
      <c r="G25" s="76"/>
      <c r="H25" s="77">
        <f>SUM(H6:H24)</f>
        <v>60385</v>
      </c>
      <c r="I25" s="87"/>
      <c r="J25" s="63">
        <v>0</v>
      </c>
      <c r="K25" s="73">
        <f>SUM(K6:K24)</f>
        <v>77103229577.115402</v>
      </c>
      <c r="L25" s="74">
        <f>(K25/$K$229)</f>
        <v>1.0671777397960741E-2</v>
      </c>
      <c r="M25" s="75"/>
      <c r="N25" s="76"/>
      <c r="O25" s="77">
        <f>SUM(O6:O24)</f>
        <v>60572</v>
      </c>
      <c r="P25" s="87"/>
      <c r="Q25" s="77"/>
      <c r="R25" s="90">
        <f t="shared" si="2"/>
        <v>-6.6957044200382076E-3</v>
      </c>
      <c r="S25" s="90" t="e">
        <f t="shared" si="3"/>
        <v>#DIV/0!</v>
      </c>
      <c r="T25" s="90">
        <f t="shared" si="4"/>
        <v>3.0967955618117081E-3</v>
      </c>
      <c r="U25" s="91">
        <f t="shared" si="5"/>
        <v>0</v>
      </c>
      <c r="V25" s="92">
        <f t="shared" si="6"/>
        <v>0</v>
      </c>
    </row>
    <row r="26" spans="1:22" ht="4.5" customHeight="1">
      <c r="A26" s="70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</row>
    <row r="27" spans="1:22" ht="15" customHeight="1">
      <c r="A27" s="185" t="s">
        <v>57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>
      <c r="A28" s="169">
        <v>20</v>
      </c>
      <c r="B28" s="172" t="s">
        <v>58</v>
      </c>
      <c r="C28" s="171" t="s">
        <v>20</v>
      </c>
      <c r="D28" s="79">
        <v>5197209494.1300001</v>
      </c>
      <c r="E28" s="62">
        <f t="shared" ref="E28:E33" si="19">(D28/$K$71)</f>
        <v>1.1654120420860332E-3</v>
      </c>
      <c r="F28" s="69">
        <v>100</v>
      </c>
      <c r="G28" s="69">
        <v>100</v>
      </c>
      <c r="H28" s="63">
        <v>879</v>
      </c>
      <c r="I28" s="85">
        <v>0.1605</v>
      </c>
      <c r="J28" s="85">
        <v>0.1605</v>
      </c>
      <c r="K28" s="79">
        <v>5434772234.1000004</v>
      </c>
      <c r="L28" s="62">
        <f t="shared" ref="L28:L33" si="20">(K28/$K$71)</f>
        <v>1.2186826439782004E-3</v>
      </c>
      <c r="M28" s="69">
        <v>100</v>
      </c>
      <c r="N28" s="69">
        <v>100</v>
      </c>
      <c r="O28" s="63">
        <v>879</v>
      </c>
      <c r="P28" s="85">
        <v>0.1656</v>
      </c>
      <c r="Q28" s="85">
        <v>0.1656</v>
      </c>
      <c r="R28" s="90">
        <f>((K28-D28)/D28)</f>
        <v>4.5709671745638891E-2</v>
      </c>
      <c r="S28" s="90">
        <f>((N28-G28)/G28)</f>
        <v>0</v>
      </c>
      <c r="T28" s="90">
        <f>((O28-H28)/H28)</f>
        <v>0</v>
      </c>
      <c r="U28" s="91">
        <f>P28-I28</f>
        <v>5.0999999999999934E-3</v>
      </c>
      <c r="V28" s="92">
        <f>Q28-J28</f>
        <v>5.0999999999999934E-3</v>
      </c>
    </row>
    <row r="29" spans="1:22">
      <c r="A29" s="169">
        <v>21</v>
      </c>
      <c r="B29" s="172" t="s">
        <v>59</v>
      </c>
      <c r="C29" s="171" t="s">
        <v>60</v>
      </c>
      <c r="D29" s="79">
        <v>29936277500.419998</v>
      </c>
      <c r="E29" s="62">
        <f t="shared" si="19"/>
        <v>6.7128520283092456E-3</v>
      </c>
      <c r="F29" s="69">
        <v>100</v>
      </c>
      <c r="G29" s="69">
        <v>100</v>
      </c>
      <c r="H29" s="63">
        <v>3612</v>
      </c>
      <c r="I29" s="85">
        <v>0.190221</v>
      </c>
      <c r="J29" s="85">
        <v>0.190221</v>
      </c>
      <c r="K29" s="79">
        <v>30438993873.599998</v>
      </c>
      <c r="L29" s="62">
        <f t="shared" si="20"/>
        <v>6.8255801597650783E-3</v>
      </c>
      <c r="M29" s="69">
        <v>100</v>
      </c>
      <c r="N29" s="69">
        <v>100</v>
      </c>
      <c r="O29" s="63">
        <v>3624</v>
      </c>
      <c r="P29" s="85">
        <v>0.19167300000000001</v>
      </c>
      <c r="Q29" s="85">
        <v>0.19167300000000001</v>
      </c>
      <c r="R29" s="90">
        <f t="shared" ref="R29:R71" si="21">((K29-D29)/D29)</f>
        <v>1.6792881919702518E-2</v>
      </c>
      <c r="S29" s="90">
        <f t="shared" ref="S29:S71" si="22">((N29-G29)/G29)</f>
        <v>0</v>
      </c>
      <c r="T29" s="90">
        <f t="shared" ref="T29:T71" si="23">((O29-H29)/H29)</f>
        <v>3.3222591362126247E-3</v>
      </c>
      <c r="U29" s="91">
        <f t="shared" ref="U29:U71" si="24">P29-I29</f>
        <v>1.4520000000000088E-3</v>
      </c>
      <c r="V29" s="92">
        <f t="shared" ref="V29:V71" si="25">Q29-J29</f>
        <v>1.4520000000000088E-3</v>
      </c>
    </row>
    <row r="30" spans="1:22">
      <c r="A30" s="169">
        <v>22</v>
      </c>
      <c r="B30" s="172" t="s">
        <v>61</v>
      </c>
      <c r="C30" s="171" t="s">
        <v>22</v>
      </c>
      <c r="D30" s="79">
        <v>2517286380.8299999</v>
      </c>
      <c r="E30" s="62">
        <f t="shared" si="19"/>
        <v>5.6447135042601165E-4</v>
      </c>
      <c r="F30" s="69">
        <v>100</v>
      </c>
      <c r="G30" s="69">
        <v>100</v>
      </c>
      <c r="H30" s="63">
        <v>2268</v>
      </c>
      <c r="I30" s="85">
        <v>0.18940000000000001</v>
      </c>
      <c r="J30" s="85">
        <v>0.18940000000000001</v>
      </c>
      <c r="K30" s="79">
        <v>2615440731.0900002</v>
      </c>
      <c r="L30" s="62">
        <f t="shared" si="20"/>
        <v>5.8648128901042564E-4</v>
      </c>
      <c r="M30" s="69">
        <v>100</v>
      </c>
      <c r="N30" s="69">
        <v>100</v>
      </c>
      <c r="O30" s="63">
        <v>2277</v>
      </c>
      <c r="P30" s="85">
        <v>0.18329999999999999</v>
      </c>
      <c r="Q30" s="85">
        <v>0.18329999999999999</v>
      </c>
      <c r="R30" s="90">
        <f t="shared" si="21"/>
        <v>3.899212700131352E-2</v>
      </c>
      <c r="S30" s="90">
        <f t="shared" si="22"/>
        <v>0</v>
      </c>
      <c r="T30" s="90">
        <f t="shared" si="23"/>
        <v>3.968253968253968E-3</v>
      </c>
      <c r="U30" s="91">
        <f t="shared" si="24"/>
        <v>-6.1000000000000221E-3</v>
      </c>
      <c r="V30" s="92">
        <f t="shared" si="25"/>
        <v>-6.1000000000000221E-3</v>
      </c>
    </row>
    <row r="31" spans="1:22">
      <c r="A31" s="169">
        <v>23</v>
      </c>
      <c r="B31" s="172" t="s">
        <v>62</v>
      </c>
      <c r="C31" s="171" t="s">
        <v>24</v>
      </c>
      <c r="D31" s="79">
        <v>299953894377.40997</v>
      </c>
      <c r="E31" s="62">
        <f t="shared" si="19"/>
        <v>6.7261071729522962E-2</v>
      </c>
      <c r="F31" s="69">
        <v>1</v>
      </c>
      <c r="G31" s="69">
        <v>1</v>
      </c>
      <c r="H31" s="63">
        <v>76584</v>
      </c>
      <c r="I31" s="85">
        <v>0.1908</v>
      </c>
      <c r="J31" s="85">
        <v>0.1908</v>
      </c>
      <c r="K31" s="79">
        <v>305020963124.48999</v>
      </c>
      <c r="L31" s="62">
        <f t="shared" si="20"/>
        <v>6.8397301266276189E-2</v>
      </c>
      <c r="M31" s="69">
        <v>1</v>
      </c>
      <c r="N31" s="69">
        <v>1</v>
      </c>
      <c r="O31" s="63">
        <v>76801</v>
      </c>
      <c r="P31" s="85">
        <v>0.18840000000000001</v>
      </c>
      <c r="Q31" s="85">
        <v>0.18840000000000001</v>
      </c>
      <c r="R31" s="90">
        <f t="shared" si="21"/>
        <v>1.6892825337698387E-2</v>
      </c>
      <c r="S31" s="90">
        <f t="shared" si="22"/>
        <v>0</v>
      </c>
      <c r="T31" s="90">
        <f t="shared" si="23"/>
        <v>2.8334900240259064E-3</v>
      </c>
      <c r="U31" s="91">
        <f t="shared" si="24"/>
        <v>-2.3999999999999855E-3</v>
      </c>
      <c r="V31" s="92">
        <f t="shared" si="25"/>
        <v>-2.3999999999999855E-3</v>
      </c>
    </row>
    <row r="32" spans="1:22">
      <c r="A32" s="169">
        <v>24</v>
      </c>
      <c r="B32" s="172" t="s">
        <v>63</v>
      </c>
      <c r="C32" s="171" t="s">
        <v>64</v>
      </c>
      <c r="D32" s="79">
        <v>1691943323.1600001</v>
      </c>
      <c r="E32" s="62">
        <f t="shared" si="19"/>
        <v>3.793980453481414E-4</v>
      </c>
      <c r="F32" s="69">
        <v>1</v>
      </c>
      <c r="G32" s="69">
        <v>1</v>
      </c>
      <c r="H32" s="63">
        <v>300</v>
      </c>
      <c r="I32" s="85">
        <v>0.1777</v>
      </c>
      <c r="J32" s="85">
        <v>0.1777</v>
      </c>
      <c r="K32" s="79">
        <v>1680247135.23</v>
      </c>
      <c r="L32" s="62">
        <f t="shared" si="20"/>
        <v>3.7677531515504088E-4</v>
      </c>
      <c r="M32" s="69">
        <v>1</v>
      </c>
      <c r="N32" s="69">
        <v>1</v>
      </c>
      <c r="O32" s="63">
        <v>300</v>
      </c>
      <c r="P32" s="85">
        <v>0.1658</v>
      </c>
      <c r="Q32" s="85">
        <v>0.1658</v>
      </c>
      <c r="R32" s="90">
        <f t="shared" si="21"/>
        <v>-6.91287218070366E-3</v>
      </c>
      <c r="S32" s="90">
        <f t="shared" si="22"/>
        <v>0</v>
      </c>
      <c r="T32" s="90">
        <f t="shared" si="23"/>
        <v>0</v>
      </c>
      <c r="U32" s="91">
        <f t="shared" si="24"/>
        <v>-1.1899999999999994E-2</v>
      </c>
      <c r="V32" s="92">
        <f t="shared" si="25"/>
        <v>-1.1899999999999994E-2</v>
      </c>
    </row>
    <row r="33" spans="1:22">
      <c r="A33" s="169">
        <v>25</v>
      </c>
      <c r="B33" s="172" t="s">
        <v>65</v>
      </c>
      <c r="C33" s="171" t="s">
        <v>26</v>
      </c>
      <c r="D33" s="79">
        <v>168641498367.56</v>
      </c>
      <c r="E33" s="62">
        <f t="shared" si="19"/>
        <v>3.7815838136785802E-2</v>
      </c>
      <c r="F33" s="69">
        <v>1</v>
      </c>
      <c r="G33" s="69">
        <v>1</v>
      </c>
      <c r="H33" s="63">
        <v>36803</v>
      </c>
      <c r="I33" s="85">
        <v>0.15709999999999999</v>
      </c>
      <c r="J33" s="85">
        <v>0.15709999999999999</v>
      </c>
      <c r="K33" s="79">
        <v>166389213026.82001</v>
      </c>
      <c r="L33" s="62">
        <f t="shared" si="20"/>
        <v>3.731079009874215E-2</v>
      </c>
      <c r="M33" s="69">
        <v>1</v>
      </c>
      <c r="N33" s="69">
        <v>1</v>
      </c>
      <c r="O33" s="63">
        <v>36870</v>
      </c>
      <c r="P33" s="85">
        <v>0.15379999999999999</v>
      </c>
      <c r="Q33" s="85">
        <v>0.19670000000000001</v>
      </c>
      <c r="R33" s="90">
        <f t="shared" si="21"/>
        <v>-1.3355463290720154E-2</v>
      </c>
      <c r="S33" s="90">
        <f t="shared" si="22"/>
        <v>0</v>
      </c>
      <c r="T33" s="90">
        <f t="shared" si="23"/>
        <v>1.8205037632801674E-3</v>
      </c>
      <c r="U33" s="91">
        <f t="shared" si="24"/>
        <v>-3.2999999999999974E-3</v>
      </c>
      <c r="V33" s="92">
        <f t="shared" si="25"/>
        <v>3.9600000000000024E-2</v>
      </c>
    </row>
    <row r="34" spans="1:22">
      <c r="A34" s="169">
        <v>26</v>
      </c>
      <c r="B34" s="172" t="s">
        <v>66</v>
      </c>
      <c r="C34" s="171" t="s">
        <v>28</v>
      </c>
      <c r="D34" s="61">
        <v>14572903769.360001</v>
      </c>
      <c r="E34" s="62">
        <f t="shared" ref="E34" si="26">(D34/$D$25)</f>
        <v>0.18773957968519453</v>
      </c>
      <c r="F34" s="61">
        <v>1</v>
      </c>
      <c r="G34" s="61">
        <v>1</v>
      </c>
      <c r="H34" s="63">
        <v>1278</v>
      </c>
      <c r="I34" s="85">
        <v>0.1898</v>
      </c>
      <c r="J34" s="85">
        <v>0.1898</v>
      </c>
      <c r="K34" s="61">
        <v>14937269745.360001</v>
      </c>
      <c r="L34" s="62">
        <f t="shared" ref="L34" si="27">(K34/$K$25)</f>
        <v>0.19373079217674496</v>
      </c>
      <c r="M34" s="61">
        <v>1</v>
      </c>
      <c r="N34" s="61">
        <v>1</v>
      </c>
      <c r="O34" s="63">
        <v>1299</v>
      </c>
      <c r="P34" s="85">
        <v>0.1885</v>
      </c>
      <c r="Q34" s="85">
        <v>0.1885</v>
      </c>
      <c r="R34" s="90">
        <f t="shared" si="21"/>
        <v>2.5002976878643172E-2</v>
      </c>
      <c r="S34" s="90">
        <f t="shared" si="22"/>
        <v>0</v>
      </c>
      <c r="T34" s="90">
        <f t="shared" si="23"/>
        <v>1.6431924882629109E-2</v>
      </c>
      <c r="U34" s="91">
        <f t="shared" si="24"/>
        <v>-1.2999999999999956E-3</v>
      </c>
      <c r="V34" s="92">
        <f t="shared" si="25"/>
        <v>-1.2999999999999956E-3</v>
      </c>
    </row>
    <row r="35" spans="1:22" ht="15" customHeight="1">
      <c r="A35" s="169">
        <v>27</v>
      </c>
      <c r="B35" s="172" t="s">
        <v>67</v>
      </c>
      <c r="C35" s="171" t="s">
        <v>48</v>
      </c>
      <c r="D35" s="79">
        <v>36241549827.629997</v>
      </c>
      <c r="E35" s="62">
        <f t="shared" ref="E35:E49" si="28">(D35/$K$71)</f>
        <v>8.1267339022382916E-3</v>
      </c>
      <c r="F35" s="69">
        <v>100</v>
      </c>
      <c r="G35" s="69">
        <v>100</v>
      </c>
      <c r="H35" s="63">
        <v>2083</v>
      </c>
      <c r="I35" s="85">
        <v>0.18659999999999999</v>
      </c>
      <c r="J35" s="85">
        <v>0.18659999999999999</v>
      </c>
      <c r="K35" s="79">
        <v>38092658920.93</v>
      </c>
      <c r="L35" s="62">
        <f t="shared" ref="L35:L49" si="29">(K35/$K$71)</f>
        <v>8.541822967049582E-3</v>
      </c>
      <c r="M35" s="69">
        <v>100</v>
      </c>
      <c r="N35" s="69">
        <v>100</v>
      </c>
      <c r="O35" s="63">
        <v>2083</v>
      </c>
      <c r="P35" s="85">
        <v>0.1857</v>
      </c>
      <c r="Q35" s="85">
        <v>0.1857</v>
      </c>
      <c r="R35" s="90">
        <f t="shared" si="21"/>
        <v>5.1076984900042713E-2</v>
      </c>
      <c r="S35" s="90">
        <f t="shared" si="22"/>
        <v>0</v>
      </c>
      <c r="T35" s="90">
        <f t="shared" si="23"/>
        <v>0</v>
      </c>
      <c r="U35" s="91">
        <f t="shared" si="24"/>
        <v>-8.9999999999998415E-4</v>
      </c>
      <c r="V35" s="92">
        <f t="shared" si="25"/>
        <v>-8.9999999999998415E-4</v>
      </c>
    </row>
    <row r="36" spans="1:22" ht="15" customHeight="1">
      <c r="A36" s="169">
        <v>28</v>
      </c>
      <c r="B36" s="172" t="s">
        <v>68</v>
      </c>
      <c r="C36" s="171" t="s">
        <v>69</v>
      </c>
      <c r="D36" s="79">
        <v>2051707680.1400001</v>
      </c>
      <c r="E36" s="62">
        <f t="shared" si="28"/>
        <v>4.6007089765693905E-4</v>
      </c>
      <c r="F36" s="69">
        <v>1</v>
      </c>
      <c r="G36" s="69">
        <v>1</v>
      </c>
      <c r="H36" s="63">
        <v>550</v>
      </c>
      <c r="I36" s="85">
        <v>0.17399999999999999</v>
      </c>
      <c r="J36" s="85">
        <v>0.17399999999999999</v>
      </c>
      <c r="K36" s="79">
        <v>2139176202.28</v>
      </c>
      <c r="L36" s="62">
        <f t="shared" si="29"/>
        <v>4.7968466714623086E-4</v>
      </c>
      <c r="M36" s="69">
        <v>1</v>
      </c>
      <c r="N36" s="69">
        <v>1</v>
      </c>
      <c r="O36" s="63">
        <v>553</v>
      </c>
      <c r="P36" s="85">
        <v>0.1726</v>
      </c>
      <c r="Q36" s="85">
        <v>0.1726</v>
      </c>
      <c r="R36" s="90">
        <f t="shared" si="21"/>
        <v>4.2632058643964021E-2</v>
      </c>
      <c r="S36" s="90">
        <f t="shared" si="22"/>
        <v>0</v>
      </c>
      <c r="T36" s="90">
        <f t="shared" si="23"/>
        <v>5.454545454545455E-3</v>
      </c>
      <c r="U36" s="91">
        <f t="shared" si="24"/>
        <v>-1.3999999999999846E-3</v>
      </c>
      <c r="V36" s="92">
        <f t="shared" si="25"/>
        <v>-1.3999999999999846E-3</v>
      </c>
    </row>
    <row r="37" spans="1:22">
      <c r="A37" s="169">
        <v>29</v>
      </c>
      <c r="B37" s="172" t="s">
        <v>70</v>
      </c>
      <c r="C37" s="171" t="s">
        <v>71</v>
      </c>
      <c r="D37" s="79">
        <v>76882080040.460007</v>
      </c>
      <c r="E37" s="62">
        <f t="shared" si="28"/>
        <v>1.7239886520058981E-2</v>
      </c>
      <c r="F37" s="69">
        <v>100</v>
      </c>
      <c r="G37" s="69">
        <v>100</v>
      </c>
      <c r="H37" s="63">
        <v>5324</v>
      </c>
      <c r="I37" s="85">
        <v>0.1817</v>
      </c>
      <c r="J37" s="85">
        <v>0.1817</v>
      </c>
      <c r="K37" s="79">
        <v>77630986620.589996</v>
      </c>
      <c r="L37" s="62">
        <f t="shared" si="29"/>
        <v>1.7407819859645682E-2</v>
      </c>
      <c r="M37" s="69">
        <v>100</v>
      </c>
      <c r="N37" s="69">
        <v>100</v>
      </c>
      <c r="O37" s="63">
        <v>5361</v>
      </c>
      <c r="P37" s="85">
        <v>0.17879999999999999</v>
      </c>
      <c r="Q37" s="85">
        <v>0.17879999999999999</v>
      </c>
      <c r="R37" s="90">
        <f t="shared" si="21"/>
        <v>9.7409770877149738E-3</v>
      </c>
      <c r="S37" s="90">
        <f t="shared" si="22"/>
        <v>0</v>
      </c>
      <c r="T37" s="90">
        <f t="shared" si="23"/>
        <v>6.9496619083395947E-3</v>
      </c>
      <c r="U37" s="91">
        <f t="shared" si="24"/>
        <v>-2.9000000000000137E-3</v>
      </c>
      <c r="V37" s="92">
        <f t="shared" si="25"/>
        <v>-2.9000000000000137E-3</v>
      </c>
    </row>
    <row r="38" spans="1:22">
      <c r="A38" s="169">
        <v>30</v>
      </c>
      <c r="B38" s="172" t="s">
        <v>72</v>
      </c>
      <c r="C38" s="171" t="s">
        <v>73</v>
      </c>
      <c r="D38" s="79">
        <v>35203169652.110001</v>
      </c>
      <c r="E38" s="62">
        <f t="shared" si="28"/>
        <v>7.8938895725684556E-3</v>
      </c>
      <c r="F38" s="69">
        <v>100</v>
      </c>
      <c r="G38" s="69">
        <v>100</v>
      </c>
      <c r="H38" s="63">
        <v>5435</v>
      </c>
      <c r="I38" s="85">
        <v>0.1741</v>
      </c>
      <c r="J38" s="85">
        <v>0.1741</v>
      </c>
      <c r="K38" s="79">
        <v>31809853451.119999</v>
      </c>
      <c r="L38" s="62">
        <f t="shared" si="29"/>
        <v>7.1329790170663303E-3</v>
      </c>
      <c r="M38" s="69">
        <v>100</v>
      </c>
      <c r="N38" s="69">
        <v>100</v>
      </c>
      <c r="O38" s="63">
        <v>5442</v>
      </c>
      <c r="P38" s="85">
        <v>0.17949999999999999</v>
      </c>
      <c r="Q38" s="85">
        <v>0.17949999999999999</v>
      </c>
      <c r="R38" s="90">
        <f t="shared" si="21"/>
        <v>-9.6392348601672395E-2</v>
      </c>
      <c r="S38" s="90">
        <f t="shared" si="22"/>
        <v>0</v>
      </c>
      <c r="T38" s="90">
        <f t="shared" si="23"/>
        <v>1.2879484820607176E-3</v>
      </c>
      <c r="U38" s="91">
        <f t="shared" si="24"/>
        <v>5.3999999999999881E-3</v>
      </c>
      <c r="V38" s="92">
        <f t="shared" si="25"/>
        <v>5.3999999999999881E-3</v>
      </c>
    </row>
    <row r="39" spans="1:22">
      <c r="A39" s="169">
        <v>31</v>
      </c>
      <c r="B39" s="172" t="s">
        <v>74</v>
      </c>
      <c r="C39" s="171" t="s">
        <v>75</v>
      </c>
      <c r="D39" s="79">
        <v>64861782309.190002</v>
      </c>
      <c r="E39" s="62">
        <f t="shared" si="28"/>
        <v>1.4544478582144697E-2</v>
      </c>
      <c r="F39" s="69">
        <v>1</v>
      </c>
      <c r="G39" s="69">
        <v>1</v>
      </c>
      <c r="H39" s="63">
        <v>12460</v>
      </c>
      <c r="I39" s="85">
        <v>0.1784</v>
      </c>
      <c r="J39" s="85">
        <v>0.1784</v>
      </c>
      <c r="K39" s="79">
        <v>65725918651.989998</v>
      </c>
      <c r="L39" s="62">
        <f t="shared" si="29"/>
        <v>1.4738250817233688E-2</v>
      </c>
      <c r="M39" s="69">
        <v>1</v>
      </c>
      <c r="N39" s="69">
        <v>1</v>
      </c>
      <c r="O39" s="63">
        <v>12768</v>
      </c>
      <c r="P39" s="85">
        <v>0.1797</v>
      </c>
      <c r="Q39" s="85">
        <v>0.1797</v>
      </c>
      <c r="R39" s="90">
        <f t="shared" si="21"/>
        <v>1.3322735084286443E-2</v>
      </c>
      <c r="S39" s="90">
        <f t="shared" si="22"/>
        <v>0</v>
      </c>
      <c r="T39" s="90">
        <f t="shared" si="23"/>
        <v>2.4719101123595506E-2</v>
      </c>
      <c r="U39" s="91">
        <f t="shared" si="24"/>
        <v>1.2999999999999956E-3</v>
      </c>
      <c r="V39" s="92">
        <f t="shared" si="25"/>
        <v>1.2999999999999956E-3</v>
      </c>
    </row>
    <row r="40" spans="1:22">
      <c r="A40" s="169">
        <v>32</v>
      </c>
      <c r="B40" s="172" t="s">
        <v>76</v>
      </c>
      <c r="C40" s="171" t="s">
        <v>77</v>
      </c>
      <c r="D40" s="79">
        <v>949546874.70000005</v>
      </c>
      <c r="E40" s="62">
        <v>0</v>
      </c>
      <c r="F40" s="69">
        <v>1000</v>
      </c>
      <c r="G40" s="69">
        <v>1000</v>
      </c>
      <c r="H40" s="63">
        <v>44</v>
      </c>
      <c r="I40" s="85">
        <v>0.19359999999999999</v>
      </c>
      <c r="J40" s="85">
        <v>0.19359999999999999</v>
      </c>
      <c r="K40" s="79">
        <v>979375335.75999999</v>
      </c>
      <c r="L40" s="62">
        <f t="shared" si="29"/>
        <v>2.1961320037337063E-4</v>
      </c>
      <c r="M40" s="69">
        <v>1000</v>
      </c>
      <c r="N40" s="69">
        <v>1000</v>
      </c>
      <c r="O40" s="63">
        <v>48</v>
      </c>
      <c r="P40" s="85">
        <v>0.1913</v>
      </c>
      <c r="Q40" s="85">
        <v>0.1913</v>
      </c>
      <c r="R40" s="90">
        <f t="shared" si="21"/>
        <v>3.1413363420762085E-2</v>
      </c>
      <c r="S40" s="90">
        <f t="shared" si="22"/>
        <v>0</v>
      </c>
      <c r="T40" s="90">
        <f t="shared" si="23"/>
        <v>9.0909090909090912E-2</v>
      </c>
      <c r="U40" s="91">
        <f t="shared" si="24"/>
        <v>-2.2999999999999965E-3</v>
      </c>
      <c r="V40" s="92">
        <f t="shared" si="25"/>
        <v>-2.2999999999999965E-3</v>
      </c>
    </row>
    <row r="41" spans="1:22">
      <c r="A41" s="169">
        <v>33</v>
      </c>
      <c r="B41" s="172" t="s">
        <v>78</v>
      </c>
      <c r="C41" s="171" t="s">
        <v>79</v>
      </c>
      <c r="D41" s="79">
        <v>79074286900.669998</v>
      </c>
      <c r="E41" s="62">
        <f t="shared" si="28"/>
        <v>1.77314626777101E-2</v>
      </c>
      <c r="F41" s="80">
        <v>100</v>
      </c>
      <c r="G41" s="80">
        <v>100</v>
      </c>
      <c r="H41" s="63">
        <v>4301</v>
      </c>
      <c r="I41" s="85">
        <v>0.17549999999999999</v>
      </c>
      <c r="J41" s="85">
        <v>0.17549999999999999</v>
      </c>
      <c r="K41" s="79">
        <v>79774286900.669998</v>
      </c>
      <c r="L41" s="62">
        <f t="shared" si="29"/>
        <v>1.7888429301892099E-2</v>
      </c>
      <c r="M41" s="80">
        <v>100</v>
      </c>
      <c r="N41" s="80">
        <v>100</v>
      </c>
      <c r="O41" s="63">
        <v>4301</v>
      </c>
      <c r="P41" s="85">
        <v>0.17019999999999999</v>
      </c>
      <c r="Q41" s="85">
        <v>0.17019999999999999</v>
      </c>
      <c r="R41" s="90">
        <f t="shared" si="21"/>
        <v>8.8524351902068039E-3</v>
      </c>
      <c r="S41" s="90">
        <f t="shared" si="22"/>
        <v>0</v>
      </c>
      <c r="T41" s="90">
        <f t="shared" si="23"/>
        <v>0</v>
      </c>
      <c r="U41" s="91">
        <f t="shared" si="24"/>
        <v>-5.2999999999999992E-3</v>
      </c>
      <c r="V41" s="92">
        <f t="shared" si="25"/>
        <v>-5.2999999999999992E-3</v>
      </c>
    </row>
    <row r="42" spans="1:22">
      <c r="A42" s="169">
        <v>34</v>
      </c>
      <c r="B42" s="172" t="s">
        <v>80</v>
      </c>
      <c r="C42" s="171" t="s">
        <v>79</v>
      </c>
      <c r="D42" s="79">
        <v>11400526553.969999</v>
      </c>
      <c r="E42" s="62">
        <f t="shared" si="28"/>
        <v>2.5564316672484488E-3</v>
      </c>
      <c r="F42" s="80">
        <v>1000000</v>
      </c>
      <c r="G42" s="80">
        <v>1000000</v>
      </c>
      <c r="H42" s="63">
        <v>45</v>
      </c>
      <c r="I42" s="85">
        <v>0.17810000000000001</v>
      </c>
      <c r="J42" s="85">
        <v>0.17810000000000001</v>
      </c>
      <c r="K42" s="79">
        <v>11440561214.18</v>
      </c>
      <c r="L42" s="62">
        <f t="shared" si="29"/>
        <v>2.5654089607676451E-3</v>
      </c>
      <c r="M42" s="80">
        <v>1000000</v>
      </c>
      <c r="N42" s="80">
        <v>1000000</v>
      </c>
      <c r="O42" s="63">
        <v>45</v>
      </c>
      <c r="P42" s="85">
        <v>0.1772</v>
      </c>
      <c r="Q42" s="85">
        <v>0.1772</v>
      </c>
      <c r="R42" s="90">
        <f t="shared" si="21"/>
        <v>3.5116500997105036E-3</v>
      </c>
      <c r="S42" s="90">
        <f t="shared" si="22"/>
        <v>0</v>
      </c>
      <c r="T42" s="90">
        <f t="shared" si="23"/>
        <v>0</v>
      </c>
      <c r="U42" s="91">
        <f t="shared" si="24"/>
        <v>-9.000000000000119E-4</v>
      </c>
      <c r="V42" s="92">
        <f t="shared" si="25"/>
        <v>-9.000000000000119E-4</v>
      </c>
    </row>
    <row r="43" spans="1:22">
      <c r="A43" s="169">
        <v>35</v>
      </c>
      <c r="B43" s="172" t="s">
        <v>81</v>
      </c>
      <c r="C43" s="171" t="s">
        <v>82</v>
      </c>
      <c r="D43" s="79">
        <v>7697953310.9799995</v>
      </c>
      <c r="E43" s="62">
        <f t="shared" si="28"/>
        <v>1.7261739204788226E-3</v>
      </c>
      <c r="F43" s="69">
        <v>1</v>
      </c>
      <c r="G43" s="69">
        <v>1</v>
      </c>
      <c r="H43" s="63">
        <v>1066</v>
      </c>
      <c r="I43" s="85">
        <v>0.1928</v>
      </c>
      <c r="J43" s="85">
        <v>0.1928</v>
      </c>
      <c r="K43" s="79">
        <v>7966381071.8800001</v>
      </c>
      <c r="L43" s="62">
        <f t="shared" si="29"/>
        <v>1.7863656340005457E-3</v>
      </c>
      <c r="M43" s="69">
        <v>1</v>
      </c>
      <c r="N43" s="69">
        <v>1</v>
      </c>
      <c r="O43" s="63">
        <v>1059</v>
      </c>
      <c r="P43" s="85">
        <v>0.1928</v>
      </c>
      <c r="Q43" s="85">
        <v>0.1928</v>
      </c>
      <c r="R43" s="90">
        <f t="shared" si="21"/>
        <v>3.4870016750702788E-2</v>
      </c>
      <c r="S43" s="90">
        <f t="shared" si="22"/>
        <v>0</v>
      </c>
      <c r="T43" s="90">
        <f t="shared" si="23"/>
        <v>-6.5666041275797378E-3</v>
      </c>
      <c r="U43" s="91">
        <f t="shared" si="24"/>
        <v>0</v>
      </c>
      <c r="V43" s="92">
        <f t="shared" si="25"/>
        <v>0</v>
      </c>
    </row>
    <row r="44" spans="1:22">
      <c r="A44" s="169">
        <v>36</v>
      </c>
      <c r="B44" s="172" t="s">
        <v>83</v>
      </c>
      <c r="C44" s="171" t="s">
        <v>84</v>
      </c>
      <c r="D44" s="79">
        <v>658415837134.68994</v>
      </c>
      <c r="E44" s="62">
        <f t="shared" si="28"/>
        <v>0.14764187323285347</v>
      </c>
      <c r="F44" s="69">
        <v>100</v>
      </c>
      <c r="G44" s="69">
        <v>100</v>
      </c>
      <c r="H44" s="63">
        <v>33221</v>
      </c>
      <c r="I44" s="85">
        <v>0.1767</v>
      </c>
      <c r="J44" s="85">
        <v>0.1767</v>
      </c>
      <c r="K44" s="79">
        <v>671402034153.83997</v>
      </c>
      <c r="L44" s="62">
        <f t="shared" si="29"/>
        <v>0.15055387252865107</v>
      </c>
      <c r="M44" s="69">
        <v>100</v>
      </c>
      <c r="N44" s="69">
        <v>100</v>
      </c>
      <c r="O44" s="63">
        <v>33196</v>
      </c>
      <c r="P44" s="85">
        <v>0.17369999999999999</v>
      </c>
      <c r="Q44" s="85">
        <v>0.17369999999999999</v>
      </c>
      <c r="R44" s="90">
        <f t="shared" si="21"/>
        <v>1.972339710974097E-2</v>
      </c>
      <c r="S44" s="90">
        <f t="shared" si="22"/>
        <v>0</v>
      </c>
      <c r="T44" s="90">
        <f t="shared" si="23"/>
        <v>-7.525360464766262E-4</v>
      </c>
      <c r="U44" s="91">
        <f t="shared" si="24"/>
        <v>-3.0000000000000027E-3</v>
      </c>
      <c r="V44" s="92">
        <f t="shared" si="25"/>
        <v>-3.0000000000000027E-3</v>
      </c>
    </row>
    <row r="45" spans="1:22">
      <c r="A45" s="169">
        <v>37</v>
      </c>
      <c r="B45" s="172" t="s">
        <v>85</v>
      </c>
      <c r="C45" s="171" t="s">
        <v>86</v>
      </c>
      <c r="D45" s="79">
        <v>3409508150.7399998</v>
      </c>
      <c r="E45" s="62">
        <f t="shared" si="28"/>
        <v>7.6454140648952779E-4</v>
      </c>
      <c r="F45" s="69">
        <v>1</v>
      </c>
      <c r="G45" s="69">
        <v>1</v>
      </c>
      <c r="H45" s="81">
        <v>1713</v>
      </c>
      <c r="I45" s="88">
        <v>0.18590000000000001</v>
      </c>
      <c r="J45" s="88">
        <v>0.18590000000000001</v>
      </c>
      <c r="K45" s="79">
        <v>3352132927.5599999</v>
      </c>
      <c r="L45" s="62">
        <f t="shared" si="29"/>
        <v>7.5167569921202296E-4</v>
      </c>
      <c r="M45" s="69">
        <v>1</v>
      </c>
      <c r="N45" s="69">
        <v>1</v>
      </c>
      <c r="O45" s="81">
        <v>1728</v>
      </c>
      <c r="P45" s="88">
        <v>0.19170000000000001</v>
      </c>
      <c r="Q45" s="88">
        <v>0.19170000000000001</v>
      </c>
      <c r="R45" s="90">
        <f t="shared" si="21"/>
        <v>-1.6828005871623187E-2</v>
      </c>
      <c r="S45" s="90">
        <f t="shared" si="22"/>
        <v>0</v>
      </c>
      <c r="T45" s="90">
        <f t="shared" si="23"/>
        <v>8.7565674255691769E-3</v>
      </c>
      <c r="U45" s="91">
        <f t="shared" si="24"/>
        <v>5.7999999999999996E-3</v>
      </c>
      <c r="V45" s="92">
        <f t="shared" si="25"/>
        <v>5.7999999999999996E-3</v>
      </c>
    </row>
    <row r="46" spans="1:22">
      <c r="A46" s="169">
        <v>38</v>
      </c>
      <c r="B46" s="172" t="s">
        <v>87</v>
      </c>
      <c r="C46" s="171" t="s">
        <v>88</v>
      </c>
      <c r="D46" s="79">
        <v>2865112600.7399998</v>
      </c>
      <c r="E46" s="62">
        <f t="shared" si="28"/>
        <v>6.4246721834209514E-4</v>
      </c>
      <c r="F46" s="69">
        <v>1</v>
      </c>
      <c r="G46" s="69">
        <v>1</v>
      </c>
      <c r="H46" s="81">
        <v>503</v>
      </c>
      <c r="I46" s="88">
        <v>0.1807</v>
      </c>
      <c r="J46" s="88">
        <v>0.1807</v>
      </c>
      <c r="K46" s="79">
        <v>2889180839.8099999</v>
      </c>
      <c r="L46" s="62">
        <f t="shared" si="29"/>
        <v>6.4786423296612832E-4</v>
      </c>
      <c r="M46" s="69">
        <v>1</v>
      </c>
      <c r="N46" s="69">
        <v>1</v>
      </c>
      <c r="O46" s="81">
        <v>503</v>
      </c>
      <c r="P46" s="88">
        <v>0.18490000000000001</v>
      </c>
      <c r="Q46" s="88">
        <v>0.18490000000000001</v>
      </c>
      <c r="R46" s="90">
        <f t="shared" si="21"/>
        <v>8.4004513692703866E-3</v>
      </c>
      <c r="S46" s="90">
        <f t="shared" si="22"/>
        <v>0</v>
      </c>
      <c r="T46" s="90">
        <f t="shared" si="23"/>
        <v>0</v>
      </c>
      <c r="U46" s="91">
        <f t="shared" si="24"/>
        <v>4.2000000000000093E-3</v>
      </c>
      <c r="V46" s="92">
        <f t="shared" si="25"/>
        <v>4.2000000000000093E-3</v>
      </c>
    </row>
    <row r="47" spans="1:22">
      <c r="A47" s="169">
        <v>39</v>
      </c>
      <c r="B47" s="172" t="s">
        <v>89</v>
      </c>
      <c r="C47" s="171" t="s">
        <v>90</v>
      </c>
      <c r="D47" s="79">
        <v>5149284</v>
      </c>
      <c r="E47" s="62">
        <f t="shared" si="28"/>
        <v>1.1546653234776898E-6</v>
      </c>
      <c r="F47" s="69">
        <v>1</v>
      </c>
      <c r="G47" s="69">
        <v>1</v>
      </c>
      <c r="H47" s="81">
        <v>10</v>
      </c>
      <c r="I47" s="88">
        <v>0</v>
      </c>
      <c r="J47" s="88">
        <v>0</v>
      </c>
      <c r="K47" s="79">
        <v>5599228</v>
      </c>
      <c r="L47" s="62">
        <f t="shared" si="29"/>
        <v>1.2555598816933263E-6</v>
      </c>
      <c r="M47" s="69">
        <v>1</v>
      </c>
      <c r="N47" s="69">
        <v>1</v>
      </c>
      <c r="O47" s="81">
        <v>16</v>
      </c>
      <c r="P47" s="88">
        <v>0</v>
      </c>
      <c r="Q47" s="88">
        <v>0</v>
      </c>
      <c r="R47" s="90">
        <f t="shared" si="21"/>
        <v>8.7379915343570091E-2</v>
      </c>
      <c r="S47" s="90">
        <f t="shared" si="22"/>
        <v>0</v>
      </c>
      <c r="T47" s="90">
        <f t="shared" si="23"/>
        <v>0.6</v>
      </c>
      <c r="U47" s="91">
        <f t="shared" si="24"/>
        <v>0</v>
      </c>
      <c r="V47" s="92">
        <f t="shared" si="25"/>
        <v>0</v>
      </c>
    </row>
    <row r="48" spans="1:22">
      <c r="A48" s="169">
        <v>40</v>
      </c>
      <c r="B48" s="172" t="s">
        <v>91</v>
      </c>
      <c r="C48" s="171" t="s">
        <v>92</v>
      </c>
      <c r="D48" s="79">
        <v>1668217537.5999999</v>
      </c>
      <c r="E48" s="62">
        <f t="shared" si="28"/>
        <v>3.7407782182611389E-4</v>
      </c>
      <c r="F48" s="69">
        <v>10</v>
      </c>
      <c r="G48" s="69">
        <v>10</v>
      </c>
      <c r="H48" s="63">
        <v>508</v>
      </c>
      <c r="I48" s="85">
        <v>0.1734</v>
      </c>
      <c r="J48" s="85">
        <v>0.1734</v>
      </c>
      <c r="K48" s="79">
        <v>1685313520.4200001</v>
      </c>
      <c r="L48" s="62">
        <f t="shared" si="29"/>
        <v>3.7791139141229801E-4</v>
      </c>
      <c r="M48" s="69">
        <v>10</v>
      </c>
      <c r="N48" s="69">
        <v>10</v>
      </c>
      <c r="O48" s="63">
        <v>516</v>
      </c>
      <c r="P48" s="85">
        <v>0.17150000000000001</v>
      </c>
      <c r="Q48" s="85">
        <v>0.17150000000000001</v>
      </c>
      <c r="R48" s="90">
        <f t="shared" si="21"/>
        <v>1.0248053646885587E-2</v>
      </c>
      <c r="S48" s="90">
        <f t="shared" si="22"/>
        <v>0</v>
      </c>
      <c r="T48" s="90">
        <f t="shared" si="23"/>
        <v>1.5748031496062992E-2</v>
      </c>
      <c r="U48" s="91">
        <f t="shared" si="24"/>
        <v>-1.899999999999985E-3</v>
      </c>
      <c r="V48" s="92">
        <f t="shared" si="25"/>
        <v>-1.899999999999985E-3</v>
      </c>
    </row>
    <row r="49" spans="1:22">
      <c r="A49" s="169">
        <v>41</v>
      </c>
      <c r="B49" s="172" t="s">
        <v>93</v>
      </c>
      <c r="C49" s="171" t="s">
        <v>94</v>
      </c>
      <c r="D49" s="79">
        <v>9623794626.2700005</v>
      </c>
      <c r="E49" s="62">
        <f t="shared" si="28"/>
        <v>2.1580207918663842E-3</v>
      </c>
      <c r="F49" s="69">
        <v>100</v>
      </c>
      <c r="G49" s="69">
        <v>100</v>
      </c>
      <c r="H49" s="63">
        <v>977</v>
      </c>
      <c r="I49" s="85">
        <v>0.18210000000000001</v>
      </c>
      <c r="J49" s="85">
        <v>0.18210000000000001</v>
      </c>
      <c r="K49" s="79">
        <v>9620610483.5900002</v>
      </c>
      <c r="L49" s="62">
        <f t="shared" si="29"/>
        <v>2.1573067859701079E-3</v>
      </c>
      <c r="M49" s="69">
        <v>100</v>
      </c>
      <c r="N49" s="69">
        <v>100</v>
      </c>
      <c r="O49" s="63">
        <v>985</v>
      </c>
      <c r="P49" s="85">
        <v>0.18210000000000001</v>
      </c>
      <c r="Q49" s="85">
        <v>0.18210000000000001</v>
      </c>
      <c r="R49" s="90">
        <f t="shared" si="21"/>
        <v>-3.3086145368362024E-4</v>
      </c>
      <c r="S49" s="90">
        <f t="shared" si="22"/>
        <v>0</v>
      </c>
      <c r="T49" s="90">
        <f t="shared" si="23"/>
        <v>8.1883316274309111E-3</v>
      </c>
      <c r="U49" s="91">
        <f t="shared" si="24"/>
        <v>0</v>
      </c>
      <c r="V49" s="92">
        <f t="shared" si="25"/>
        <v>0</v>
      </c>
    </row>
    <row r="50" spans="1:22">
      <c r="A50" s="169">
        <v>42</v>
      </c>
      <c r="B50" s="172" t="s">
        <v>95</v>
      </c>
      <c r="C50" s="172" t="s">
        <v>96</v>
      </c>
      <c r="D50" s="82">
        <v>121807085.947367</v>
      </c>
      <c r="E50" s="62">
        <f>(D50/$D$195)</f>
        <v>1.5241640900093122E-3</v>
      </c>
      <c r="F50" s="61">
        <v>1</v>
      </c>
      <c r="G50" s="61">
        <v>1</v>
      </c>
      <c r="H50" s="63">
        <v>160</v>
      </c>
      <c r="I50" s="85">
        <v>0.1691</v>
      </c>
      <c r="J50" s="85">
        <v>0.1691</v>
      </c>
      <c r="K50" s="82">
        <v>127268042.388859</v>
      </c>
      <c r="L50" s="89">
        <f>(K50/$K$195)</f>
        <v>1.591657747234384E-3</v>
      </c>
      <c r="M50" s="61">
        <v>1</v>
      </c>
      <c r="N50" s="61">
        <v>1</v>
      </c>
      <c r="O50" s="63">
        <v>160</v>
      </c>
      <c r="P50" s="85">
        <v>0.16980000000000001</v>
      </c>
      <c r="Q50" s="85">
        <v>0.16980000000000001</v>
      </c>
      <c r="R50" s="91">
        <f t="shared" si="21"/>
        <v>4.4832830528855214E-2</v>
      </c>
      <c r="S50" s="91">
        <f t="shared" si="22"/>
        <v>0</v>
      </c>
      <c r="T50" s="91">
        <f t="shared" si="23"/>
        <v>0</v>
      </c>
      <c r="U50" s="91">
        <f t="shared" si="24"/>
        <v>7.0000000000000617E-4</v>
      </c>
      <c r="V50" s="92">
        <f t="shared" si="25"/>
        <v>7.0000000000000617E-4</v>
      </c>
    </row>
    <row r="51" spans="1:22">
      <c r="A51" s="169">
        <v>43</v>
      </c>
      <c r="B51" s="172" t="s">
        <v>97</v>
      </c>
      <c r="C51" s="171" t="s">
        <v>38</v>
      </c>
      <c r="D51" s="79">
        <v>710309265.91999996</v>
      </c>
      <c r="E51" s="62">
        <f t="shared" ref="E51" si="30">(D51/$K$71)</f>
        <v>1.5927835370950936E-4</v>
      </c>
      <c r="F51" s="69">
        <v>100</v>
      </c>
      <c r="G51" s="69">
        <v>100</v>
      </c>
      <c r="H51" s="63">
        <v>4396</v>
      </c>
      <c r="I51" s="85">
        <v>0.16470000000000001</v>
      </c>
      <c r="J51" s="85">
        <v>0.18340000000000001</v>
      </c>
      <c r="K51" s="79">
        <v>740403282.58000004</v>
      </c>
      <c r="L51" s="62">
        <f t="shared" ref="L51" si="31">(K51/$K$71)</f>
        <v>1.6602657685693372E-4</v>
      </c>
      <c r="M51" s="69">
        <v>100</v>
      </c>
      <c r="N51" s="69">
        <v>100</v>
      </c>
      <c r="O51" s="63">
        <v>4528</v>
      </c>
      <c r="P51" s="85">
        <v>0.1542</v>
      </c>
      <c r="Q51" s="85">
        <v>0.1542</v>
      </c>
      <c r="R51" s="90">
        <f t="shared" ref="R51" si="32">((K51-D51)/D51)</f>
        <v>4.2367484283091818E-2</v>
      </c>
      <c r="S51" s="90">
        <f t="shared" ref="S51" si="33">((N51-G51)/G51)</f>
        <v>0</v>
      </c>
      <c r="T51" s="90">
        <f t="shared" ref="T51" si="34">((O51-H51)/H51)</f>
        <v>3.0027297543221108E-2</v>
      </c>
      <c r="U51" s="91">
        <f t="shared" ref="U51" si="35">P51-I51</f>
        <v>-1.0500000000000009E-2</v>
      </c>
      <c r="V51" s="92">
        <f t="shared" ref="V51" si="36">Q51-J51</f>
        <v>-2.9200000000000004E-2</v>
      </c>
    </row>
    <row r="52" spans="1:22">
      <c r="A52" s="169">
        <v>44</v>
      </c>
      <c r="B52" s="172" t="s">
        <v>98</v>
      </c>
      <c r="C52" s="171" t="s">
        <v>38</v>
      </c>
      <c r="D52" s="79">
        <v>207540749949.89001</v>
      </c>
      <c r="E52" s="62">
        <f t="shared" ref="E52:E70" si="37">(D52/$K$71)</f>
        <v>4.6538529856906721E-2</v>
      </c>
      <c r="F52" s="69">
        <v>100</v>
      </c>
      <c r="G52" s="69">
        <v>100</v>
      </c>
      <c r="H52" s="63">
        <v>21641</v>
      </c>
      <c r="I52" s="85">
        <v>0.183</v>
      </c>
      <c r="J52" s="85">
        <v>0.183</v>
      </c>
      <c r="K52" s="79">
        <v>218459454588.10999</v>
      </c>
      <c r="L52" s="62">
        <f t="shared" ref="L52:L70" si="38">(K52/$K$71)</f>
        <v>4.8986918724766335E-2</v>
      </c>
      <c r="M52" s="69">
        <v>100</v>
      </c>
      <c r="N52" s="69">
        <v>100</v>
      </c>
      <c r="O52" s="63">
        <v>22139</v>
      </c>
      <c r="P52" s="85">
        <v>0.17760000000000001</v>
      </c>
      <c r="Q52" s="85">
        <v>0.17760000000000001</v>
      </c>
      <c r="R52" s="90">
        <f t="shared" si="21"/>
        <v>5.260993149950674E-2</v>
      </c>
      <c r="S52" s="90">
        <f t="shared" si="22"/>
        <v>0</v>
      </c>
      <c r="T52" s="90">
        <f t="shared" si="23"/>
        <v>2.3011875606487684E-2</v>
      </c>
      <c r="U52" s="91">
        <f t="shared" si="24"/>
        <v>-5.3999999999999881E-3</v>
      </c>
      <c r="V52" s="92">
        <f t="shared" si="25"/>
        <v>-5.3999999999999881E-3</v>
      </c>
    </row>
    <row r="53" spans="1:22">
      <c r="A53" s="169">
        <v>45</v>
      </c>
      <c r="B53" s="172" t="s">
        <v>99</v>
      </c>
      <c r="C53" s="171" t="s">
        <v>42</v>
      </c>
      <c r="D53" s="79">
        <v>40338732249.059998</v>
      </c>
      <c r="E53" s="62">
        <f t="shared" si="37"/>
        <v>9.0454780355950035E-3</v>
      </c>
      <c r="F53" s="69">
        <v>1</v>
      </c>
      <c r="G53" s="69">
        <v>1</v>
      </c>
      <c r="H53" s="63">
        <v>2699</v>
      </c>
      <c r="I53" s="85">
        <v>0.1711</v>
      </c>
      <c r="J53" s="85">
        <v>0.20480000000000001</v>
      </c>
      <c r="K53" s="79">
        <v>39910519938.019997</v>
      </c>
      <c r="L53" s="62">
        <f t="shared" si="38"/>
        <v>8.9494565485991155E-3</v>
      </c>
      <c r="M53" s="69">
        <v>1</v>
      </c>
      <c r="N53" s="69">
        <v>1</v>
      </c>
      <c r="O53" s="63">
        <v>2723</v>
      </c>
      <c r="P53" s="85">
        <v>0.18890000000000001</v>
      </c>
      <c r="Q53" s="85">
        <v>0.18890000000000001</v>
      </c>
      <c r="R53" s="90">
        <f t="shared" si="21"/>
        <v>-1.0615413206248677E-2</v>
      </c>
      <c r="S53" s="90">
        <f t="shared" si="22"/>
        <v>0</v>
      </c>
      <c r="T53" s="90">
        <f t="shared" si="23"/>
        <v>8.8921822897369395E-3</v>
      </c>
      <c r="U53" s="91">
        <f t="shared" si="24"/>
        <v>1.780000000000001E-2</v>
      </c>
      <c r="V53" s="92">
        <f t="shared" si="25"/>
        <v>-1.5899999999999997E-2</v>
      </c>
    </row>
    <row r="54" spans="1:22">
      <c r="A54" s="169">
        <v>46</v>
      </c>
      <c r="B54" s="172" t="s">
        <v>100</v>
      </c>
      <c r="C54" s="171" t="s">
        <v>101</v>
      </c>
      <c r="D54" s="79">
        <v>4759899981.2200003</v>
      </c>
      <c r="E54" s="62">
        <f t="shared" si="37"/>
        <v>1.0673506164229514E-3</v>
      </c>
      <c r="F54" s="69">
        <v>100</v>
      </c>
      <c r="G54" s="69">
        <v>100</v>
      </c>
      <c r="H54" s="63">
        <v>265</v>
      </c>
      <c r="I54" s="85">
        <v>0.17549999999999999</v>
      </c>
      <c r="J54" s="85">
        <v>0.17549999999999999</v>
      </c>
      <c r="K54" s="79">
        <v>4837220655.7700005</v>
      </c>
      <c r="L54" s="62">
        <f t="shared" si="38"/>
        <v>1.0846888525137923E-3</v>
      </c>
      <c r="M54" s="69">
        <v>100</v>
      </c>
      <c r="N54" s="69">
        <v>100</v>
      </c>
      <c r="O54" s="63">
        <v>332</v>
      </c>
      <c r="P54" s="85">
        <v>0.17510000000000001</v>
      </c>
      <c r="Q54" s="85">
        <v>0.17510000000000001</v>
      </c>
      <c r="R54" s="90">
        <f t="shared" si="21"/>
        <v>1.6244180519562574E-2</v>
      </c>
      <c r="S54" s="90">
        <f t="shared" si="22"/>
        <v>0</v>
      </c>
      <c r="T54" s="90">
        <f t="shared" si="23"/>
        <v>0.25283018867924528</v>
      </c>
      <c r="U54" s="91">
        <f t="shared" si="24"/>
        <v>-3.999999999999837E-4</v>
      </c>
      <c r="V54" s="92">
        <f t="shared" si="25"/>
        <v>-3.999999999999837E-4</v>
      </c>
    </row>
    <row r="55" spans="1:22">
      <c r="A55" s="169">
        <v>47</v>
      </c>
      <c r="B55" s="172" t="s">
        <v>102</v>
      </c>
      <c r="C55" s="171" t="s">
        <v>44</v>
      </c>
      <c r="D55" s="83">
        <v>71194306823.529999</v>
      </c>
      <c r="E55" s="62">
        <f t="shared" si="37"/>
        <v>1.5964471432952845E-2</v>
      </c>
      <c r="F55" s="69">
        <v>10</v>
      </c>
      <c r="G55" s="69">
        <v>10</v>
      </c>
      <c r="H55" s="63">
        <v>8024</v>
      </c>
      <c r="I55" s="85">
        <v>0.19139999999999999</v>
      </c>
      <c r="J55" s="85">
        <v>0.19139999999999999</v>
      </c>
      <c r="K55" s="83">
        <v>75382673639.429993</v>
      </c>
      <c r="L55" s="62">
        <f t="shared" si="38"/>
        <v>1.6903662575706749E-2</v>
      </c>
      <c r="M55" s="69">
        <v>10</v>
      </c>
      <c r="N55" s="69">
        <v>10</v>
      </c>
      <c r="O55" s="63">
        <v>8104</v>
      </c>
      <c r="P55" s="85">
        <v>0.19139999999999999</v>
      </c>
      <c r="Q55" s="85">
        <v>0.19139999999999999</v>
      </c>
      <c r="R55" s="90">
        <f t="shared" si="21"/>
        <v>5.8830080701280485E-2</v>
      </c>
      <c r="S55" s="90">
        <f t="shared" si="22"/>
        <v>0</v>
      </c>
      <c r="T55" s="90">
        <f t="shared" si="23"/>
        <v>9.9700897308075773E-3</v>
      </c>
      <c r="U55" s="91">
        <f t="shared" si="24"/>
        <v>0</v>
      </c>
      <c r="V55" s="92">
        <f t="shared" si="25"/>
        <v>0</v>
      </c>
    </row>
    <row r="56" spans="1:22">
      <c r="A56" s="169">
        <v>48</v>
      </c>
      <c r="B56" s="172" t="s">
        <v>103</v>
      </c>
      <c r="C56" s="171" t="s">
        <v>104</v>
      </c>
      <c r="D56" s="79">
        <v>31305391888</v>
      </c>
      <c r="E56" s="62">
        <f t="shared" si="37"/>
        <v>7.0198595476484429E-3</v>
      </c>
      <c r="F56" s="69">
        <v>100</v>
      </c>
      <c r="G56" s="69">
        <v>100</v>
      </c>
      <c r="H56" s="63">
        <v>5161</v>
      </c>
      <c r="I56" s="85">
        <v>0.1832</v>
      </c>
      <c r="J56" s="85">
        <v>0.1832</v>
      </c>
      <c r="K56" s="79">
        <v>31660249441</v>
      </c>
      <c r="L56" s="62">
        <f t="shared" si="38"/>
        <v>7.0994321078768647E-3</v>
      </c>
      <c r="M56" s="69">
        <v>100</v>
      </c>
      <c r="N56" s="69">
        <v>100</v>
      </c>
      <c r="O56" s="63">
        <v>5194</v>
      </c>
      <c r="P56" s="85">
        <v>0.18629999999999999</v>
      </c>
      <c r="Q56" s="85">
        <v>0.18629999999999999</v>
      </c>
      <c r="R56" s="90">
        <f t="shared" si="21"/>
        <v>1.1335349331181003E-2</v>
      </c>
      <c r="S56" s="90">
        <f t="shared" si="22"/>
        <v>0</v>
      </c>
      <c r="T56" s="90">
        <f t="shared" si="23"/>
        <v>6.3941096686688627E-3</v>
      </c>
      <c r="U56" s="91">
        <f t="shared" si="24"/>
        <v>3.0999999999999917E-3</v>
      </c>
      <c r="V56" s="92">
        <f t="shared" si="25"/>
        <v>3.0999999999999917E-3</v>
      </c>
    </row>
    <row r="57" spans="1:22">
      <c r="A57" s="169">
        <v>49</v>
      </c>
      <c r="B57" s="172" t="s">
        <v>105</v>
      </c>
      <c r="C57" s="171" t="s">
        <v>106</v>
      </c>
      <c r="D57" s="79">
        <v>162139677.86000001</v>
      </c>
      <c r="E57" s="62">
        <f t="shared" si="37"/>
        <v>3.635788268520154E-5</v>
      </c>
      <c r="F57" s="69">
        <v>1</v>
      </c>
      <c r="G57" s="69">
        <v>1</v>
      </c>
      <c r="H57" s="63">
        <v>93</v>
      </c>
      <c r="I57" s="85">
        <v>0.19980000000000001</v>
      </c>
      <c r="J57" s="85">
        <v>0.19980000000000001</v>
      </c>
      <c r="K57" s="79">
        <v>177627040.18000001</v>
      </c>
      <c r="L57" s="62">
        <f t="shared" si="38"/>
        <v>3.9830738372135681E-5</v>
      </c>
      <c r="M57" s="69">
        <v>1</v>
      </c>
      <c r="N57" s="69">
        <v>1</v>
      </c>
      <c r="O57" s="63">
        <v>94</v>
      </c>
      <c r="P57" s="85">
        <v>0.1822</v>
      </c>
      <c r="Q57" s="85">
        <v>0.1822</v>
      </c>
      <c r="R57" s="90">
        <f t="shared" si="21"/>
        <v>9.5518644938795319E-2</v>
      </c>
      <c r="S57" s="90">
        <f t="shared" si="22"/>
        <v>0</v>
      </c>
      <c r="T57" s="90">
        <f t="shared" si="23"/>
        <v>1.0752688172043012E-2</v>
      </c>
      <c r="U57" s="91">
        <f t="shared" si="24"/>
        <v>-1.7600000000000005E-2</v>
      </c>
      <c r="V57" s="92">
        <f t="shared" si="25"/>
        <v>-1.7600000000000005E-2</v>
      </c>
    </row>
    <row r="58" spans="1:22">
      <c r="A58" s="169">
        <v>50</v>
      </c>
      <c r="B58" s="172" t="s">
        <v>107</v>
      </c>
      <c r="C58" s="171" t="s">
        <v>46</v>
      </c>
      <c r="D58" s="83">
        <v>2080133574.75</v>
      </c>
      <c r="E58" s="62">
        <f t="shared" si="37"/>
        <v>4.6644506439448899E-4</v>
      </c>
      <c r="F58" s="69">
        <v>10</v>
      </c>
      <c r="G58" s="69">
        <v>10</v>
      </c>
      <c r="H58" s="63">
        <v>896</v>
      </c>
      <c r="I58" s="85">
        <v>0.16719999999999999</v>
      </c>
      <c r="J58" s="85">
        <v>0.16719999999999999</v>
      </c>
      <c r="K58" s="83">
        <v>1941711546.9200001</v>
      </c>
      <c r="L58" s="62">
        <f t="shared" si="38"/>
        <v>4.3540558093605776E-4</v>
      </c>
      <c r="M58" s="69">
        <v>10</v>
      </c>
      <c r="N58" s="69">
        <v>10</v>
      </c>
      <c r="O58" s="63">
        <v>899</v>
      </c>
      <c r="P58" s="85">
        <v>0.16600000000000001</v>
      </c>
      <c r="Q58" s="85">
        <v>0.16600000000000001</v>
      </c>
      <c r="R58" s="90">
        <f t="shared" si="21"/>
        <v>-6.6544778426854689E-2</v>
      </c>
      <c r="S58" s="90">
        <f t="shared" si="22"/>
        <v>0</v>
      </c>
      <c r="T58" s="90">
        <f t="shared" si="23"/>
        <v>3.3482142857142855E-3</v>
      </c>
      <c r="U58" s="91">
        <f t="shared" si="24"/>
        <v>-1.1999999999999789E-3</v>
      </c>
      <c r="V58" s="92">
        <f t="shared" si="25"/>
        <v>-1.1999999999999789E-3</v>
      </c>
    </row>
    <row r="59" spans="1:22">
      <c r="A59" s="169">
        <v>51</v>
      </c>
      <c r="B59" s="172" t="s">
        <v>108</v>
      </c>
      <c r="C59" s="171" t="s">
        <v>109</v>
      </c>
      <c r="D59" s="83">
        <v>1060148419</v>
      </c>
      <c r="E59" s="62">
        <f t="shared" si="37"/>
        <v>2.3772559780330555E-4</v>
      </c>
      <c r="F59" s="69">
        <v>1</v>
      </c>
      <c r="G59" s="69">
        <v>1</v>
      </c>
      <c r="H59" s="63">
        <v>155</v>
      </c>
      <c r="I59" s="85">
        <v>0.2268</v>
      </c>
      <c r="J59" s="85">
        <v>0.2268</v>
      </c>
      <c r="K59" s="83">
        <v>1063197493</v>
      </c>
      <c r="L59" s="62">
        <f t="shared" si="38"/>
        <v>2.3840931616424997E-4</v>
      </c>
      <c r="M59" s="69">
        <v>1</v>
      </c>
      <c r="N59" s="69">
        <v>1</v>
      </c>
      <c r="O59" s="63">
        <v>157</v>
      </c>
      <c r="P59" s="85">
        <v>0.22620000000000001</v>
      </c>
      <c r="Q59" s="85">
        <v>0.22620000000000001</v>
      </c>
      <c r="R59" s="90">
        <f t="shared" si="21"/>
        <v>2.8760822025995967E-3</v>
      </c>
      <c r="S59" s="90">
        <f t="shared" si="22"/>
        <v>0</v>
      </c>
      <c r="T59" s="90">
        <f t="shared" si="23"/>
        <v>1.2903225806451613E-2</v>
      </c>
      <c r="U59" s="91">
        <f t="shared" si="24"/>
        <v>-5.9999999999998943E-4</v>
      </c>
      <c r="V59" s="92">
        <f t="shared" si="25"/>
        <v>-5.9999999999998943E-4</v>
      </c>
    </row>
    <row r="60" spans="1:22">
      <c r="A60" s="169">
        <v>52</v>
      </c>
      <c r="B60" s="172" t="s">
        <v>110</v>
      </c>
      <c r="C60" s="171" t="s">
        <v>111</v>
      </c>
      <c r="D60" s="83">
        <v>1723944670.3199999</v>
      </c>
      <c r="E60" s="62">
        <f t="shared" si="37"/>
        <v>3.8657396453811482E-4</v>
      </c>
      <c r="F60" s="69">
        <v>1</v>
      </c>
      <c r="G60" s="69">
        <v>1</v>
      </c>
      <c r="H60" s="63">
        <v>1512</v>
      </c>
      <c r="I60" s="85">
        <v>0.17599999999999999</v>
      </c>
      <c r="J60" s="85">
        <v>0.17599999999999999</v>
      </c>
      <c r="K60" s="83">
        <v>1830191255.3599999</v>
      </c>
      <c r="L60" s="62">
        <f t="shared" si="38"/>
        <v>4.1039848994467838E-4</v>
      </c>
      <c r="M60" s="69">
        <v>1</v>
      </c>
      <c r="N60" s="69">
        <v>1</v>
      </c>
      <c r="O60" s="63">
        <v>1558</v>
      </c>
      <c r="P60" s="85">
        <v>0.14680000000000001</v>
      </c>
      <c r="Q60" s="85">
        <v>0.14680000000000001</v>
      </c>
      <c r="R60" s="90">
        <f t="shared" si="21"/>
        <v>6.1629927496616457E-2</v>
      </c>
      <c r="S60" s="90">
        <f t="shared" si="22"/>
        <v>0</v>
      </c>
      <c r="T60" s="90">
        <f t="shared" si="23"/>
        <v>3.0423280423280422E-2</v>
      </c>
      <c r="U60" s="91">
        <f t="shared" si="24"/>
        <v>-2.9199999999999976E-2</v>
      </c>
      <c r="V60" s="92">
        <f t="shared" si="25"/>
        <v>-2.9199999999999976E-2</v>
      </c>
    </row>
    <row r="61" spans="1:22">
      <c r="A61" s="169">
        <v>53</v>
      </c>
      <c r="B61" s="172" t="s">
        <v>112</v>
      </c>
      <c r="C61" s="171" t="s">
        <v>113</v>
      </c>
      <c r="D61" s="83">
        <v>14768053149.1045</v>
      </c>
      <c r="E61" s="62">
        <f t="shared" si="37"/>
        <v>3.3115592122218277E-3</v>
      </c>
      <c r="F61" s="69">
        <v>100</v>
      </c>
      <c r="G61" s="69">
        <v>100</v>
      </c>
      <c r="H61" s="63">
        <v>147</v>
      </c>
      <c r="I61" s="85">
        <v>0.1782</v>
      </c>
      <c r="J61" s="85">
        <v>0.1782</v>
      </c>
      <c r="K61" s="83">
        <v>15737085954.238001</v>
      </c>
      <c r="L61" s="62">
        <f t="shared" si="38"/>
        <v>3.5288532238552835E-3</v>
      </c>
      <c r="M61" s="69">
        <v>100</v>
      </c>
      <c r="N61" s="69">
        <v>100</v>
      </c>
      <c r="O61" s="63">
        <v>147</v>
      </c>
      <c r="P61" s="85">
        <v>0.1719</v>
      </c>
      <c r="Q61" s="85">
        <v>0.1719</v>
      </c>
      <c r="R61" s="90">
        <f t="shared" si="21"/>
        <v>6.5616828118759921E-2</v>
      </c>
      <c r="S61" s="90">
        <f t="shared" si="22"/>
        <v>0</v>
      </c>
      <c r="T61" s="90">
        <f t="shared" si="23"/>
        <v>0</v>
      </c>
      <c r="U61" s="91">
        <f t="shared" si="24"/>
        <v>-6.3E-3</v>
      </c>
      <c r="V61" s="92">
        <f t="shared" si="25"/>
        <v>-6.3E-3</v>
      </c>
    </row>
    <row r="62" spans="1:22">
      <c r="A62" s="169">
        <v>54</v>
      </c>
      <c r="B62" s="172" t="s">
        <v>114</v>
      </c>
      <c r="C62" s="171" t="s">
        <v>77</v>
      </c>
      <c r="D62" s="83">
        <v>69798224.159999996</v>
      </c>
      <c r="E62" s="62">
        <f t="shared" si="37"/>
        <v>1.5651416600419533E-5</v>
      </c>
      <c r="F62" s="69">
        <v>1000</v>
      </c>
      <c r="G62" s="69">
        <v>1000</v>
      </c>
      <c r="H62" s="63">
        <v>23</v>
      </c>
      <c r="I62" s="85">
        <v>8.6E-3</v>
      </c>
      <c r="J62" s="85">
        <v>0.22700000000000001</v>
      </c>
      <c r="K62" s="83">
        <v>70071915.159999996</v>
      </c>
      <c r="L62" s="62">
        <f t="shared" si="38"/>
        <v>1.5712788532332384E-5</v>
      </c>
      <c r="M62" s="69">
        <v>1000</v>
      </c>
      <c r="N62" s="69">
        <v>1000</v>
      </c>
      <c r="O62" s="63">
        <v>23</v>
      </c>
      <c r="P62" s="85">
        <v>8.6E-3</v>
      </c>
      <c r="Q62" s="85">
        <v>0.222</v>
      </c>
      <c r="R62" s="90">
        <f t="shared" si="21"/>
        <v>3.9211742604312125E-3</v>
      </c>
      <c r="S62" s="90">
        <f t="shared" si="22"/>
        <v>0</v>
      </c>
      <c r="T62" s="90">
        <f t="shared" si="23"/>
        <v>0</v>
      </c>
      <c r="U62" s="91">
        <f t="shared" si="24"/>
        <v>0</v>
      </c>
      <c r="V62" s="92">
        <f t="shared" si="25"/>
        <v>-5.0000000000000044E-3</v>
      </c>
    </row>
    <row r="63" spans="1:22">
      <c r="A63" s="169">
        <v>55</v>
      </c>
      <c r="B63" s="172" t="s">
        <v>115</v>
      </c>
      <c r="C63" s="171" t="s">
        <v>50</v>
      </c>
      <c r="D63" s="79">
        <v>2154214060273</v>
      </c>
      <c r="E63" s="62">
        <f t="shared" si="37"/>
        <v>0.4830567268663587</v>
      </c>
      <c r="F63" s="69">
        <v>100</v>
      </c>
      <c r="G63" s="69">
        <v>100</v>
      </c>
      <c r="H63" s="63">
        <v>245173</v>
      </c>
      <c r="I63" s="85">
        <v>0.17019999999999999</v>
      </c>
      <c r="J63" s="85">
        <v>0.17019999999999999</v>
      </c>
      <c r="K63" s="79">
        <v>2189291124247.71</v>
      </c>
      <c r="L63" s="62">
        <f t="shared" si="38"/>
        <v>0.49092233874968194</v>
      </c>
      <c r="M63" s="69">
        <v>100</v>
      </c>
      <c r="N63" s="69">
        <v>100</v>
      </c>
      <c r="O63" s="63">
        <v>248695</v>
      </c>
      <c r="P63" s="85">
        <v>0.16800000000000001</v>
      </c>
      <c r="Q63" s="85">
        <v>0.16800000000000001</v>
      </c>
      <c r="R63" s="90">
        <f t="shared" si="21"/>
        <v>1.6282998343379443E-2</v>
      </c>
      <c r="S63" s="90">
        <f t="shared" si="22"/>
        <v>0</v>
      </c>
      <c r="T63" s="90">
        <f t="shared" si="23"/>
        <v>1.4365366496310768E-2</v>
      </c>
      <c r="U63" s="91">
        <f t="shared" si="24"/>
        <v>-2.1999999999999797E-3</v>
      </c>
      <c r="V63" s="92">
        <f t="shared" si="25"/>
        <v>-2.1999999999999797E-3</v>
      </c>
    </row>
    <row r="64" spans="1:22">
      <c r="A64" s="169">
        <v>56</v>
      </c>
      <c r="B64" s="172" t="s">
        <v>116</v>
      </c>
      <c r="C64" s="172" t="s">
        <v>117</v>
      </c>
      <c r="D64" s="79">
        <v>6749559557.9499998</v>
      </c>
      <c r="E64" s="62">
        <f t="shared" si="37"/>
        <v>1.5135079693239428E-3</v>
      </c>
      <c r="F64" s="69">
        <v>100</v>
      </c>
      <c r="G64" s="69">
        <v>100</v>
      </c>
      <c r="H64" s="63">
        <v>893</v>
      </c>
      <c r="I64" s="85">
        <v>0.20180000000000001</v>
      </c>
      <c r="J64" s="85">
        <v>0.20180000000000001</v>
      </c>
      <c r="K64" s="79">
        <v>6783684882.9499998</v>
      </c>
      <c r="L64" s="62">
        <f t="shared" si="38"/>
        <v>1.5211601651301764E-3</v>
      </c>
      <c r="M64" s="69">
        <v>100</v>
      </c>
      <c r="N64" s="69">
        <v>100</v>
      </c>
      <c r="O64" s="63">
        <v>906</v>
      </c>
      <c r="P64" s="85">
        <v>0.19889999999999999</v>
      </c>
      <c r="Q64" s="85">
        <v>0.19889999999999999</v>
      </c>
      <c r="R64" s="90">
        <f t="shared" si="21"/>
        <v>5.0559336067796199E-3</v>
      </c>
      <c r="S64" s="90">
        <f t="shared" si="22"/>
        <v>0</v>
      </c>
      <c r="T64" s="90">
        <f t="shared" si="23"/>
        <v>1.4557670772676373E-2</v>
      </c>
      <c r="U64" s="91">
        <f t="shared" si="24"/>
        <v>-2.9000000000000137E-3</v>
      </c>
      <c r="V64" s="92">
        <f t="shared" si="25"/>
        <v>-2.9000000000000137E-3</v>
      </c>
    </row>
    <row r="65" spans="1:22">
      <c r="A65" s="169">
        <v>57</v>
      </c>
      <c r="B65" s="170" t="s">
        <v>118</v>
      </c>
      <c r="C65" s="171" t="s">
        <v>119</v>
      </c>
      <c r="D65" s="79">
        <v>7492187994.7200003</v>
      </c>
      <c r="E65" s="62">
        <f t="shared" si="37"/>
        <v>1.6800335103830033E-3</v>
      </c>
      <c r="F65" s="69">
        <v>1</v>
      </c>
      <c r="G65" s="69">
        <v>1</v>
      </c>
      <c r="H65" s="63">
        <v>586</v>
      </c>
      <c r="I65" s="85">
        <v>0.19727500000000001</v>
      </c>
      <c r="J65" s="85">
        <v>0.19727500000000001</v>
      </c>
      <c r="K65" s="79">
        <v>8539342253.3299999</v>
      </c>
      <c r="L65" s="62">
        <f t="shared" si="38"/>
        <v>1.9148453231998834E-3</v>
      </c>
      <c r="M65" s="69">
        <v>1</v>
      </c>
      <c r="N65" s="69">
        <v>1</v>
      </c>
      <c r="O65" s="63">
        <v>602</v>
      </c>
      <c r="P65" s="85">
        <v>0.197266</v>
      </c>
      <c r="Q65" s="85">
        <v>0.197266</v>
      </c>
      <c r="R65" s="90">
        <f t="shared" si="21"/>
        <v>0.13976614833316581</v>
      </c>
      <c r="S65" s="90">
        <f t="shared" si="22"/>
        <v>0</v>
      </c>
      <c r="T65" s="90">
        <f t="shared" si="23"/>
        <v>2.7303754266211604E-2</v>
      </c>
      <c r="U65" s="91">
        <f t="shared" si="24"/>
        <v>-9.0000000000090008E-6</v>
      </c>
      <c r="V65" s="92">
        <f t="shared" si="25"/>
        <v>-9.0000000000090008E-6</v>
      </c>
    </row>
    <row r="66" spans="1:22">
      <c r="A66" s="169">
        <v>58</v>
      </c>
      <c r="B66" s="172" t="s">
        <v>120</v>
      </c>
      <c r="C66" s="171" t="s">
        <v>53</v>
      </c>
      <c r="D66" s="79">
        <v>185989327137.04999</v>
      </c>
      <c r="E66" s="62">
        <f t="shared" si="37"/>
        <v>4.1705881163691824E-2</v>
      </c>
      <c r="F66" s="69">
        <v>1</v>
      </c>
      <c r="G66" s="69">
        <v>1</v>
      </c>
      <c r="H66" s="63">
        <v>73127</v>
      </c>
      <c r="I66" s="85">
        <v>0.16669999999999999</v>
      </c>
      <c r="J66" s="85">
        <v>0.16669999999999999</v>
      </c>
      <c r="K66" s="79">
        <v>191291651646.44</v>
      </c>
      <c r="L66" s="62">
        <f t="shared" si="38"/>
        <v>4.2894863990201003E-2</v>
      </c>
      <c r="M66" s="69">
        <v>1</v>
      </c>
      <c r="N66" s="69">
        <v>1</v>
      </c>
      <c r="O66" s="63">
        <v>73641</v>
      </c>
      <c r="P66" s="85">
        <v>0.16539999999999999</v>
      </c>
      <c r="Q66" s="85">
        <v>0.16539999999999999</v>
      </c>
      <c r="R66" s="90">
        <f t="shared" si="21"/>
        <v>2.8508756878736864E-2</v>
      </c>
      <c r="S66" s="90">
        <f t="shared" si="22"/>
        <v>0</v>
      </c>
      <c r="T66" s="90">
        <f t="shared" si="23"/>
        <v>7.0288675865275482E-3</v>
      </c>
      <c r="U66" s="91">
        <f t="shared" si="24"/>
        <v>-1.2999999999999956E-3</v>
      </c>
      <c r="V66" s="92">
        <f t="shared" si="25"/>
        <v>-1.2999999999999956E-3</v>
      </c>
    </row>
    <row r="67" spans="1:22">
      <c r="A67" s="169">
        <v>59</v>
      </c>
      <c r="B67" s="172" t="s">
        <v>121</v>
      </c>
      <c r="C67" s="171" t="s">
        <v>122</v>
      </c>
      <c r="D67" s="79">
        <v>2116967652.8599999</v>
      </c>
      <c r="E67" s="62">
        <f t="shared" si="37"/>
        <v>4.7470466567417865E-4</v>
      </c>
      <c r="F67" s="69">
        <v>1</v>
      </c>
      <c r="G67" s="69">
        <v>1</v>
      </c>
      <c r="H67" s="63">
        <v>154</v>
      </c>
      <c r="I67" s="85">
        <v>0.1767</v>
      </c>
      <c r="J67" s="85">
        <v>0.1767</v>
      </c>
      <c r="K67" s="79">
        <v>2191340802.3899999</v>
      </c>
      <c r="L67" s="62">
        <f t="shared" si="38"/>
        <v>4.9138195454776032E-4</v>
      </c>
      <c r="M67" s="69">
        <v>1</v>
      </c>
      <c r="N67" s="69">
        <v>1</v>
      </c>
      <c r="O67" s="63">
        <v>155</v>
      </c>
      <c r="P67" s="85">
        <v>0.1726</v>
      </c>
      <c r="Q67" s="85">
        <v>0.1726</v>
      </c>
      <c r="R67" s="90">
        <f t="shared" si="21"/>
        <v>3.5131925341193887E-2</v>
      </c>
      <c r="S67" s="90">
        <f t="shared" si="22"/>
        <v>0</v>
      </c>
      <c r="T67" s="90">
        <f t="shared" si="23"/>
        <v>6.4935064935064939E-3</v>
      </c>
      <c r="U67" s="91">
        <f t="shared" si="24"/>
        <v>-4.0999999999999925E-3</v>
      </c>
      <c r="V67" s="92">
        <f t="shared" si="25"/>
        <v>-4.0999999999999925E-3</v>
      </c>
    </row>
    <row r="68" spans="1:22">
      <c r="A68" s="169">
        <v>60</v>
      </c>
      <c r="B68" s="172" t="s">
        <v>123</v>
      </c>
      <c r="C68" s="171" t="s">
        <v>124</v>
      </c>
      <c r="D68" s="79">
        <v>7345583805.5299997</v>
      </c>
      <c r="E68" s="62">
        <f t="shared" si="37"/>
        <v>1.6471592751428697E-3</v>
      </c>
      <c r="F68" s="69">
        <v>1</v>
      </c>
      <c r="G68" s="69">
        <v>1</v>
      </c>
      <c r="H68" s="63">
        <v>532</v>
      </c>
      <c r="I68" s="85">
        <v>0.1757</v>
      </c>
      <c r="J68" s="85">
        <v>0.1757</v>
      </c>
      <c r="K68" s="79">
        <v>7463118587.8999996</v>
      </c>
      <c r="L68" s="62">
        <f t="shared" si="38"/>
        <v>1.6735150437322767E-3</v>
      </c>
      <c r="M68" s="69">
        <v>1</v>
      </c>
      <c r="N68" s="69">
        <v>1</v>
      </c>
      <c r="O68" s="63">
        <v>533</v>
      </c>
      <c r="P68" s="85">
        <v>0.17460000000000001</v>
      </c>
      <c r="Q68" s="85">
        <v>0.17460000000000001</v>
      </c>
      <c r="R68" s="90">
        <f t="shared" si="21"/>
        <v>1.6000740782715704E-2</v>
      </c>
      <c r="S68" s="90">
        <f t="shared" si="22"/>
        <v>0</v>
      </c>
      <c r="T68" s="90">
        <f t="shared" si="23"/>
        <v>1.8796992481203006E-3</v>
      </c>
      <c r="U68" s="91">
        <f t="shared" si="24"/>
        <v>-1.0999999999999899E-3</v>
      </c>
      <c r="V68" s="92">
        <f t="shared" si="25"/>
        <v>-1.0999999999999899E-3</v>
      </c>
    </row>
    <row r="69" spans="1:22">
      <c r="A69" s="169">
        <v>61</v>
      </c>
      <c r="B69" s="172" t="s">
        <v>125</v>
      </c>
      <c r="C69" s="171" t="s">
        <v>126</v>
      </c>
      <c r="D69" s="79">
        <v>9206840158.8600006</v>
      </c>
      <c r="E69" s="62">
        <f t="shared" si="37"/>
        <v>2.064523741599311E-3</v>
      </c>
      <c r="F69" s="69">
        <v>1</v>
      </c>
      <c r="G69" s="69">
        <v>1</v>
      </c>
      <c r="H69" s="63">
        <v>4990</v>
      </c>
      <c r="I69" s="85">
        <v>0.19889999999999999</v>
      </c>
      <c r="J69" s="85">
        <v>0.19889999999999999</v>
      </c>
      <c r="K69" s="79">
        <v>9562339026.3199997</v>
      </c>
      <c r="L69" s="62">
        <f t="shared" si="38"/>
        <v>2.1442401089217683E-3</v>
      </c>
      <c r="M69" s="69">
        <v>1</v>
      </c>
      <c r="N69" s="69">
        <v>1</v>
      </c>
      <c r="O69" s="63">
        <v>5051</v>
      </c>
      <c r="P69" s="85">
        <v>0.19919999999999999</v>
      </c>
      <c r="Q69" s="85">
        <v>0.19919999999999999</v>
      </c>
      <c r="R69" s="90">
        <f t="shared" si="21"/>
        <v>3.8612473044608311E-2</v>
      </c>
      <c r="S69" s="90">
        <f t="shared" si="22"/>
        <v>0</v>
      </c>
      <c r="T69" s="90">
        <f t="shared" si="23"/>
        <v>1.2224448897795592E-2</v>
      </c>
      <c r="U69" s="91">
        <f t="shared" si="24"/>
        <v>2.9999999999999472E-4</v>
      </c>
      <c r="V69" s="92">
        <f t="shared" si="25"/>
        <v>2.9999999999999472E-4</v>
      </c>
    </row>
    <row r="70" spans="1:22">
      <c r="A70" s="169">
        <v>62</v>
      </c>
      <c r="B70" s="172" t="s">
        <v>127</v>
      </c>
      <c r="C70" s="171" t="s">
        <v>128</v>
      </c>
      <c r="D70" s="79">
        <v>130567479241.09</v>
      </c>
      <c r="E70" s="62">
        <f t="shared" si="37"/>
        <v>2.9278194920610269E-2</v>
      </c>
      <c r="F70" s="69">
        <v>1</v>
      </c>
      <c r="G70" s="69">
        <v>1</v>
      </c>
      <c r="H70" s="63">
        <v>6701</v>
      </c>
      <c r="I70" s="85">
        <v>0.17460000000000001</v>
      </c>
      <c r="J70" s="85">
        <v>0.17460000000000001</v>
      </c>
      <c r="K70" s="79">
        <v>121455512462.8</v>
      </c>
      <c r="L70" s="62">
        <f t="shared" si="38"/>
        <v>2.7234945399400683E-2</v>
      </c>
      <c r="M70" s="69">
        <v>1</v>
      </c>
      <c r="N70" s="69">
        <v>1</v>
      </c>
      <c r="O70" s="63">
        <v>6743</v>
      </c>
      <c r="P70" s="85">
        <v>0.1799</v>
      </c>
      <c r="Q70" s="85">
        <v>0.1799</v>
      </c>
      <c r="R70" s="90">
        <f t="shared" si="21"/>
        <v>-6.9787414379540447E-2</v>
      </c>
      <c r="S70" s="90">
        <f t="shared" si="22"/>
        <v>0</v>
      </c>
      <c r="T70" s="90">
        <f t="shared" si="23"/>
        <v>6.2677212356364725E-3</v>
      </c>
      <c r="U70" s="91">
        <f t="shared" si="24"/>
        <v>5.2999999999999992E-3</v>
      </c>
      <c r="V70" s="92">
        <f t="shared" si="25"/>
        <v>5.2999999999999992E-3</v>
      </c>
    </row>
    <row r="71" spans="1:22">
      <c r="A71" s="70"/>
      <c r="B71" s="71"/>
      <c r="C71" s="72" t="s">
        <v>56</v>
      </c>
      <c r="D71" s="94">
        <f>SUM(D28:D70)</f>
        <v>4392378656476.5811</v>
      </c>
      <c r="E71" s="74">
        <f>(D71/$D$229)</f>
        <v>0.61334049273222302</v>
      </c>
      <c r="F71" s="75"/>
      <c r="G71" s="80"/>
      <c r="H71" s="77">
        <f>SUM(H28:H70)</f>
        <v>567292</v>
      </c>
      <c r="I71" s="98"/>
      <c r="J71" s="98"/>
      <c r="K71" s="94">
        <f>SUM(K28:K70)</f>
        <v>4459546758095.3066</v>
      </c>
      <c r="L71" s="74">
        <f>(K71/$K$229)</f>
        <v>0.61724120454113773</v>
      </c>
      <c r="M71" s="75"/>
      <c r="N71" s="80"/>
      <c r="O71" s="77">
        <f>SUM(O28:O70)</f>
        <v>573038</v>
      </c>
      <c r="P71" s="98"/>
      <c r="Q71" s="98"/>
      <c r="R71" s="90">
        <f t="shared" si="21"/>
        <v>1.5291965213355622E-2</v>
      </c>
      <c r="S71" s="90" t="e">
        <f t="shared" si="22"/>
        <v>#DIV/0!</v>
      </c>
      <c r="T71" s="90">
        <f t="shared" si="23"/>
        <v>1.0128822546413487E-2</v>
      </c>
      <c r="U71" s="91">
        <f t="shared" si="24"/>
        <v>0</v>
      </c>
      <c r="V71" s="92">
        <f t="shared" si="25"/>
        <v>0</v>
      </c>
    </row>
    <row r="72" spans="1:22" ht="3" customHeight="1">
      <c r="A72" s="70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</row>
    <row r="73" spans="1:22" ht="15" customHeight="1">
      <c r="A73" s="185" t="s">
        <v>129</v>
      </c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2">
      <c r="A74" s="169">
        <v>63</v>
      </c>
      <c r="B74" s="172" t="s">
        <v>130</v>
      </c>
      <c r="C74" s="171" t="s">
        <v>22</v>
      </c>
      <c r="D74" s="67">
        <v>683906217.94000006</v>
      </c>
      <c r="E74" s="62">
        <f>(D74/$D$113)</f>
        <v>2.8113229642647737E-3</v>
      </c>
      <c r="F74" s="95">
        <v>1.7062999999999999</v>
      </c>
      <c r="G74" s="95">
        <v>1.7062999999999999</v>
      </c>
      <c r="H74" s="63">
        <v>520</v>
      </c>
      <c r="I74" s="85">
        <v>1.291E-3</v>
      </c>
      <c r="J74" s="85">
        <v>0.30880000000000002</v>
      </c>
      <c r="K74" s="67">
        <v>696674869.94000006</v>
      </c>
      <c r="L74" s="62">
        <f t="shared" ref="L74:L97" si="39">(K74/$K$113)</f>
        <v>2.8549944412285828E-3</v>
      </c>
      <c r="M74" s="95">
        <v>1.7302</v>
      </c>
      <c r="N74" s="95">
        <v>1.7302</v>
      </c>
      <c r="O74" s="63">
        <v>526</v>
      </c>
      <c r="P74" s="85">
        <v>4.0499999999999998E-4</v>
      </c>
      <c r="Q74" s="85">
        <v>0.3271</v>
      </c>
      <c r="R74" s="90">
        <f>((K74-D74)/D74)</f>
        <v>1.8670179719173442E-2</v>
      </c>
      <c r="S74" s="90">
        <f>((N74-G74)/G74)</f>
        <v>1.4006915548262342E-2</v>
      </c>
      <c r="T74" s="90">
        <f>((O74-H74)/H74)</f>
        <v>1.1538461538461539E-2</v>
      </c>
      <c r="U74" s="91">
        <f>P74-I74</f>
        <v>-8.8600000000000007E-4</v>
      </c>
      <c r="V74" s="92">
        <f>Q74-J74</f>
        <v>1.8299999999999983E-2</v>
      </c>
    </row>
    <row r="75" spans="1:22">
      <c r="A75" s="169">
        <v>64</v>
      </c>
      <c r="B75" s="172" t="s">
        <v>131</v>
      </c>
      <c r="C75" s="171" t="s">
        <v>24</v>
      </c>
      <c r="D75" s="67">
        <v>1386692717.79</v>
      </c>
      <c r="E75" s="62">
        <f>(D75/$D$113)</f>
        <v>5.7002568183168257E-3</v>
      </c>
      <c r="F75" s="95">
        <v>1.3608</v>
      </c>
      <c r="G75" s="95">
        <v>1.3608</v>
      </c>
      <c r="H75" s="63">
        <v>1340</v>
      </c>
      <c r="I75" s="85">
        <v>0.13830000000000001</v>
      </c>
      <c r="J75" s="85">
        <v>0.1784</v>
      </c>
      <c r="K75" s="67">
        <v>1397672015.6800001</v>
      </c>
      <c r="L75" s="62">
        <f t="shared" si="39"/>
        <v>5.7277016978821279E-3</v>
      </c>
      <c r="M75" s="95">
        <v>1.367</v>
      </c>
      <c r="N75" s="95">
        <v>1.367</v>
      </c>
      <c r="O75" s="63">
        <v>1362</v>
      </c>
      <c r="P75" s="85">
        <v>0.23760000000000001</v>
      </c>
      <c r="Q75" s="85">
        <v>0.18049999999999999</v>
      </c>
      <c r="R75" s="90">
        <f t="shared" ref="R75:R113" si="40">((K75-D75)/D75)</f>
        <v>7.9176141542720672E-3</v>
      </c>
      <c r="S75" s="90">
        <f t="shared" ref="S75:S113" si="41">((N75-G75)/G75)</f>
        <v>4.5561434450323212E-3</v>
      </c>
      <c r="T75" s="90">
        <f t="shared" ref="T75:T113" si="42">((O75-H75)/H75)</f>
        <v>1.6417910447761194E-2</v>
      </c>
      <c r="U75" s="91">
        <f t="shared" ref="U75:U113" si="43">P75-I75</f>
        <v>9.9299999999999999E-2</v>
      </c>
      <c r="V75" s="92">
        <f t="shared" ref="V75:V113" si="44">Q75-J75</f>
        <v>2.0999999999999908E-3</v>
      </c>
    </row>
    <row r="76" spans="1:22">
      <c r="A76" s="169">
        <v>65</v>
      </c>
      <c r="B76" s="172" t="s">
        <v>132</v>
      </c>
      <c r="C76" s="171" t="s">
        <v>24</v>
      </c>
      <c r="D76" s="67">
        <v>817334960.65999997</v>
      </c>
      <c r="E76" s="62">
        <f>(D76/$D$113)</f>
        <v>3.3598064824167041E-3</v>
      </c>
      <c r="F76" s="95">
        <v>1.1908000000000001</v>
      </c>
      <c r="G76" s="95">
        <v>1.1908000000000001</v>
      </c>
      <c r="H76" s="63">
        <v>520</v>
      </c>
      <c r="I76" s="85">
        <v>0.1229</v>
      </c>
      <c r="J76" s="85">
        <v>0.12859999999999999</v>
      </c>
      <c r="K76" s="67">
        <v>819448611.96000004</v>
      </c>
      <c r="L76" s="62">
        <f t="shared" si="39"/>
        <v>3.3581249058398867E-3</v>
      </c>
      <c r="M76" s="95">
        <v>1.1936</v>
      </c>
      <c r="N76" s="95">
        <v>1.1936</v>
      </c>
      <c r="O76" s="63">
        <v>523</v>
      </c>
      <c r="P76" s="85">
        <v>0.1226</v>
      </c>
      <c r="Q76" s="85">
        <v>0.1288</v>
      </c>
      <c r="R76" s="90">
        <f t="shared" si="40"/>
        <v>2.5860282524722703E-3</v>
      </c>
      <c r="S76" s="90">
        <f t="shared" si="41"/>
        <v>2.3513604299629774E-3</v>
      </c>
      <c r="T76" s="90">
        <f t="shared" si="42"/>
        <v>5.7692307692307696E-3</v>
      </c>
      <c r="U76" s="91">
        <f t="shared" si="43"/>
        <v>-2.9999999999999472E-4</v>
      </c>
      <c r="V76" s="92">
        <f t="shared" si="44"/>
        <v>2.0000000000000573E-4</v>
      </c>
    </row>
    <row r="77" spans="1:22">
      <c r="A77" s="169">
        <v>66</v>
      </c>
      <c r="B77" s="172" t="s">
        <v>133</v>
      </c>
      <c r="C77" s="171" t="s">
        <v>64</v>
      </c>
      <c r="D77" s="67">
        <v>329277108.37</v>
      </c>
      <c r="E77" s="62">
        <f>(D77/$D$113)</f>
        <v>1.3535544378520253E-3</v>
      </c>
      <c r="F77" s="66">
        <v>1279.01</v>
      </c>
      <c r="G77" s="66">
        <v>1279.01</v>
      </c>
      <c r="H77" s="63">
        <v>109</v>
      </c>
      <c r="I77" s="85">
        <v>2.5000000000000001E-3</v>
      </c>
      <c r="J77" s="85">
        <v>0.22670000000000001</v>
      </c>
      <c r="K77" s="67">
        <v>331105967.13999999</v>
      </c>
      <c r="L77" s="62">
        <f t="shared" si="39"/>
        <v>1.356882150383473E-3</v>
      </c>
      <c r="M77" s="66">
        <v>1286.1199999999999</v>
      </c>
      <c r="N77" s="66">
        <v>1286.1199999999999</v>
      </c>
      <c r="O77" s="63">
        <v>109</v>
      </c>
      <c r="P77" s="85">
        <v>4.7999999999999996E-3</v>
      </c>
      <c r="Q77" s="85">
        <v>0.22869999999999999</v>
      </c>
      <c r="R77" s="90">
        <f t="shared" si="40"/>
        <v>5.5541631152352701E-3</v>
      </c>
      <c r="S77" s="90">
        <f t="shared" si="41"/>
        <v>5.5589870290301876E-3</v>
      </c>
      <c r="T77" s="90">
        <f t="shared" si="42"/>
        <v>0</v>
      </c>
      <c r="U77" s="91">
        <f t="shared" si="43"/>
        <v>2.2999999999999995E-3</v>
      </c>
      <c r="V77" s="92">
        <f t="shared" si="44"/>
        <v>1.999999999999974E-3</v>
      </c>
    </row>
    <row r="78" spans="1:22" ht="15" customHeight="1">
      <c r="A78" s="169">
        <v>67</v>
      </c>
      <c r="B78" s="172" t="s">
        <v>134</v>
      </c>
      <c r="C78" s="171" t="s">
        <v>28</v>
      </c>
      <c r="D78" s="67">
        <v>1951998157.96</v>
      </c>
      <c r="E78" s="62">
        <f>(D78/$K$113)</f>
        <v>7.9993467982334334E-3</v>
      </c>
      <c r="F78" s="66">
        <v>1.0649</v>
      </c>
      <c r="G78" s="66">
        <v>1.0649</v>
      </c>
      <c r="H78" s="63">
        <v>1001</v>
      </c>
      <c r="I78" s="85">
        <v>5.0000000000000001E-3</v>
      </c>
      <c r="J78" s="85">
        <v>0.1196</v>
      </c>
      <c r="K78" s="67">
        <v>1950800296.1800001</v>
      </c>
      <c r="L78" s="62">
        <f t="shared" si="39"/>
        <v>7.9944379248538689E-3</v>
      </c>
      <c r="M78" s="66">
        <v>1.0674999999999999</v>
      </c>
      <c r="N78" s="66">
        <v>1.0674999999999999</v>
      </c>
      <c r="O78" s="63">
        <v>1001</v>
      </c>
      <c r="P78" s="85">
        <v>7.4999999999999997E-3</v>
      </c>
      <c r="Q78" s="85">
        <v>0.12189999999999999</v>
      </c>
      <c r="R78" s="90">
        <f t="shared" si="40"/>
        <v>-6.1365927786112063E-4</v>
      </c>
      <c r="S78" s="90">
        <f t="shared" si="41"/>
        <v>2.4415438069301681E-3</v>
      </c>
      <c r="T78" s="90">
        <f t="shared" si="42"/>
        <v>0</v>
      </c>
      <c r="U78" s="91">
        <f t="shared" si="43"/>
        <v>2.4999999999999996E-3</v>
      </c>
      <c r="V78" s="92">
        <f t="shared" si="44"/>
        <v>2.2999999999999965E-3</v>
      </c>
    </row>
    <row r="79" spans="1:22">
      <c r="A79" s="169">
        <v>68</v>
      </c>
      <c r="B79" s="172" t="s">
        <v>135</v>
      </c>
      <c r="C79" s="171" t="s">
        <v>136</v>
      </c>
      <c r="D79" s="67">
        <v>466823959.95999998</v>
      </c>
      <c r="E79" s="62">
        <f t="shared" ref="E79:E97" si="45">(D79/$D$113)</f>
        <v>1.9189662039594221E-3</v>
      </c>
      <c r="F79" s="66">
        <v>2.6819999999999999</v>
      </c>
      <c r="G79" s="66">
        <v>2.6819999999999999</v>
      </c>
      <c r="H79" s="63">
        <v>1390</v>
      </c>
      <c r="I79" s="85">
        <v>0.1244</v>
      </c>
      <c r="J79" s="85">
        <v>0.14729999999999999</v>
      </c>
      <c r="K79" s="67">
        <v>471572579.56</v>
      </c>
      <c r="L79" s="62">
        <f t="shared" si="39"/>
        <v>1.9325185267491773E-3</v>
      </c>
      <c r="M79" s="66">
        <v>2.6892999999999998</v>
      </c>
      <c r="N79" s="66">
        <v>2.6892999999999998</v>
      </c>
      <c r="O79" s="63">
        <v>1390</v>
      </c>
      <c r="P79" s="85">
        <v>0.1419</v>
      </c>
      <c r="Q79" s="85">
        <v>0.14749999999999999</v>
      </c>
      <c r="R79" s="90">
        <f t="shared" si="40"/>
        <v>1.01721848218907E-2</v>
      </c>
      <c r="S79" s="90">
        <f t="shared" si="41"/>
        <v>2.7218493661446169E-3</v>
      </c>
      <c r="T79" s="90">
        <f t="shared" si="42"/>
        <v>0</v>
      </c>
      <c r="U79" s="91">
        <f t="shared" si="43"/>
        <v>1.7500000000000002E-2</v>
      </c>
      <c r="V79" s="92">
        <f t="shared" si="44"/>
        <v>2.0000000000000573E-4</v>
      </c>
    </row>
    <row r="80" spans="1:22">
      <c r="A80" s="169">
        <v>69</v>
      </c>
      <c r="B80" s="171" t="s">
        <v>137</v>
      </c>
      <c r="C80" s="171" t="s">
        <v>138</v>
      </c>
      <c r="D80" s="67">
        <v>1022674239.0700001</v>
      </c>
      <c r="E80" s="62">
        <f t="shared" si="45"/>
        <v>4.2038915539026837E-3</v>
      </c>
      <c r="F80" s="66">
        <v>1086.5899999999999</v>
      </c>
      <c r="G80" s="66">
        <v>1086.5899999999999</v>
      </c>
      <c r="H80" s="63">
        <v>249</v>
      </c>
      <c r="I80" s="85">
        <v>1.9300000000000001E-3</v>
      </c>
      <c r="J80" s="85">
        <v>8.3720000000000003E-2</v>
      </c>
      <c r="K80" s="67">
        <v>1027073668.01</v>
      </c>
      <c r="L80" s="62">
        <f t="shared" si="39"/>
        <v>4.2089785916253003E-3</v>
      </c>
      <c r="M80" s="66">
        <v>1089.8</v>
      </c>
      <c r="N80" s="66">
        <v>1089.8</v>
      </c>
      <c r="O80" s="63">
        <v>249</v>
      </c>
      <c r="P80" s="85">
        <v>2.1900000000000001E-3</v>
      </c>
      <c r="Q80" s="85">
        <v>8.6919999999999997E-2</v>
      </c>
      <c r="R80" s="90">
        <f t="shared" ref="R80" si="46">((K80-D80)/D80)</f>
        <v>4.3018869273569391E-3</v>
      </c>
      <c r="S80" s="90">
        <f t="shared" ref="S80" si="47">((N80-G80)/G80)</f>
        <v>2.9541961549434804E-3</v>
      </c>
      <c r="T80" s="90">
        <f t="shared" ref="T80" si="48">((O80-H80)/H80)</f>
        <v>0</v>
      </c>
      <c r="U80" s="91">
        <f t="shared" si="43"/>
        <v>2.6000000000000003E-4</v>
      </c>
      <c r="V80" s="92">
        <f t="shared" si="44"/>
        <v>3.1999999999999945E-3</v>
      </c>
    </row>
    <row r="81" spans="1:22">
      <c r="A81" s="169">
        <v>70</v>
      </c>
      <c r="B81" s="172" t="s">
        <v>139</v>
      </c>
      <c r="C81" s="171" t="s">
        <v>69</v>
      </c>
      <c r="D81" s="67">
        <v>230079495.28999999</v>
      </c>
      <c r="E81" s="62">
        <f t="shared" si="45"/>
        <v>9.4578430747938134E-4</v>
      </c>
      <c r="F81" s="66">
        <v>12.586</v>
      </c>
      <c r="G81" s="66">
        <v>12.637</v>
      </c>
      <c r="H81" s="63">
        <v>43</v>
      </c>
      <c r="I81" s="85">
        <v>2.1299999999999999E-3</v>
      </c>
      <c r="J81" s="85">
        <v>0.2984</v>
      </c>
      <c r="K81" s="67">
        <v>232014965.38999999</v>
      </c>
      <c r="L81" s="62">
        <f t="shared" si="39"/>
        <v>9.5080426329622052E-4</v>
      </c>
      <c r="M81" s="66">
        <v>12.6919</v>
      </c>
      <c r="N81" s="66">
        <v>12.738099999999999</v>
      </c>
      <c r="O81" s="63">
        <v>43</v>
      </c>
      <c r="P81" s="85">
        <v>5.6699999999999997E-3</v>
      </c>
      <c r="Q81" s="85">
        <v>0.30209999999999998</v>
      </c>
      <c r="R81" s="90">
        <f t="shared" si="40"/>
        <v>8.4121798753098876E-3</v>
      </c>
      <c r="S81" s="90">
        <f t="shared" si="41"/>
        <v>8.0003165308220985E-3</v>
      </c>
      <c r="T81" s="90">
        <f t="shared" si="42"/>
        <v>0</v>
      </c>
      <c r="U81" s="91">
        <f t="shared" si="43"/>
        <v>3.5399999999999997E-3</v>
      </c>
      <c r="V81" s="92">
        <f t="shared" si="44"/>
        <v>3.6999999999999811E-3</v>
      </c>
    </row>
    <row r="82" spans="1:22">
      <c r="A82" s="169">
        <v>71</v>
      </c>
      <c r="B82" s="172" t="s">
        <v>140</v>
      </c>
      <c r="C82" s="171" t="s">
        <v>71</v>
      </c>
      <c r="D82" s="67">
        <v>2092548853.8838401</v>
      </c>
      <c r="E82" s="62">
        <f t="shared" si="45"/>
        <v>8.6018089797301415E-3</v>
      </c>
      <c r="F82" s="67">
        <v>4815.7567472453202</v>
      </c>
      <c r="G82" s="67">
        <v>4815.7567472453202</v>
      </c>
      <c r="H82" s="63">
        <v>1163</v>
      </c>
      <c r="I82" s="85">
        <v>0.1067</v>
      </c>
      <c r="J82" s="85">
        <v>0.11550000000000001</v>
      </c>
      <c r="K82" s="67">
        <v>2101608591.9274001</v>
      </c>
      <c r="L82" s="62">
        <f t="shared" si="39"/>
        <v>8.6124548286171179E-3</v>
      </c>
      <c r="M82" s="67">
        <v>4820.7805141311201</v>
      </c>
      <c r="N82" s="67">
        <v>4820.7805141311201</v>
      </c>
      <c r="O82" s="63">
        <v>1165</v>
      </c>
      <c r="P82" s="85">
        <v>5.4399999999999997E-2</v>
      </c>
      <c r="Q82" s="85">
        <v>0.1143</v>
      </c>
      <c r="R82" s="90">
        <f t="shared" si="40"/>
        <v>4.3295228337177664E-3</v>
      </c>
      <c r="S82" s="90">
        <f t="shared" si="41"/>
        <v>1.0431936556333646E-3</v>
      </c>
      <c r="T82" s="90">
        <f t="shared" si="42"/>
        <v>1.7196904557179708E-3</v>
      </c>
      <c r="U82" s="91">
        <f t="shared" si="43"/>
        <v>-5.2300000000000006E-2</v>
      </c>
      <c r="V82" s="92">
        <f t="shared" si="44"/>
        <v>-1.2000000000000066E-3</v>
      </c>
    </row>
    <row r="83" spans="1:22">
      <c r="A83" s="169">
        <v>72</v>
      </c>
      <c r="B83" s="172" t="s">
        <v>141</v>
      </c>
      <c r="C83" s="171" t="s">
        <v>73</v>
      </c>
      <c r="D83" s="67">
        <v>352940461.56999999</v>
      </c>
      <c r="E83" s="62">
        <f t="shared" si="45"/>
        <v>1.4508270265748621E-3</v>
      </c>
      <c r="F83" s="95">
        <v>116.72</v>
      </c>
      <c r="G83" s="95">
        <v>116.72</v>
      </c>
      <c r="H83" s="63">
        <v>93</v>
      </c>
      <c r="I83" s="85">
        <v>2.3E-3</v>
      </c>
      <c r="J83" s="85">
        <v>0.127</v>
      </c>
      <c r="K83" s="67">
        <v>354359656.83999997</v>
      </c>
      <c r="L83" s="62">
        <f t="shared" si="39"/>
        <v>1.4521764658469718E-3</v>
      </c>
      <c r="M83" s="95">
        <v>116.99</v>
      </c>
      <c r="N83" s="95">
        <v>116.99</v>
      </c>
      <c r="O83" s="63">
        <v>95</v>
      </c>
      <c r="P83" s="85">
        <v>2.3E-3</v>
      </c>
      <c r="Q83" s="85">
        <v>0.127</v>
      </c>
      <c r="R83" s="90">
        <f t="shared" si="40"/>
        <v>4.0210614098675863E-3</v>
      </c>
      <c r="S83" s="90">
        <f t="shared" si="41"/>
        <v>2.3132282385194998E-3</v>
      </c>
      <c r="T83" s="90">
        <f t="shared" si="42"/>
        <v>2.1505376344086023E-2</v>
      </c>
      <c r="U83" s="91">
        <f t="shared" si="43"/>
        <v>0</v>
      </c>
      <c r="V83" s="92">
        <f t="shared" si="44"/>
        <v>0</v>
      </c>
    </row>
    <row r="84" spans="1:22" ht="13.5" customHeight="1">
      <c r="A84" s="169">
        <v>73</v>
      </c>
      <c r="B84" s="172" t="s">
        <v>142</v>
      </c>
      <c r="C84" s="171" t="s">
        <v>75</v>
      </c>
      <c r="D84" s="67">
        <v>588359917.36000001</v>
      </c>
      <c r="E84" s="62">
        <f t="shared" si="45"/>
        <v>2.4185622290572683E-3</v>
      </c>
      <c r="F84" s="95">
        <v>1.5044</v>
      </c>
      <c r="G84" s="95">
        <v>1.5044</v>
      </c>
      <c r="H84" s="63">
        <v>1352</v>
      </c>
      <c r="I84" s="85">
        <v>3.0999999999999999E-3</v>
      </c>
      <c r="J84" s="85">
        <v>0.15740000000000001</v>
      </c>
      <c r="K84" s="67">
        <v>572470033.76999998</v>
      </c>
      <c r="L84" s="62">
        <f t="shared" si="39"/>
        <v>2.3459993100139365E-3</v>
      </c>
      <c r="M84" s="95">
        <v>1.5127999999999999</v>
      </c>
      <c r="N84" s="95">
        <v>1.5127999999999999</v>
      </c>
      <c r="O84" s="63">
        <v>1422</v>
      </c>
      <c r="P84" s="85">
        <v>5.5999999999999999E-3</v>
      </c>
      <c r="Q84" s="85">
        <v>0.16350000000000001</v>
      </c>
      <c r="R84" s="90">
        <f t="shared" si="40"/>
        <v>-2.7007080396126787E-2</v>
      </c>
      <c r="S84" s="90">
        <f t="shared" si="41"/>
        <v>5.5836213772932483E-3</v>
      </c>
      <c r="T84" s="90">
        <f t="shared" si="42"/>
        <v>5.1775147928994084E-2</v>
      </c>
      <c r="U84" s="91">
        <f t="shared" si="43"/>
        <v>2.5000000000000001E-3</v>
      </c>
      <c r="V84" s="92">
        <f t="shared" si="44"/>
        <v>6.0999999999999943E-3</v>
      </c>
    </row>
    <row r="85" spans="1:22" ht="13.5" customHeight="1">
      <c r="A85" s="169">
        <v>74</v>
      </c>
      <c r="B85" s="172" t="s">
        <v>143</v>
      </c>
      <c r="C85" s="171" t="s">
        <v>75</v>
      </c>
      <c r="D85" s="67">
        <v>45236940.729999997</v>
      </c>
      <c r="E85" s="62">
        <f t="shared" si="45"/>
        <v>1.8595480925791312E-4</v>
      </c>
      <c r="F85" s="95">
        <v>1.0387999999999999</v>
      </c>
      <c r="G85" s="95">
        <v>1.0387999999999999</v>
      </c>
      <c r="H85" s="63">
        <v>5</v>
      </c>
      <c r="I85" s="85">
        <v>3.8999999999999998E-3</v>
      </c>
      <c r="J85" s="85">
        <v>4.8000000000000001E-2</v>
      </c>
      <c r="K85" s="67">
        <v>46725946.840000004</v>
      </c>
      <c r="L85" s="62">
        <f t="shared" si="39"/>
        <v>1.9148432682928741E-4</v>
      </c>
      <c r="M85" s="95">
        <v>1.0457000000000001</v>
      </c>
      <c r="N85" s="95">
        <v>1.0457000000000001</v>
      </c>
      <c r="O85" s="63">
        <v>6</v>
      </c>
      <c r="P85" s="85">
        <v>6.6E-3</v>
      </c>
      <c r="Q85" s="85">
        <v>5.5E-2</v>
      </c>
      <c r="R85" s="90">
        <f t="shared" ref="R85" si="49">((K85-D85)/D85)</f>
        <v>3.2915711937446197E-2</v>
      </c>
      <c r="S85" s="90">
        <f t="shared" ref="S85" si="50">((N85-G85)/G85)</f>
        <v>6.6422795533308899E-3</v>
      </c>
      <c r="T85" s="90">
        <f t="shared" ref="T85" si="51">((O85-H85)/H85)</f>
        <v>0.2</v>
      </c>
      <c r="U85" s="91">
        <f t="shared" ref="U85" si="52">P85-I85</f>
        <v>2.7000000000000001E-3</v>
      </c>
      <c r="V85" s="92">
        <f t="shared" ref="V85" si="53">Q85-J85</f>
        <v>6.9999999999999993E-3</v>
      </c>
    </row>
    <row r="86" spans="1:22">
      <c r="A86" s="169">
        <v>75</v>
      </c>
      <c r="B86" s="172" t="s">
        <v>144</v>
      </c>
      <c r="C86" s="171" t="s">
        <v>30</v>
      </c>
      <c r="D86" s="67">
        <v>171980558.88999999</v>
      </c>
      <c r="E86" s="62">
        <f t="shared" si="45"/>
        <v>7.0695788681506716E-4</v>
      </c>
      <c r="F86" s="95">
        <v>134.27279999999999</v>
      </c>
      <c r="G86" s="95">
        <v>134.27279999999999</v>
      </c>
      <c r="H86" s="63">
        <v>347</v>
      </c>
      <c r="I86" s="85">
        <v>2.4729999999999999E-3</v>
      </c>
      <c r="J86" s="85">
        <v>0.16889999999999999</v>
      </c>
      <c r="K86" s="67">
        <v>181100719.91</v>
      </c>
      <c r="L86" s="62">
        <f t="shared" si="39"/>
        <v>7.4215616344834405E-4</v>
      </c>
      <c r="M86" s="95">
        <v>134.7072</v>
      </c>
      <c r="N86" s="95">
        <v>134.7072</v>
      </c>
      <c r="O86" s="63">
        <v>352</v>
      </c>
      <c r="P86" s="85">
        <v>4.5600000000000003E-4</v>
      </c>
      <c r="Q86" s="85">
        <v>0.16969999999999999</v>
      </c>
      <c r="R86" s="90">
        <f t="shared" si="40"/>
        <v>5.3030185963247926E-2</v>
      </c>
      <c r="S86" s="90">
        <f t="shared" si="41"/>
        <v>3.2352047473502513E-3</v>
      </c>
      <c r="T86" s="90">
        <f t="shared" si="42"/>
        <v>1.4409221902017291E-2</v>
      </c>
      <c r="U86" s="91">
        <f t="shared" si="43"/>
        <v>-2.0169999999999997E-3</v>
      </c>
      <c r="V86" s="92">
        <f t="shared" si="44"/>
        <v>7.9999999999999516E-4</v>
      </c>
    </row>
    <row r="87" spans="1:22">
      <c r="A87" s="169">
        <v>76</v>
      </c>
      <c r="B87" s="172" t="s">
        <v>145</v>
      </c>
      <c r="C87" s="171" t="s">
        <v>77</v>
      </c>
      <c r="D87" s="67">
        <v>2646779606.2199998</v>
      </c>
      <c r="E87" s="62">
        <f t="shared" si="45"/>
        <v>1.0880076965416279E-2</v>
      </c>
      <c r="F87" s="66">
        <v>1250.29</v>
      </c>
      <c r="G87" s="66">
        <v>1254.4000000000001</v>
      </c>
      <c r="H87" s="63">
        <v>395</v>
      </c>
      <c r="I87" s="85">
        <v>1.9099999999999999E-2</v>
      </c>
      <c r="J87" s="85">
        <v>0.22720000000000001</v>
      </c>
      <c r="K87" s="67">
        <v>2659262430.3299999</v>
      </c>
      <c r="L87" s="62">
        <f t="shared" si="39"/>
        <v>1.0897736927146554E-2</v>
      </c>
      <c r="M87" s="66">
        <v>1258.51</v>
      </c>
      <c r="N87" s="66">
        <v>1258.51</v>
      </c>
      <c r="O87" s="63">
        <v>395</v>
      </c>
      <c r="P87" s="85">
        <v>1.9099999999999999E-2</v>
      </c>
      <c r="Q87" s="85">
        <v>0.22570000000000001</v>
      </c>
      <c r="R87" s="90">
        <f t="shared" si="40"/>
        <v>4.7162310305947563E-3</v>
      </c>
      <c r="S87" s="90">
        <f t="shared" si="41"/>
        <v>3.2764668367346139E-3</v>
      </c>
      <c r="T87" s="90">
        <f t="shared" si="42"/>
        <v>0</v>
      </c>
      <c r="U87" s="91">
        <f t="shared" si="43"/>
        <v>0</v>
      </c>
      <c r="V87" s="92">
        <f t="shared" si="44"/>
        <v>-1.5000000000000013E-3</v>
      </c>
    </row>
    <row r="88" spans="1:22">
      <c r="A88" s="169">
        <v>77</v>
      </c>
      <c r="B88" s="172" t="s">
        <v>146</v>
      </c>
      <c r="C88" s="171" t="s">
        <v>79</v>
      </c>
      <c r="D88" s="67">
        <v>158159888.28999999</v>
      </c>
      <c r="E88" s="62">
        <f t="shared" si="45"/>
        <v>6.5014546484827682E-4</v>
      </c>
      <c r="F88" s="66">
        <v>1115.58</v>
      </c>
      <c r="G88" s="66">
        <v>1141.54</v>
      </c>
      <c r="H88" s="63">
        <v>70</v>
      </c>
      <c r="I88" s="85">
        <v>2.8999999999999998E-3</v>
      </c>
      <c r="J88" s="85">
        <v>0.11650000000000001</v>
      </c>
      <c r="K88" s="67">
        <v>158487798.81</v>
      </c>
      <c r="L88" s="62">
        <f t="shared" si="39"/>
        <v>6.4948773686077294E-4</v>
      </c>
      <c r="M88" s="66">
        <v>1117.4100000000001</v>
      </c>
      <c r="N88" s="66">
        <v>1144.1300000000001</v>
      </c>
      <c r="O88" s="63">
        <v>70</v>
      </c>
      <c r="P88" s="85">
        <v>2.2000000000000001E-3</v>
      </c>
      <c r="Q88" s="85">
        <v>0.1187</v>
      </c>
      <c r="R88" s="90">
        <f t="shared" si="40"/>
        <v>2.0732849747513611E-3</v>
      </c>
      <c r="S88" s="90">
        <f t="shared" si="41"/>
        <v>2.2688648667590671E-3</v>
      </c>
      <c r="T88" s="90">
        <f t="shared" si="42"/>
        <v>0</v>
      </c>
      <c r="U88" s="91">
        <f t="shared" si="43"/>
        <v>-6.9999999999999967E-4</v>
      </c>
      <c r="V88" s="92">
        <f t="shared" si="44"/>
        <v>2.1999999999999936E-3</v>
      </c>
    </row>
    <row r="89" spans="1:22">
      <c r="A89" s="169">
        <v>78</v>
      </c>
      <c r="B89" s="172" t="s">
        <v>147</v>
      </c>
      <c r="C89" s="171" t="s">
        <v>82</v>
      </c>
      <c r="D89" s="67">
        <v>709231703.13</v>
      </c>
      <c r="E89" s="62">
        <f t="shared" si="45"/>
        <v>2.9154280538635359E-3</v>
      </c>
      <c r="F89" s="96">
        <v>1.17</v>
      </c>
      <c r="G89" s="96">
        <v>1.17</v>
      </c>
      <c r="H89" s="63">
        <v>59</v>
      </c>
      <c r="I89" s="85">
        <v>0.11257</v>
      </c>
      <c r="J89" s="85">
        <v>0.11260000000000001</v>
      </c>
      <c r="K89" s="67">
        <v>727139137.96000004</v>
      </c>
      <c r="L89" s="62">
        <f t="shared" si="39"/>
        <v>2.9798379221778644E-3</v>
      </c>
      <c r="M89" s="96">
        <v>1.17</v>
      </c>
      <c r="N89" s="96">
        <v>1.17</v>
      </c>
      <c r="O89" s="63">
        <v>59</v>
      </c>
      <c r="P89" s="85">
        <v>0.11257</v>
      </c>
      <c r="Q89" s="85">
        <v>0.1123</v>
      </c>
      <c r="R89" s="90">
        <f t="shared" si="40"/>
        <v>2.5249061415289927E-2</v>
      </c>
      <c r="S89" s="90">
        <f t="shared" si="41"/>
        <v>0</v>
      </c>
      <c r="T89" s="90">
        <f t="shared" si="42"/>
        <v>0</v>
      </c>
      <c r="U89" s="91">
        <f t="shared" si="43"/>
        <v>0</v>
      </c>
      <c r="V89" s="92">
        <f t="shared" si="44"/>
        <v>-3.0000000000000859E-4</v>
      </c>
    </row>
    <row r="90" spans="1:22">
      <c r="A90" s="169">
        <v>79</v>
      </c>
      <c r="B90" s="172" t="s">
        <v>148</v>
      </c>
      <c r="C90" s="171" t="s">
        <v>32</v>
      </c>
      <c r="D90" s="96">
        <v>11516143557.43</v>
      </c>
      <c r="E90" s="62">
        <f t="shared" si="45"/>
        <v>4.7339237447338339E-2</v>
      </c>
      <c r="F90" s="96">
        <v>1754.91</v>
      </c>
      <c r="G90" s="96">
        <v>1754.91</v>
      </c>
      <c r="H90" s="63">
        <v>2050</v>
      </c>
      <c r="I90" s="85">
        <v>2.0999999999999999E-3</v>
      </c>
      <c r="J90" s="85">
        <v>3.6600000000000001E-2</v>
      </c>
      <c r="K90" s="96">
        <v>11488592314.92</v>
      </c>
      <c r="L90" s="62">
        <f t="shared" si="39"/>
        <v>4.7080594710503694E-2</v>
      </c>
      <c r="M90" s="96">
        <v>1758.26</v>
      </c>
      <c r="N90" s="96">
        <v>1758.26</v>
      </c>
      <c r="O90" s="63">
        <v>2047</v>
      </c>
      <c r="P90" s="85">
        <v>1.9E-3</v>
      </c>
      <c r="Q90" s="85">
        <v>3.8600000000000002E-2</v>
      </c>
      <c r="R90" s="90">
        <f t="shared" si="40"/>
        <v>-2.3924017942816181E-3</v>
      </c>
      <c r="S90" s="90">
        <f t="shared" si="41"/>
        <v>1.9089298026678911E-3</v>
      </c>
      <c r="T90" s="90">
        <f t="shared" si="42"/>
        <v>-1.4634146341463415E-3</v>
      </c>
      <c r="U90" s="91">
        <f t="shared" si="43"/>
        <v>-1.9999999999999987E-4</v>
      </c>
      <c r="V90" s="92">
        <f t="shared" si="44"/>
        <v>2.0000000000000018E-3</v>
      </c>
    </row>
    <row r="91" spans="1:22">
      <c r="A91" s="169">
        <v>80</v>
      </c>
      <c r="B91" s="172" t="s">
        <v>149</v>
      </c>
      <c r="C91" s="171" t="s">
        <v>92</v>
      </c>
      <c r="D91" s="67">
        <v>23719967.629999999</v>
      </c>
      <c r="E91" s="62">
        <f t="shared" si="45"/>
        <v>9.7505312805456012E-5</v>
      </c>
      <c r="F91" s="95">
        <v>0.72460000000000002</v>
      </c>
      <c r="G91" s="95">
        <v>0.72460000000000002</v>
      </c>
      <c r="H91" s="63">
        <v>744</v>
      </c>
      <c r="I91" s="85">
        <v>2.0999999999999999E-3</v>
      </c>
      <c r="J91" s="85">
        <v>1.0999999999999999E-2</v>
      </c>
      <c r="K91" s="67">
        <v>23506132.66</v>
      </c>
      <c r="L91" s="62">
        <f t="shared" si="39"/>
        <v>9.6328834259317217E-5</v>
      </c>
      <c r="M91" s="95">
        <v>0.71809999999999996</v>
      </c>
      <c r="N91" s="95">
        <v>0.71809999999999996</v>
      </c>
      <c r="O91" s="63">
        <v>744</v>
      </c>
      <c r="P91" s="85">
        <v>-8.9999999999999993E-3</v>
      </c>
      <c r="Q91" s="85">
        <v>2E-3</v>
      </c>
      <c r="R91" s="90">
        <f t="shared" si="40"/>
        <v>-9.0149773109112295E-3</v>
      </c>
      <c r="S91" s="90">
        <f t="shared" si="41"/>
        <v>-8.9704664642562253E-3</v>
      </c>
      <c r="T91" s="90">
        <f t="shared" si="42"/>
        <v>0</v>
      </c>
      <c r="U91" s="91">
        <f t="shared" si="43"/>
        <v>-1.1099999999999999E-2</v>
      </c>
      <c r="V91" s="92">
        <f t="shared" si="44"/>
        <v>-8.9999999999999993E-3</v>
      </c>
    </row>
    <row r="92" spans="1:22">
      <c r="A92" s="169">
        <v>81</v>
      </c>
      <c r="B92" s="172" t="s">
        <v>150</v>
      </c>
      <c r="C92" s="171" t="s">
        <v>38</v>
      </c>
      <c r="D92" s="67">
        <v>11356123240.219999</v>
      </c>
      <c r="E92" s="62">
        <f t="shared" si="45"/>
        <v>4.6681444345417926E-2</v>
      </c>
      <c r="F92" s="95">
        <v>1</v>
      </c>
      <c r="G92" s="95">
        <v>1</v>
      </c>
      <c r="H92" s="63">
        <v>4787</v>
      </c>
      <c r="I92" s="85">
        <v>0.06</v>
      </c>
      <c r="J92" s="85">
        <v>0.06</v>
      </c>
      <c r="K92" s="67">
        <v>11404366566.940001</v>
      </c>
      <c r="L92" s="62">
        <f t="shared" si="39"/>
        <v>4.6735435077701198E-2</v>
      </c>
      <c r="M92" s="95">
        <v>1</v>
      </c>
      <c r="N92" s="95">
        <v>1</v>
      </c>
      <c r="O92" s="63">
        <v>4841</v>
      </c>
      <c r="P92" s="85">
        <v>0.06</v>
      </c>
      <c r="Q92" s="85">
        <v>0.06</v>
      </c>
      <c r="R92" s="90">
        <f t="shared" si="40"/>
        <v>4.2482214836430934E-3</v>
      </c>
      <c r="S92" s="90">
        <f t="shared" si="41"/>
        <v>0</v>
      </c>
      <c r="T92" s="90">
        <f t="shared" si="42"/>
        <v>1.1280551493628577E-2</v>
      </c>
      <c r="U92" s="91">
        <f t="shared" si="43"/>
        <v>0</v>
      </c>
      <c r="V92" s="92">
        <f t="shared" si="44"/>
        <v>0</v>
      </c>
    </row>
    <row r="93" spans="1:22">
      <c r="A93" s="169">
        <v>82</v>
      </c>
      <c r="B93" s="172" t="s">
        <v>151</v>
      </c>
      <c r="C93" s="171" t="s">
        <v>152</v>
      </c>
      <c r="D93" s="67">
        <v>1828123715.6400001</v>
      </c>
      <c r="E93" s="62">
        <f t="shared" si="45"/>
        <v>7.5148405563212287E-3</v>
      </c>
      <c r="F93" s="67">
        <v>270.17</v>
      </c>
      <c r="G93" s="67">
        <v>270.17</v>
      </c>
      <c r="H93" s="63">
        <v>562</v>
      </c>
      <c r="I93" s="85">
        <v>3.0000000000000001E-3</v>
      </c>
      <c r="J93" s="85">
        <v>0.18720000000000001</v>
      </c>
      <c r="K93" s="67">
        <v>1833416170.6099999</v>
      </c>
      <c r="L93" s="62">
        <f t="shared" si="39"/>
        <v>7.5133942695549613E-3</v>
      </c>
      <c r="M93" s="67">
        <v>270.95999999999998</v>
      </c>
      <c r="N93" s="67">
        <v>270.95999999999998</v>
      </c>
      <c r="O93" s="63">
        <v>549</v>
      </c>
      <c r="P93" s="85">
        <v>3.0000000000000001E-3</v>
      </c>
      <c r="Q93" s="85">
        <v>0.18720000000000001</v>
      </c>
      <c r="R93" s="90">
        <f t="shared" si="40"/>
        <v>2.8950201371612189E-3</v>
      </c>
      <c r="S93" s="90">
        <f t="shared" si="41"/>
        <v>2.9240848354738259E-3</v>
      </c>
      <c r="T93" s="90">
        <f t="shared" si="42"/>
        <v>-2.3131672597864767E-2</v>
      </c>
      <c r="U93" s="91">
        <f t="shared" si="43"/>
        <v>0</v>
      </c>
      <c r="V93" s="92">
        <f t="shared" si="44"/>
        <v>0</v>
      </c>
    </row>
    <row r="94" spans="1:22">
      <c r="A94" s="169">
        <v>83</v>
      </c>
      <c r="B94" s="172" t="s">
        <v>153</v>
      </c>
      <c r="C94" s="171" t="s">
        <v>42</v>
      </c>
      <c r="D94" s="67">
        <v>1049625744.14</v>
      </c>
      <c r="E94" s="62">
        <f t="shared" si="45"/>
        <v>4.3146806988720266E-3</v>
      </c>
      <c r="F94" s="95">
        <v>3.57</v>
      </c>
      <c r="G94" s="95">
        <v>3.58</v>
      </c>
      <c r="H94" s="81">
        <v>781</v>
      </c>
      <c r="I94" s="88">
        <v>1.4500000000000001E-2</v>
      </c>
      <c r="J94" s="88">
        <v>-1.6899999999999998E-2</v>
      </c>
      <c r="K94" s="67">
        <v>1052614965.1799999</v>
      </c>
      <c r="L94" s="62">
        <f t="shared" si="39"/>
        <v>4.3136475908794247E-3</v>
      </c>
      <c r="M94" s="95">
        <v>3.57</v>
      </c>
      <c r="N94" s="95">
        <v>3.59</v>
      </c>
      <c r="O94" s="81">
        <v>782</v>
      </c>
      <c r="P94" s="88">
        <v>1E-3</v>
      </c>
      <c r="Q94" s="88">
        <v>-1.34E-2</v>
      </c>
      <c r="R94" s="90">
        <f t="shared" si="40"/>
        <v>2.8478922670186115E-3</v>
      </c>
      <c r="S94" s="90">
        <f t="shared" si="41"/>
        <v>2.7932960893854151E-3</v>
      </c>
      <c r="T94" s="90">
        <f t="shared" si="42"/>
        <v>1.2804097311139564E-3</v>
      </c>
      <c r="U94" s="91">
        <f t="shared" si="43"/>
        <v>-1.3500000000000002E-2</v>
      </c>
      <c r="V94" s="92">
        <f t="shared" si="44"/>
        <v>3.4999999999999979E-3</v>
      </c>
    </row>
    <row r="95" spans="1:22">
      <c r="A95" s="169">
        <v>84</v>
      </c>
      <c r="B95" s="172" t="s">
        <v>154</v>
      </c>
      <c r="C95" s="171" t="s">
        <v>44</v>
      </c>
      <c r="D95" s="67">
        <v>688646397.88999999</v>
      </c>
      <c r="E95" s="62">
        <f t="shared" si="45"/>
        <v>2.8308083504165801E-3</v>
      </c>
      <c r="F95" s="95">
        <v>111.05</v>
      </c>
      <c r="G95" s="95">
        <v>111.05</v>
      </c>
      <c r="H95" s="81">
        <v>244</v>
      </c>
      <c r="I95" s="88">
        <v>0.14940000000000001</v>
      </c>
      <c r="J95" s="88">
        <v>0.17199999999999999</v>
      </c>
      <c r="K95" s="67">
        <v>694575068.12</v>
      </c>
      <c r="L95" s="62">
        <f t="shared" si="39"/>
        <v>2.8463893906053297E-3</v>
      </c>
      <c r="M95" s="95">
        <v>111.65284</v>
      </c>
      <c r="N95" s="95">
        <v>111.65284</v>
      </c>
      <c r="O95" s="81">
        <v>250</v>
      </c>
      <c r="P95" s="88">
        <v>0.15010000000000001</v>
      </c>
      <c r="Q95" s="88">
        <v>0.17269999999999999</v>
      </c>
      <c r="R95" s="90">
        <f t="shared" si="40"/>
        <v>8.6091646571670993E-3</v>
      </c>
      <c r="S95" s="90">
        <f t="shared" si="41"/>
        <v>5.4285457001350792E-3</v>
      </c>
      <c r="T95" s="90">
        <f t="shared" si="42"/>
        <v>2.4590163934426229E-2</v>
      </c>
      <c r="U95" s="91">
        <f t="shared" si="43"/>
        <v>7.0000000000000617E-4</v>
      </c>
      <c r="V95" s="92">
        <f t="shared" si="44"/>
        <v>7.0000000000000617E-4</v>
      </c>
    </row>
    <row r="96" spans="1:22">
      <c r="A96" s="169">
        <v>85</v>
      </c>
      <c r="B96" s="171" t="s">
        <v>155</v>
      </c>
      <c r="C96" s="178" t="s">
        <v>48</v>
      </c>
      <c r="D96" s="67">
        <v>1051274342.17</v>
      </c>
      <c r="E96" s="62">
        <f t="shared" si="45"/>
        <v>4.3214575659029199E-3</v>
      </c>
      <c r="F96" s="95">
        <v>112.12</v>
      </c>
      <c r="G96" s="95">
        <v>112.5</v>
      </c>
      <c r="H96" s="63">
        <v>289</v>
      </c>
      <c r="I96" s="85">
        <v>6.0000000000000001E-3</v>
      </c>
      <c r="J96" s="85">
        <v>0.125</v>
      </c>
      <c r="K96" s="67">
        <v>1068625571.4299999</v>
      </c>
      <c r="L96" s="62">
        <f t="shared" si="39"/>
        <v>4.3792595338627942E-3</v>
      </c>
      <c r="M96" s="95">
        <v>113.43</v>
      </c>
      <c r="N96" s="95">
        <v>113.87</v>
      </c>
      <c r="O96" s="63">
        <v>289</v>
      </c>
      <c r="P96" s="85">
        <v>1.0999999999999999E-2</v>
      </c>
      <c r="Q96" s="85">
        <v>0.1246</v>
      </c>
      <c r="R96" s="90">
        <f t="shared" si="40"/>
        <v>1.6504948864427008E-2</v>
      </c>
      <c r="S96" s="90">
        <f t="shared" si="41"/>
        <v>1.2177777777777819E-2</v>
      </c>
      <c r="T96" s="90">
        <f t="shared" si="42"/>
        <v>0</v>
      </c>
      <c r="U96" s="91">
        <f t="shared" si="43"/>
        <v>4.9999999999999992E-3</v>
      </c>
      <c r="V96" s="92">
        <f t="shared" si="44"/>
        <v>-3.9999999999999758E-4</v>
      </c>
    </row>
    <row r="97" spans="1:22">
      <c r="A97" s="169">
        <v>86</v>
      </c>
      <c r="B97" s="172" t="s">
        <v>156</v>
      </c>
      <c r="C97" s="171" t="s">
        <v>20</v>
      </c>
      <c r="D97" s="68">
        <v>1603971367.8499999</v>
      </c>
      <c r="E97" s="62">
        <f t="shared" si="45"/>
        <v>6.5934208845802459E-3</v>
      </c>
      <c r="F97" s="95">
        <v>384.72669999999999</v>
      </c>
      <c r="G97" s="95">
        <v>384.72669999999999</v>
      </c>
      <c r="H97" s="63">
        <v>97</v>
      </c>
      <c r="I97" s="85">
        <v>2.7000000000000001E-3</v>
      </c>
      <c r="J97" s="85">
        <v>0.11890000000000001</v>
      </c>
      <c r="K97" s="68">
        <v>1609556719.3099999</v>
      </c>
      <c r="L97" s="62">
        <f t="shared" si="39"/>
        <v>6.5960115467749315E-3</v>
      </c>
      <c r="M97" s="95">
        <v>385.74860000000001</v>
      </c>
      <c r="N97" s="95">
        <v>385.74860000000001</v>
      </c>
      <c r="O97" s="63">
        <v>97</v>
      </c>
      <c r="P97" s="85">
        <v>2.7000000000000001E-3</v>
      </c>
      <c r="Q97" s="85">
        <v>0.12180000000000001</v>
      </c>
      <c r="R97" s="90">
        <f t="shared" si="40"/>
        <v>3.4822014731389949E-3</v>
      </c>
      <c r="S97" s="90">
        <f t="shared" si="41"/>
        <v>2.6561712509166027E-3</v>
      </c>
      <c r="T97" s="90">
        <f t="shared" si="42"/>
        <v>0</v>
      </c>
      <c r="U97" s="91">
        <f t="shared" si="43"/>
        <v>0</v>
      </c>
      <c r="V97" s="92">
        <f t="shared" si="44"/>
        <v>2.8999999999999998E-3</v>
      </c>
    </row>
    <row r="98" spans="1:22">
      <c r="A98" s="169">
        <v>87</v>
      </c>
      <c r="B98" s="172" t="s">
        <v>157</v>
      </c>
      <c r="C98" s="171" t="s">
        <v>104</v>
      </c>
      <c r="D98" s="79">
        <v>1783789792</v>
      </c>
      <c r="E98" s="62">
        <f>(D98/$K$71)</f>
        <v>3.9999351700078709E-4</v>
      </c>
      <c r="F98" s="95">
        <v>103.75</v>
      </c>
      <c r="G98" s="95">
        <v>130.75</v>
      </c>
      <c r="H98" s="63">
        <v>408</v>
      </c>
      <c r="I98" s="85">
        <v>3.8999999999999998E-3</v>
      </c>
      <c r="J98" s="85">
        <v>0.15570000000000001</v>
      </c>
      <c r="K98" s="79">
        <v>1792419683</v>
      </c>
      <c r="L98" s="62">
        <f>(K98/$K$71)</f>
        <v>4.0192866679697085E-4</v>
      </c>
      <c r="M98" s="95">
        <v>104.28</v>
      </c>
      <c r="N98" s="95">
        <v>104.28</v>
      </c>
      <c r="O98" s="63">
        <v>408</v>
      </c>
      <c r="P98" s="85">
        <v>5.1000000000000004E-3</v>
      </c>
      <c r="Q98" s="85">
        <v>0.1583</v>
      </c>
      <c r="R98" s="90">
        <f t="shared" si="40"/>
        <v>4.8379529015714871E-3</v>
      </c>
      <c r="S98" s="90">
        <f t="shared" si="41"/>
        <v>-0.20244741873804969</v>
      </c>
      <c r="T98" s="90">
        <f t="shared" si="42"/>
        <v>0</v>
      </c>
      <c r="U98" s="91">
        <f t="shared" si="43"/>
        <v>1.2000000000000005E-3</v>
      </c>
      <c r="V98" s="92">
        <f t="shared" si="44"/>
        <v>2.5999999999999912E-3</v>
      </c>
    </row>
    <row r="99" spans="1:22">
      <c r="A99" s="169">
        <v>88</v>
      </c>
      <c r="B99" s="172" t="s">
        <v>158</v>
      </c>
      <c r="C99" s="171" t="s">
        <v>46</v>
      </c>
      <c r="D99" s="67">
        <v>58512895.359999999</v>
      </c>
      <c r="E99" s="62">
        <f t="shared" ref="E99:E112" si="54">(D99/$D$113)</f>
        <v>2.4052807551110962E-4</v>
      </c>
      <c r="F99" s="67">
        <v>11.94</v>
      </c>
      <c r="G99" s="67">
        <v>12.6</v>
      </c>
      <c r="H99" s="63">
        <v>57</v>
      </c>
      <c r="I99" s="85">
        <v>4.6300000000000001E-2</v>
      </c>
      <c r="J99" s="85">
        <v>-1.46E-2</v>
      </c>
      <c r="K99" s="67">
        <v>58749005.729999997</v>
      </c>
      <c r="L99" s="62">
        <f t="shared" ref="L99:L112" si="55">(K99/$K$113)</f>
        <v>2.4075518154013714E-4</v>
      </c>
      <c r="M99" s="67">
        <v>11.99</v>
      </c>
      <c r="N99" s="67">
        <v>12.65</v>
      </c>
      <c r="O99" s="63">
        <v>57</v>
      </c>
      <c r="P99" s="85">
        <v>2.3999999999999998E-3</v>
      </c>
      <c r="Q99" s="85">
        <v>-1.12E-2</v>
      </c>
      <c r="R99" s="90">
        <f t="shared" si="40"/>
        <v>4.0351852108382377E-3</v>
      </c>
      <c r="S99" s="90">
        <f t="shared" si="41"/>
        <v>3.9682539682540244E-3</v>
      </c>
      <c r="T99" s="90">
        <f t="shared" si="42"/>
        <v>0</v>
      </c>
      <c r="U99" s="91">
        <f t="shared" si="43"/>
        <v>-4.3900000000000002E-2</v>
      </c>
      <c r="V99" s="92">
        <f t="shared" si="44"/>
        <v>3.4000000000000002E-3</v>
      </c>
    </row>
    <row r="100" spans="1:22">
      <c r="A100" s="169">
        <v>89</v>
      </c>
      <c r="B100" s="172" t="s">
        <v>159</v>
      </c>
      <c r="C100" s="171" t="s">
        <v>160</v>
      </c>
      <c r="D100" s="67">
        <v>831270402.76999998</v>
      </c>
      <c r="E100" s="62">
        <f t="shared" si="54"/>
        <v>3.4170906938967966E-3</v>
      </c>
      <c r="F100" s="67">
        <v>152.4</v>
      </c>
      <c r="G100" s="67">
        <v>152.4</v>
      </c>
      <c r="H100" s="63">
        <v>170</v>
      </c>
      <c r="I100" s="85">
        <v>0.2427</v>
      </c>
      <c r="J100" s="85">
        <v>0.19350000000000001</v>
      </c>
      <c r="K100" s="67">
        <v>854618205.90999997</v>
      </c>
      <c r="L100" s="62">
        <f t="shared" si="55"/>
        <v>3.5022509530965701E-3</v>
      </c>
      <c r="M100" s="67">
        <v>152.88999999999999</v>
      </c>
      <c r="N100" s="67">
        <v>152.88999999999999</v>
      </c>
      <c r="O100" s="63">
        <v>170</v>
      </c>
      <c r="P100" s="85">
        <v>0.17979999999999999</v>
      </c>
      <c r="Q100" s="85">
        <v>0.19320000000000001</v>
      </c>
      <c r="R100" s="90">
        <f t="shared" si="40"/>
        <v>2.8086893340842273E-2</v>
      </c>
      <c r="S100" s="90">
        <f t="shared" si="41"/>
        <v>3.2152230971127338E-3</v>
      </c>
      <c r="T100" s="90">
        <f t="shared" si="42"/>
        <v>0</v>
      </c>
      <c r="U100" s="91">
        <f t="shared" si="43"/>
        <v>-6.2900000000000011E-2</v>
      </c>
      <c r="V100" s="92">
        <f t="shared" si="44"/>
        <v>-2.9999999999999472E-4</v>
      </c>
    </row>
    <row r="101" spans="1:22">
      <c r="A101" s="169">
        <v>90</v>
      </c>
      <c r="B101" s="172" t="s">
        <v>161</v>
      </c>
      <c r="C101" s="171" t="s">
        <v>162</v>
      </c>
      <c r="D101" s="67">
        <v>10423476769.921301</v>
      </c>
      <c r="E101" s="62">
        <f t="shared" si="54"/>
        <v>4.2847628581337178E-2</v>
      </c>
      <c r="F101" s="67">
        <v>1.1299999999999999</v>
      </c>
      <c r="G101" s="67">
        <v>1.1299999999999999</v>
      </c>
      <c r="H101" s="63">
        <v>5082</v>
      </c>
      <c r="I101" s="85">
        <v>0.17519999999999999</v>
      </c>
      <c r="J101" s="85">
        <v>0.17519999999999999</v>
      </c>
      <c r="K101" s="67">
        <v>10474139527.342899</v>
      </c>
      <c r="L101" s="62">
        <f t="shared" si="55"/>
        <v>4.2923336864141445E-2</v>
      </c>
      <c r="M101" s="67">
        <v>1.1299999999999999</v>
      </c>
      <c r="N101" s="67">
        <v>1.1299999999999999</v>
      </c>
      <c r="O101" s="63">
        <v>5085</v>
      </c>
      <c r="P101" s="85">
        <v>0.17249999999999999</v>
      </c>
      <c r="Q101" s="85">
        <v>0.17249999999999999</v>
      </c>
      <c r="R101" s="90">
        <f t="shared" si="40"/>
        <v>4.860447098399486E-3</v>
      </c>
      <c r="S101" s="90">
        <f t="shared" si="41"/>
        <v>0</v>
      </c>
      <c r="T101" s="90">
        <f t="shared" si="42"/>
        <v>5.9031877213695393E-4</v>
      </c>
      <c r="U101" s="91">
        <f t="shared" si="43"/>
        <v>-2.7000000000000079E-3</v>
      </c>
      <c r="V101" s="92">
        <f t="shared" si="44"/>
        <v>-2.7000000000000079E-3</v>
      </c>
    </row>
    <row r="102" spans="1:22" ht="14.25" customHeight="1">
      <c r="A102" s="169">
        <v>91</v>
      </c>
      <c r="B102" s="172" t="s">
        <v>163</v>
      </c>
      <c r="C102" s="171" t="s">
        <v>50</v>
      </c>
      <c r="D102" s="67">
        <v>6974202366.9700003</v>
      </c>
      <c r="E102" s="62">
        <f t="shared" si="54"/>
        <v>2.8668748371304655E-2</v>
      </c>
      <c r="F102" s="67">
        <v>5176.09</v>
      </c>
      <c r="G102" s="67">
        <v>5176.09</v>
      </c>
      <c r="H102" s="63">
        <v>229</v>
      </c>
      <c r="I102" s="85">
        <v>0</v>
      </c>
      <c r="J102" s="85">
        <v>1.6999999999999999E-3</v>
      </c>
      <c r="K102" s="67">
        <v>6971279843.8599997</v>
      </c>
      <c r="L102" s="62">
        <f t="shared" si="55"/>
        <v>2.8568513177722729E-2</v>
      </c>
      <c r="M102" s="67">
        <v>5176.09</v>
      </c>
      <c r="N102" s="67">
        <v>5176.09</v>
      </c>
      <c r="O102" s="63">
        <v>229</v>
      </c>
      <c r="P102" s="85">
        <v>0</v>
      </c>
      <c r="Q102" s="85">
        <v>1.6999999999999999E-3</v>
      </c>
      <c r="R102" s="90">
        <f t="shared" si="40"/>
        <v>-4.190476496411624E-4</v>
      </c>
      <c r="S102" s="90">
        <f t="shared" si="41"/>
        <v>0</v>
      </c>
      <c r="T102" s="90">
        <f t="shared" si="42"/>
        <v>0</v>
      </c>
      <c r="U102" s="91">
        <f t="shared" si="43"/>
        <v>0</v>
      </c>
      <c r="V102" s="92">
        <f t="shared" si="44"/>
        <v>0</v>
      </c>
    </row>
    <row r="103" spans="1:22" ht="13.5" customHeight="1">
      <c r="A103" s="169">
        <v>92</v>
      </c>
      <c r="B103" s="172" t="s">
        <v>164</v>
      </c>
      <c r="C103" s="171" t="s">
        <v>50</v>
      </c>
      <c r="D103" s="67">
        <v>16299768589.17</v>
      </c>
      <c r="E103" s="62">
        <f t="shared" si="54"/>
        <v>6.7003212640706605E-2</v>
      </c>
      <c r="F103" s="95">
        <v>259.23</v>
      </c>
      <c r="G103" s="95">
        <v>259.23</v>
      </c>
      <c r="H103" s="63">
        <v>6070</v>
      </c>
      <c r="I103" s="85">
        <v>0</v>
      </c>
      <c r="J103" s="85">
        <v>1.5E-3</v>
      </c>
      <c r="K103" s="67">
        <v>16281277953.690001</v>
      </c>
      <c r="L103" s="62">
        <f t="shared" si="55"/>
        <v>6.6721163715702414E-2</v>
      </c>
      <c r="M103" s="95">
        <v>259.23</v>
      </c>
      <c r="N103" s="95">
        <v>259.23</v>
      </c>
      <c r="O103" s="63">
        <v>6067</v>
      </c>
      <c r="P103" s="85">
        <v>0</v>
      </c>
      <c r="Q103" s="85">
        <v>1.5E-3</v>
      </c>
      <c r="R103" s="90">
        <f t="shared" si="40"/>
        <v>-1.1344109199369378E-3</v>
      </c>
      <c r="S103" s="90">
        <f t="shared" si="41"/>
        <v>0</v>
      </c>
      <c r="T103" s="90">
        <f t="shared" si="42"/>
        <v>-4.9423393739703462E-4</v>
      </c>
      <c r="U103" s="91">
        <f t="shared" si="43"/>
        <v>0</v>
      </c>
      <c r="V103" s="92">
        <f t="shared" si="44"/>
        <v>0</v>
      </c>
    </row>
    <row r="104" spans="1:22" ht="13.5" customHeight="1">
      <c r="A104" s="169">
        <v>93</v>
      </c>
      <c r="B104" s="172" t="s">
        <v>165</v>
      </c>
      <c r="C104" s="171" t="s">
        <v>50</v>
      </c>
      <c r="D104" s="67">
        <v>558181949.76999998</v>
      </c>
      <c r="E104" s="62">
        <f t="shared" si="54"/>
        <v>2.2945101133210605E-3</v>
      </c>
      <c r="F104" s="66">
        <v>9220.83</v>
      </c>
      <c r="G104" s="66">
        <v>9257.74</v>
      </c>
      <c r="H104" s="63">
        <v>15</v>
      </c>
      <c r="I104" s="85">
        <v>-5.1999999999999998E-3</v>
      </c>
      <c r="J104" s="85">
        <v>0.35680000000000001</v>
      </c>
      <c r="K104" s="67">
        <v>561541452.49000001</v>
      </c>
      <c r="L104" s="62">
        <f t="shared" si="55"/>
        <v>2.3012136572637494E-3</v>
      </c>
      <c r="M104" s="66">
        <v>9276.33</v>
      </c>
      <c r="N104" s="66">
        <v>9313.4599999999991</v>
      </c>
      <c r="O104" s="63">
        <v>15</v>
      </c>
      <c r="P104" s="85">
        <v>6.0000000000000001E-3</v>
      </c>
      <c r="Q104" s="85">
        <v>0.36499999999999999</v>
      </c>
      <c r="R104" s="90">
        <f t="shared" si="40"/>
        <v>6.018651662570455E-3</v>
      </c>
      <c r="S104" s="90">
        <f t="shared" si="41"/>
        <v>6.0187475560989339E-3</v>
      </c>
      <c r="T104" s="90">
        <f t="shared" si="42"/>
        <v>0</v>
      </c>
      <c r="U104" s="91">
        <f t="shared" si="43"/>
        <v>1.12E-2</v>
      </c>
      <c r="V104" s="92">
        <f t="shared" si="44"/>
        <v>8.1999999999999851E-3</v>
      </c>
    </row>
    <row r="105" spans="1:22" ht="15" customHeight="1">
      <c r="A105" s="169">
        <v>94</v>
      </c>
      <c r="B105" s="172" t="s">
        <v>166</v>
      </c>
      <c r="C105" s="171" t="s">
        <v>50</v>
      </c>
      <c r="D105" s="67">
        <v>6340202998.8900003</v>
      </c>
      <c r="E105" s="62">
        <f t="shared" si="54"/>
        <v>2.6062576741250797E-2</v>
      </c>
      <c r="F105" s="95">
        <v>158</v>
      </c>
      <c r="G105" s="95">
        <v>158</v>
      </c>
      <c r="H105" s="63">
        <v>5101</v>
      </c>
      <c r="I105" s="85">
        <v>3.0000000000000001E-3</v>
      </c>
      <c r="J105" s="85">
        <v>0.1459</v>
      </c>
      <c r="K105" s="67">
        <v>6477042064.8100004</v>
      </c>
      <c r="L105" s="62">
        <f t="shared" si="55"/>
        <v>2.6543111985981121E-2</v>
      </c>
      <c r="M105" s="95">
        <v>158.46</v>
      </c>
      <c r="N105" s="95">
        <v>158.46</v>
      </c>
      <c r="O105" s="63">
        <v>5142</v>
      </c>
      <c r="P105" s="85">
        <v>2.8999999999999998E-3</v>
      </c>
      <c r="Q105" s="85">
        <v>0.14929999999999999</v>
      </c>
      <c r="R105" s="90">
        <f t="shared" si="40"/>
        <v>2.1582757830302425E-2</v>
      </c>
      <c r="S105" s="90">
        <f t="shared" si="41"/>
        <v>2.9113924050633414E-3</v>
      </c>
      <c r="T105" s="90">
        <f t="shared" si="42"/>
        <v>8.0376396784944126E-3</v>
      </c>
      <c r="U105" s="91">
        <f t="shared" si="43"/>
        <v>-1.0000000000000026E-4</v>
      </c>
      <c r="V105" s="92">
        <f t="shared" si="44"/>
        <v>3.3999999999999864E-3</v>
      </c>
    </row>
    <row r="106" spans="1:22" ht="15" customHeight="1">
      <c r="A106" s="169">
        <v>95</v>
      </c>
      <c r="B106" s="172" t="s">
        <v>167</v>
      </c>
      <c r="C106" s="171" t="s">
        <v>50</v>
      </c>
      <c r="D106" s="67">
        <v>6106490633.54</v>
      </c>
      <c r="E106" s="62">
        <f t="shared" si="54"/>
        <v>2.5101858849665933E-2</v>
      </c>
      <c r="F106" s="95">
        <v>380.08</v>
      </c>
      <c r="G106" s="95">
        <v>380.58</v>
      </c>
      <c r="H106" s="63">
        <v>10671</v>
      </c>
      <c r="I106" s="85">
        <v>-5.4000000000000003E-3</v>
      </c>
      <c r="J106" s="85">
        <v>7.4300000000000005E-2</v>
      </c>
      <c r="K106" s="67">
        <v>6152883930.3400002</v>
      </c>
      <c r="L106" s="62">
        <f t="shared" si="55"/>
        <v>2.5214702261556032E-2</v>
      </c>
      <c r="M106" s="95">
        <v>381.63</v>
      </c>
      <c r="N106" s="95">
        <v>382.15</v>
      </c>
      <c r="O106" s="63">
        <v>10694</v>
      </c>
      <c r="P106" s="85">
        <v>4.1000000000000003E-3</v>
      </c>
      <c r="Q106" s="85">
        <v>7.8799999999999995E-2</v>
      </c>
      <c r="R106" s="90">
        <f t="shared" si="40"/>
        <v>7.5973745943675487E-3</v>
      </c>
      <c r="S106" s="90">
        <f t="shared" si="41"/>
        <v>4.1252824636081589E-3</v>
      </c>
      <c r="T106" s="90">
        <f t="shared" si="42"/>
        <v>2.155374379158467E-3</v>
      </c>
      <c r="U106" s="91">
        <f t="shared" si="43"/>
        <v>9.5000000000000015E-3</v>
      </c>
      <c r="V106" s="92">
        <f t="shared" si="44"/>
        <v>4.4999999999999901E-3</v>
      </c>
    </row>
    <row r="107" spans="1:22" ht="15" customHeight="1">
      <c r="A107" s="169">
        <v>96</v>
      </c>
      <c r="B107" s="172" t="s">
        <v>168</v>
      </c>
      <c r="C107" s="171" t="s">
        <v>119</v>
      </c>
      <c r="D107" s="67">
        <v>91751764.540000007</v>
      </c>
      <c r="E107" s="62">
        <f t="shared" si="54"/>
        <v>3.7716259319892033E-4</v>
      </c>
      <c r="F107" s="95">
        <v>112.12560000000001</v>
      </c>
      <c r="G107" s="95">
        <v>112.12560000000001</v>
      </c>
      <c r="H107" s="63">
        <v>22</v>
      </c>
      <c r="I107" s="85">
        <v>6.7999999999999996E-3</v>
      </c>
      <c r="J107" s="85">
        <v>0.30759999999999998</v>
      </c>
      <c r="K107" s="67">
        <v>92930687.349999994</v>
      </c>
      <c r="L107" s="62">
        <f t="shared" si="55"/>
        <v>3.8083273453892676E-4</v>
      </c>
      <c r="M107" s="95">
        <v>113.5663</v>
      </c>
      <c r="N107" s="95">
        <v>113.5663</v>
      </c>
      <c r="O107" s="63">
        <v>22</v>
      </c>
      <c r="P107" s="85">
        <v>1.44E-2</v>
      </c>
      <c r="Q107" s="85">
        <v>0.31539</v>
      </c>
      <c r="R107" s="90">
        <f t="shared" ref="R107" si="56">((K107-D107)/D107)</f>
        <v>1.2849047818432151E-2</v>
      </c>
      <c r="S107" s="90">
        <f t="shared" ref="S107" si="57">((N107-G107)/G107)</f>
        <v>1.2848983639775328E-2</v>
      </c>
      <c r="T107" s="90">
        <f t="shared" ref="T107" si="58">((O107-H107)/H107)</f>
        <v>0</v>
      </c>
      <c r="U107" s="91">
        <f t="shared" ref="U107" si="59">P107-I107</f>
        <v>7.6E-3</v>
      </c>
      <c r="V107" s="92">
        <f t="shared" ref="V107" si="60">Q107-J107</f>
        <v>7.7900000000000191E-3</v>
      </c>
    </row>
    <row r="108" spans="1:22">
      <c r="A108" s="169">
        <v>97</v>
      </c>
      <c r="B108" s="172" t="s">
        <v>169</v>
      </c>
      <c r="C108" s="171" t="s">
        <v>53</v>
      </c>
      <c r="D108" s="67">
        <v>85035567177.789993</v>
      </c>
      <c r="E108" s="62">
        <f t="shared" si="54"/>
        <v>0.34955442210524557</v>
      </c>
      <c r="F108" s="67">
        <v>1.9559</v>
      </c>
      <c r="G108" s="67">
        <v>1.9559</v>
      </c>
      <c r="H108" s="63">
        <v>6787</v>
      </c>
      <c r="I108" s="85">
        <v>8.6199999999999999E-2</v>
      </c>
      <c r="J108" s="85">
        <v>8.5000000000000006E-2</v>
      </c>
      <c r="K108" s="67">
        <v>85202127058.490005</v>
      </c>
      <c r="L108" s="62">
        <f t="shared" si="55"/>
        <v>0.34916086345096675</v>
      </c>
      <c r="M108" s="67">
        <v>1.9597</v>
      </c>
      <c r="N108" s="67">
        <v>1.9597</v>
      </c>
      <c r="O108" s="63">
        <v>6795</v>
      </c>
      <c r="P108" s="85">
        <v>6.7599999999999993E-2</v>
      </c>
      <c r="Q108" s="85">
        <v>8.5300000000000001E-2</v>
      </c>
      <c r="R108" s="90">
        <f t="shared" si="40"/>
        <v>1.9587084114082928E-3</v>
      </c>
      <c r="S108" s="90">
        <f t="shared" si="41"/>
        <v>1.9428396134771847E-3</v>
      </c>
      <c r="T108" s="90">
        <f t="shared" si="42"/>
        <v>1.1787240312361867E-3</v>
      </c>
      <c r="U108" s="91">
        <f t="shared" si="43"/>
        <v>-1.8600000000000005E-2</v>
      </c>
      <c r="V108" s="92">
        <f t="shared" si="44"/>
        <v>2.9999999999999472E-4</v>
      </c>
    </row>
    <row r="109" spans="1:22">
      <c r="A109" s="169">
        <v>98</v>
      </c>
      <c r="B109" s="172" t="s">
        <v>170</v>
      </c>
      <c r="C109" s="171" t="s">
        <v>53</v>
      </c>
      <c r="D109" s="67">
        <v>63574623274.790001</v>
      </c>
      <c r="E109" s="62">
        <f t="shared" si="54"/>
        <v>0.2613352440269508</v>
      </c>
      <c r="F109" s="67">
        <v>126.0129</v>
      </c>
      <c r="G109" s="67">
        <v>126.0129</v>
      </c>
      <c r="H109" s="63">
        <v>1047</v>
      </c>
      <c r="I109" s="85">
        <v>0.17680000000000001</v>
      </c>
      <c r="J109" s="85">
        <v>0.2031</v>
      </c>
      <c r="K109" s="67">
        <v>63752401004.449997</v>
      </c>
      <c r="L109" s="62">
        <f t="shared" si="55"/>
        <v>0.26125924493064578</v>
      </c>
      <c r="M109" s="67">
        <v>126.43040000000001</v>
      </c>
      <c r="N109" s="67">
        <v>126.43040000000001</v>
      </c>
      <c r="O109" s="63">
        <v>1069</v>
      </c>
      <c r="P109" s="85">
        <v>0.18820000000000001</v>
      </c>
      <c r="Q109" s="85">
        <v>0.20280000000000001</v>
      </c>
      <c r="R109" s="90">
        <f t="shared" ref="R109:R111" si="61">((K109-D109)/D109)</f>
        <v>2.7963630848677375E-3</v>
      </c>
      <c r="S109" s="90">
        <f t="shared" ref="S109:S111" si="62">((N109-G109)/G109)</f>
        <v>3.3131528597469305E-3</v>
      </c>
      <c r="T109" s="90">
        <f t="shared" ref="T109:T111" si="63">((O109-H109)/H109)</f>
        <v>2.1012416427889206E-2</v>
      </c>
      <c r="U109" s="91">
        <f t="shared" ref="U109:U111" si="64">P109-I109</f>
        <v>1.1399999999999993E-2</v>
      </c>
      <c r="V109" s="92">
        <f t="shared" ref="V109:V111" si="65">Q109-J109</f>
        <v>-2.9999999999999472E-4</v>
      </c>
    </row>
    <row r="110" spans="1:22">
      <c r="A110" s="169">
        <v>99</v>
      </c>
      <c r="B110" s="172" t="s">
        <v>171</v>
      </c>
      <c r="C110" s="172" t="s">
        <v>172</v>
      </c>
      <c r="D110" s="67">
        <v>107835204.69</v>
      </c>
      <c r="E110" s="62">
        <f t="shared" si="54"/>
        <v>4.4327654779092242E-4</v>
      </c>
      <c r="F110" s="67">
        <v>115.024556968296</v>
      </c>
      <c r="G110" s="67">
        <v>115.024556968296</v>
      </c>
      <c r="H110" s="97">
        <v>81</v>
      </c>
      <c r="I110" s="99">
        <v>3.3E-3</v>
      </c>
      <c r="J110" s="99">
        <v>4.19E-2</v>
      </c>
      <c r="K110" s="67">
        <v>108090081.41</v>
      </c>
      <c r="L110" s="62">
        <f t="shared" si="55"/>
        <v>4.4295638452420755E-4</v>
      </c>
      <c r="M110" s="67">
        <v>115.439521212036</v>
      </c>
      <c r="N110" s="67">
        <v>115.439521212036</v>
      </c>
      <c r="O110" s="97">
        <v>81</v>
      </c>
      <c r="P110" s="99">
        <v>3.5999999999999999E-3</v>
      </c>
      <c r="Q110" s="99">
        <v>4.5600000000000002E-2</v>
      </c>
      <c r="R110" s="90">
        <f t="shared" si="61"/>
        <v>2.3635761691435317E-3</v>
      </c>
      <c r="S110" s="90">
        <f t="shared" si="62"/>
        <v>3.6076143623346244E-3</v>
      </c>
      <c r="T110" s="90">
        <f t="shared" si="63"/>
        <v>0</v>
      </c>
      <c r="U110" s="91">
        <f t="shared" si="64"/>
        <v>2.9999999999999992E-4</v>
      </c>
      <c r="V110" s="92">
        <f t="shared" si="65"/>
        <v>3.7000000000000019E-3</v>
      </c>
    </row>
    <row r="111" spans="1:22">
      <c r="A111" s="169">
        <v>100</v>
      </c>
      <c r="B111" s="172" t="s">
        <v>173</v>
      </c>
      <c r="C111" s="171" t="s">
        <v>126</v>
      </c>
      <c r="D111" s="67">
        <v>349866832.72000003</v>
      </c>
      <c r="E111" s="62">
        <f t="shared" si="54"/>
        <v>1.4381923068677374E-3</v>
      </c>
      <c r="F111" s="67">
        <v>1.39</v>
      </c>
      <c r="G111" s="67">
        <v>1.39</v>
      </c>
      <c r="H111" s="63">
        <v>675</v>
      </c>
      <c r="I111" s="85">
        <v>6.4000000000000003E-3</v>
      </c>
      <c r="J111" s="85">
        <v>0.29449999999999998</v>
      </c>
      <c r="K111" s="67">
        <v>356216209.31</v>
      </c>
      <c r="L111" s="62">
        <f t="shared" si="55"/>
        <v>1.4597846733629912E-3</v>
      </c>
      <c r="M111" s="67">
        <v>1.4</v>
      </c>
      <c r="N111" s="67">
        <v>1.4</v>
      </c>
      <c r="O111" s="63">
        <v>685</v>
      </c>
      <c r="P111" s="85">
        <v>4.4999999999999997E-3</v>
      </c>
      <c r="Q111" s="85">
        <v>0.3014</v>
      </c>
      <c r="R111" s="90">
        <f t="shared" si="61"/>
        <v>1.8147980877859914E-2</v>
      </c>
      <c r="S111" s="90">
        <f t="shared" si="62"/>
        <v>7.1942446043165541E-3</v>
      </c>
      <c r="T111" s="90">
        <f t="shared" si="63"/>
        <v>1.4814814814814815E-2</v>
      </c>
      <c r="U111" s="91">
        <f t="shared" si="64"/>
        <v>-1.9000000000000006E-3</v>
      </c>
      <c r="V111" s="92">
        <f t="shared" si="65"/>
        <v>6.9000000000000172E-3</v>
      </c>
    </row>
    <row r="112" spans="1:22">
      <c r="A112" s="169">
        <v>101</v>
      </c>
      <c r="B112" s="172" t="s">
        <v>174</v>
      </c>
      <c r="C112" s="171" t="s">
        <v>128</v>
      </c>
      <c r="D112" s="67">
        <v>1961269734.48</v>
      </c>
      <c r="E112" s="62">
        <f t="shared" si="54"/>
        <v>8.0621618856882935E-3</v>
      </c>
      <c r="F112" s="95">
        <v>29.885300000000001</v>
      </c>
      <c r="G112" s="95">
        <v>29.885300000000001</v>
      </c>
      <c r="H112" s="63">
        <v>1293</v>
      </c>
      <c r="I112" s="85">
        <v>0</v>
      </c>
      <c r="J112" s="85">
        <v>0.11360000000000001</v>
      </c>
      <c r="K112" s="67">
        <v>1981206499.3</v>
      </c>
      <c r="L112" s="62">
        <f t="shared" si="55"/>
        <v>8.1190434541073397E-3</v>
      </c>
      <c r="M112" s="95">
        <v>29.9419</v>
      </c>
      <c r="N112" s="95">
        <v>29.9419</v>
      </c>
      <c r="O112" s="63">
        <v>1296</v>
      </c>
      <c r="P112" s="85">
        <v>0</v>
      </c>
      <c r="Q112" s="85">
        <v>0.1033</v>
      </c>
      <c r="R112" s="90">
        <f t="shared" si="40"/>
        <v>1.0165233506387561E-2</v>
      </c>
      <c r="S112" s="90">
        <f t="shared" si="41"/>
        <v>1.8939077071335919E-3</v>
      </c>
      <c r="T112" s="90">
        <f t="shared" si="42"/>
        <v>2.3201856148491878E-3</v>
      </c>
      <c r="U112" s="91">
        <f t="shared" si="43"/>
        <v>0</v>
      </c>
      <c r="V112" s="92">
        <f t="shared" si="44"/>
        <v>-1.0300000000000004E-2</v>
      </c>
    </row>
    <row r="113" spans="1:28">
      <c r="A113" s="70"/>
      <c r="B113" s="71"/>
      <c r="C113" s="72" t="s">
        <v>56</v>
      </c>
      <c r="D113" s="94">
        <f>SUM(D74:D112)</f>
        <v>243268463507.48514</v>
      </c>
      <c r="E113" s="74">
        <f>(D113/$D$229)</f>
        <v>3.3969384459576653E-2</v>
      </c>
      <c r="F113" s="75"/>
      <c r="G113" s="80"/>
      <c r="H113" s="77">
        <f>SUM(H74:H112)</f>
        <v>55918</v>
      </c>
      <c r="I113" s="88"/>
      <c r="J113" s="88"/>
      <c r="K113" s="94">
        <f>SUM(K74:K112)</f>
        <v>244019694006.9003</v>
      </c>
      <c r="L113" s="74">
        <f>(K113/$K$229)</f>
        <v>3.3774510736357677E-2</v>
      </c>
      <c r="M113" s="75"/>
      <c r="N113" s="80"/>
      <c r="O113" s="77">
        <f>SUM(O74:O112)</f>
        <v>56181</v>
      </c>
      <c r="P113" s="88"/>
      <c r="Q113" s="88"/>
      <c r="R113" s="90">
        <f t="shared" si="40"/>
        <v>3.0880718716425259E-3</v>
      </c>
      <c r="S113" s="90" t="e">
        <f t="shared" si="41"/>
        <v>#DIV/0!</v>
      </c>
      <c r="T113" s="90">
        <f t="shared" si="42"/>
        <v>4.703315569226367E-3</v>
      </c>
      <c r="U113" s="91">
        <f t="shared" si="43"/>
        <v>0</v>
      </c>
      <c r="V113" s="92">
        <f t="shared" si="44"/>
        <v>0</v>
      </c>
    </row>
    <row r="114" spans="1:28" ht="3.75" customHeight="1">
      <c r="A114" s="70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</row>
    <row r="115" spans="1:28" ht="15" customHeight="1">
      <c r="A115" s="185" t="s">
        <v>175</v>
      </c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</row>
    <row r="116" spans="1:28">
      <c r="A116" s="184" t="s">
        <v>176</v>
      </c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Z116" s="100"/>
      <c r="AB116" s="102"/>
    </row>
    <row r="117" spans="1:28" ht="16.5" customHeight="1">
      <c r="A117" s="169">
        <v>102</v>
      </c>
      <c r="B117" s="172" t="s">
        <v>177</v>
      </c>
      <c r="C117" s="171" t="s">
        <v>20</v>
      </c>
      <c r="D117" s="67">
        <v>2828772816.1845598</v>
      </c>
      <c r="E117" s="62">
        <f t="shared" ref="E117:E122" si="66">(D117/$D$155)</f>
        <v>1.4768902973794282E-3</v>
      </c>
      <c r="F117" s="67">
        <v>164004.74967029999</v>
      </c>
      <c r="G117" s="67">
        <v>164004.74967029999</v>
      </c>
      <c r="H117" s="63">
        <v>174</v>
      </c>
      <c r="I117" s="85">
        <v>1.1000000000000001E-3</v>
      </c>
      <c r="J117" s="85">
        <v>5.45E-2</v>
      </c>
      <c r="K117" s="67">
        <f>1953256.05*W136</f>
        <v>2817436882.1319451</v>
      </c>
      <c r="L117" s="62">
        <f t="shared" ref="L117:L133" si="67">(K117/$K$155)</f>
        <v>1.4748029727710689E-3</v>
      </c>
      <c r="M117" s="67">
        <f>114.2886*W136</f>
        <v>164853.40815774002</v>
      </c>
      <c r="N117" s="67">
        <f>114.2886*W136</f>
        <v>164853.40815774002</v>
      </c>
      <c r="O117" s="63">
        <v>174</v>
      </c>
      <c r="P117" s="85">
        <v>1.1000000000000001E-3</v>
      </c>
      <c r="Q117" s="85">
        <v>5.5599999999999997E-2</v>
      </c>
      <c r="R117" s="91">
        <f>((K117-D117)/D117)</f>
        <v>-4.0073681377865338E-3</v>
      </c>
      <c r="S117" s="91">
        <f>((N117-G117)/G117)</f>
        <v>5.174597011038359E-3</v>
      </c>
      <c r="T117" s="91">
        <f>((O117-H117)/H117)</f>
        <v>0</v>
      </c>
      <c r="U117" s="91">
        <f>P117-I117</f>
        <v>0</v>
      </c>
      <c r="V117" s="92">
        <f>Q117-J117</f>
        <v>1.0999999999999968E-3</v>
      </c>
      <c r="X117" s="100"/>
      <c r="Y117" s="103"/>
      <c r="Z117" s="100"/>
      <c r="AA117" s="104"/>
    </row>
    <row r="118" spans="1:28" ht="16.5" customHeight="1">
      <c r="A118" s="169">
        <v>103</v>
      </c>
      <c r="B118" s="172" t="s">
        <v>178</v>
      </c>
      <c r="C118" s="171" t="s">
        <v>60</v>
      </c>
      <c r="D118" s="67">
        <v>5446762576.6703243</v>
      </c>
      <c r="E118" s="62">
        <f t="shared" si="66"/>
        <v>2.8437316547971726E-3</v>
      </c>
      <c r="F118" s="67">
        <v>143657.78</v>
      </c>
      <c r="G118" s="67">
        <v>143657.78</v>
      </c>
      <c r="H118" s="63">
        <v>93</v>
      </c>
      <c r="I118" s="85">
        <v>0.73488100000000001</v>
      </c>
      <c r="J118" s="85">
        <v>0.80686199999999997</v>
      </c>
      <c r="K118" s="67">
        <f>3767202.04*W136</f>
        <v>5433928629.0390368</v>
      </c>
      <c r="L118" s="62">
        <f t="shared" si="67"/>
        <v>2.8444200992600206E-3</v>
      </c>
      <c r="M118" s="67">
        <f>100*W136</f>
        <v>144243.09</v>
      </c>
      <c r="N118" s="67">
        <f>100*W136</f>
        <v>144243.09</v>
      </c>
      <c r="O118" s="63">
        <v>93</v>
      </c>
      <c r="P118" s="85">
        <v>-0.72834699999999997</v>
      </c>
      <c r="Q118" s="85">
        <v>7.8515000000000001E-2</v>
      </c>
      <c r="R118" s="91">
        <f>((K118-D118)/D118)</f>
        <v>-2.3562524436549115E-3</v>
      </c>
      <c r="S118" s="91">
        <f>((N118-G118)/G118)</f>
        <v>4.0743355493868668E-3</v>
      </c>
      <c r="T118" s="91">
        <f>((O118-H118)/H118)</f>
        <v>0</v>
      </c>
      <c r="U118" s="91">
        <f>P118-I118</f>
        <v>-1.463228</v>
      </c>
      <c r="V118" s="92">
        <f>Q118-J118</f>
        <v>-0.72834699999999997</v>
      </c>
      <c r="X118" s="100"/>
      <c r="Y118" s="103"/>
      <c r="Z118" s="100"/>
      <c r="AA118" s="104"/>
    </row>
    <row r="119" spans="1:28">
      <c r="A119" s="169">
        <v>104</v>
      </c>
      <c r="B119" s="172" t="s">
        <v>179</v>
      </c>
      <c r="C119" s="171" t="s">
        <v>24</v>
      </c>
      <c r="D119" s="67">
        <v>16843552380.039015</v>
      </c>
      <c r="E119" s="62">
        <f t="shared" si="66"/>
        <v>8.7939473050488992E-3</v>
      </c>
      <c r="F119" s="67">
        <v>1740.1266891400001</v>
      </c>
      <c r="G119" s="67">
        <v>1740.1266891400001</v>
      </c>
      <c r="H119" s="63">
        <v>324</v>
      </c>
      <c r="I119" s="85">
        <v>1.72E-2</v>
      </c>
      <c r="J119" s="85">
        <v>7.7899999999999997E-2</v>
      </c>
      <c r="K119" s="67">
        <f>11721886.48*W136</f>
        <v>16908011265.044233</v>
      </c>
      <c r="L119" s="62">
        <f t="shared" si="67"/>
        <v>8.8505923364164164E-3</v>
      </c>
      <c r="M119" s="67">
        <f>1.2144*W136</f>
        <v>1751.68808496</v>
      </c>
      <c r="N119" s="67">
        <f>1.2144*W136</f>
        <v>1751.68808496</v>
      </c>
      <c r="O119" s="63">
        <v>324</v>
      </c>
      <c r="P119" s="85">
        <v>0.13339999999999999</v>
      </c>
      <c r="Q119" s="85">
        <v>7.9299999999999995E-2</v>
      </c>
      <c r="R119" s="91">
        <f t="shared" ref="R119:R131" si="68">((K119-D119)/D119)</f>
        <v>3.8269174786197445E-3</v>
      </c>
      <c r="S119" s="91">
        <f t="shared" ref="S119:S131" si="69">((N119-G119)/G119)</f>
        <v>6.6439966079215491E-3</v>
      </c>
      <c r="T119" s="91">
        <f t="shared" ref="T119:T131" si="70">((O119-H119)/H119)</f>
        <v>0</v>
      </c>
      <c r="U119" s="91">
        <f t="shared" ref="U119:U131" si="71">P119-I119</f>
        <v>0.1162</v>
      </c>
      <c r="V119" s="92">
        <f t="shared" ref="V119:V131" si="72">Q119-J119</f>
        <v>1.3999999999999985E-3</v>
      </c>
    </row>
    <row r="120" spans="1:28">
      <c r="A120" s="169">
        <v>105</v>
      </c>
      <c r="B120" s="172" t="s">
        <v>180</v>
      </c>
      <c r="C120" s="171" t="s">
        <v>24</v>
      </c>
      <c r="D120" s="67">
        <v>4060107334.8954577</v>
      </c>
      <c r="E120" s="62">
        <f t="shared" si="66"/>
        <v>2.1197648305013007E-3</v>
      </c>
      <c r="F120" s="67">
        <v>1497.20138316</v>
      </c>
      <c r="G120" s="67">
        <v>1497.20138316</v>
      </c>
      <c r="H120" s="63">
        <v>97</v>
      </c>
      <c r="I120" s="85">
        <v>0.03</v>
      </c>
      <c r="J120" s="85">
        <v>4.9500000000000002E-2</v>
      </c>
      <c r="K120" s="67">
        <f>2848054.08*W136</f>
        <v>4108121209.8630724</v>
      </c>
      <c r="L120" s="62">
        <f t="shared" si="67"/>
        <v>2.1504188474402892E-3</v>
      </c>
      <c r="M120" s="67">
        <f>1.0429*W136</f>
        <v>1504.3111856099999</v>
      </c>
      <c r="N120" s="67">
        <f>1.0429*W136</f>
        <v>1504.3111856099999</v>
      </c>
      <c r="O120" s="63">
        <v>97</v>
      </c>
      <c r="P120" s="85">
        <v>3.5000000000000003E-2</v>
      </c>
      <c r="Q120" s="85">
        <v>4.9200000000000001E-2</v>
      </c>
      <c r="R120" s="91">
        <f t="shared" si="68"/>
        <v>1.1825764938515091E-2</v>
      </c>
      <c r="S120" s="91">
        <f t="shared" ref="S120" si="73">((N120-G120)/G120)</f>
        <v>4.7487282138318496E-3</v>
      </c>
      <c r="T120" s="91">
        <f t="shared" ref="T120" si="74">((O120-H120)/H120)</f>
        <v>0</v>
      </c>
      <c r="U120" s="91">
        <f t="shared" ref="U120" si="75">P120-I120</f>
        <v>5.0000000000000044E-3</v>
      </c>
      <c r="V120" s="92">
        <f t="shared" ref="V120" si="76">Q120-J120</f>
        <v>-3.0000000000000165E-4</v>
      </c>
    </row>
    <row r="121" spans="1:28">
      <c r="A121" s="169">
        <v>106</v>
      </c>
      <c r="B121" s="172" t="s">
        <v>181</v>
      </c>
      <c r="C121" s="171" t="s">
        <v>28</v>
      </c>
      <c r="D121" s="67">
        <v>37946224478.639091</v>
      </c>
      <c r="E121" s="62">
        <f t="shared" si="66"/>
        <v>1.9811562962583067E-2</v>
      </c>
      <c r="F121" s="67">
        <v>1576.2131621599999</v>
      </c>
      <c r="G121" s="67">
        <v>1576.2131621599999</v>
      </c>
      <c r="H121" s="63">
        <v>585</v>
      </c>
      <c r="I121" s="85">
        <v>1.6000000000000001E-3</v>
      </c>
      <c r="J121" s="85">
        <v>8.5699999999999998E-2</v>
      </c>
      <c r="K121" s="67">
        <f>26459535.67*W136</f>
        <v>38166051850.060204</v>
      </c>
      <c r="L121" s="62">
        <f t="shared" si="67"/>
        <v>1.9978231663103328E-2</v>
      </c>
      <c r="M121" s="67">
        <f>1.099*W136</f>
        <v>1585.2315591000001</v>
      </c>
      <c r="N121" s="67">
        <f>1.099*W136</f>
        <v>1585.2315591000001</v>
      </c>
      <c r="O121" s="63">
        <v>588</v>
      </c>
      <c r="P121" s="85">
        <v>1.6000000000000001E-3</v>
      </c>
      <c r="Q121" s="85">
        <v>8.7300000000000003E-2</v>
      </c>
      <c r="R121" s="91">
        <f t="shared" si="68"/>
        <v>5.793128946065729E-3</v>
      </c>
      <c r="S121" s="91">
        <f t="shared" ref="S121:T124" si="77">((N121-G121)/G121)</f>
        <v>5.721559213248583E-3</v>
      </c>
      <c r="T121" s="91">
        <f t="shared" si="77"/>
        <v>5.1282051282051282E-3</v>
      </c>
      <c r="U121" s="91">
        <f t="shared" si="71"/>
        <v>0</v>
      </c>
      <c r="V121" s="92">
        <f t="shared" si="72"/>
        <v>1.6000000000000042E-3</v>
      </c>
    </row>
    <row r="122" spans="1:28">
      <c r="A122" s="169">
        <v>107</v>
      </c>
      <c r="B122" s="172" t="s">
        <v>182</v>
      </c>
      <c r="C122" s="171" t="s">
        <v>69</v>
      </c>
      <c r="D122" s="67">
        <v>1334883319.4846799</v>
      </c>
      <c r="E122" s="62">
        <f t="shared" si="66"/>
        <v>6.9693692310706257E-4</v>
      </c>
      <c r="F122" s="67">
        <v>1598.76743362</v>
      </c>
      <c r="G122" s="67">
        <v>1608.9671360000002</v>
      </c>
      <c r="H122" s="63">
        <v>61</v>
      </c>
      <c r="I122" s="85">
        <v>8.3000000000000001E-4</v>
      </c>
      <c r="J122" s="85">
        <v>0.12720000000000001</v>
      </c>
      <c r="K122" s="67">
        <f>942525.87*W136</f>
        <v>1359528438.9373829</v>
      </c>
      <c r="L122" s="62">
        <f t="shared" si="67"/>
        <v>7.1165270676603709E-4</v>
      </c>
      <c r="M122" s="67">
        <f>1.117*W136</f>
        <v>1611.1953153000002</v>
      </c>
      <c r="N122" s="67">
        <f>1.12*W136</f>
        <v>1615.5226080000002</v>
      </c>
      <c r="O122" s="63">
        <v>62</v>
      </c>
      <c r="P122" s="85">
        <v>3.5300000000000002E-3</v>
      </c>
      <c r="Q122" s="85">
        <v>0.12870000000000001</v>
      </c>
      <c r="R122" s="91">
        <f t="shared" si="68"/>
        <v>1.846237726771283E-2</v>
      </c>
      <c r="S122" s="91">
        <f t="shared" si="77"/>
        <v>4.0743355493868885E-3</v>
      </c>
      <c r="T122" s="91">
        <f t="shared" si="77"/>
        <v>1.6393442622950821E-2</v>
      </c>
      <c r="U122" s="91">
        <f t="shared" si="71"/>
        <v>2.7000000000000001E-3</v>
      </c>
      <c r="V122" s="92">
        <f t="shared" si="72"/>
        <v>1.5000000000000013E-3</v>
      </c>
    </row>
    <row r="123" spans="1:28">
      <c r="A123" s="169">
        <v>108</v>
      </c>
      <c r="B123" s="172" t="s">
        <v>183</v>
      </c>
      <c r="C123" s="171" t="s">
        <v>30</v>
      </c>
      <c r="D123" s="67">
        <v>1148793297.908746</v>
      </c>
      <c r="E123" s="62">
        <v>0</v>
      </c>
      <c r="F123" s="67">
        <v>2041.3770538000001</v>
      </c>
      <c r="G123" s="67">
        <v>2041.3770538000001</v>
      </c>
      <c r="H123" s="63">
        <v>67</v>
      </c>
      <c r="I123" s="85">
        <v>4.2200000000000001E-4</v>
      </c>
      <c r="J123" s="85">
        <v>0.158</v>
      </c>
      <c r="K123" s="67">
        <f>801392.78*W136</f>
        <v>1155953708.9089022</v>
      </c>
      <c r="L123" s="62">
        <f t="shared" si="67"/>
        <v>6.0509038448966859E-4</v>
      </c>
      <c r="M123" s="67">
        <f>1.425*W136</f>
        <v>2055.4640325</v>
      </c>
      <c r="N123" s="67">
        <f>1.425*W136</f>
        <v>2055.4640325</v>
      </c>
      <c r="O123" s="63">
        <v>67</v>
      </c>
      <c r="P123" s="85">
        <v>4.2099999999999999E-4</v>
      </c>
      <c r="Q123" s="85">
        <v>0.15870000000000001</v>
      </c>
      <c r="R123" s="91">
        <f t="shared" si="68"/>
        <v>6.2329846571971808E-3</v>
      </c>
      <c r="S123" s="91">
        <f t="shared" si="77"/>
        <v>6.9007235453034839E-3</v>
      </c>
      <c r="T123" s="91">
        <f t="shared" si="77"/>
        <v>0</v>
      </c>
      <c r="U123" s="91">
        <f t="shared" si="71"/>
        <v>-1.0000000000000243E-6</v>
      </c>
      <c r="V123" s="92">
        <f t="shared" si="72"/>
        <v>7.0000000000000617E-4</v>
      </c>
    </row>
    <row r="124" spans="1:28">
      <c r="A124" s="169">
        <v>109</v>
      </c>
      <c r="B124" s="172" t="s">
        <v>184</v>
      </c>
      <c r="C124" s="171" t="s">
        <v>79</v>
      </c>
      <c r="D124" s="67">
        <v>2095593887.848006</v>
      </c>
      <c r="E124" s="62">
        <f t="shared" ref="E124:E133" si="78">(D124/$D$155)</f>
        <v>1.0941006865248478E-3</v>
      </c>
      <c r="F124" s="67">
        <v>156730.63798</v>
      </c>
      <c r="G124" s="67">
        <v>157204.70865400002</v>
      </c>
      <c r="H124" s="63">
        <v>86</v>
      </c>
      <c r="I124" s="85">
        <v>1.2999999999999999E-3</v>
      </c>
      <c r="J124" s="85">
        <v>5.3800000000000001E-2</v>
      </c>
      <c r="K124" s="67">
        <f>1454203.21*W136</f>
        <v>2097587644.9831891</v>
      </c>
      <c r="L124" s="62">
        <f t="shared" si="67"/>
        <v>1.0979938944109407E-3</v>
      </c>
      <c r="M124" s="67">
        <f>109.19*W136</f>
        <v>157499.02997100001</v>
      </c>
      <c r="N124" s="67">
        <f>109.56*W136</f>
        <v>158032.72940400001</v>
      </c>
      <c r="O124" s="63">
        <v>86</v>
      </c>
      <c r="P124" s="85">
        <v>1E-3</v>
      </c>
      <c r="Q124" s="85">
        <v>5.4800000000000001E-2</v>
      </c>
      <c r="R124" s="91">
        <f t="shared" si="68"/>
        <v>9.514043473521067E-4</v>
      </c>
      <c r="S124" s="91">
        <f t="shared" si="77"/>
        <v>5.2671498016158653E-3</v>
      </c>
      <c r="T124" s="91">
        <f t="shared" si="77"/>
        <v>0</v>
      </c>
      <c r="U124" s="91">
        <f t="shared" si="71"/>
        <v>-2.9999999999999992E-4</v>
      </c>
      <c r="V124" s="92">
        <f t="shared" si="72"/>
        <v>1.0000000000000009E-3</v>
      </c>
    </row>
    <row r="125" spans="1:28">
      <c r="A125" s="169">
        <v>110</v>
      </c>
      <c r="B125" s="172" t="s">
        <v>185</v>
      </c>
      <c r="C125" s="171" t="s">
        <v>82</v>
      </c>
      <c r="D125" s="67">
        <v>4789426268.0299997</v>
      </c>
      <c r="E125" s="62">
        <f t="shared" si="78"/>
        <v>2.5005391542217694E-3</v>
      </c>
      <c r="F125" s="67">
        <v>166832.91</v>
      </c>
      <c r="G125" s="67">
        <v>166832.91</v>
      </c>
      <c r="H125" s="63">
        <v>61</v>
      </c>
      <c r="I125" s="85">
        <v>8.9999999999999993E-3</v>
      </c>
      <c r="J125" s="85">
        <v>9.3399999999999997E-2</v>
      </c>
      <c r="K125" s="67">
        <v>4820496593.7600002</v>
      </c>
      <c r="L125" s="62">
        <f t="shared" si="67"/>
        <v>2.5233156958357449E-3</v>
      </c>
      <c r="M125" s="67">
        <v>167621.76999999999</v>
      </c>
      <c r="N125" s="67">
        <v>167621.76999999999</v>
      </c>
      <c r="O125" s="63">
        <v>61</v>
      </c>
      <c r="P125" s="85">
        <v>8.9999999999999993E-3</v>
      </c>
      <c r="Q125" s="85">
        <v>9.2399999999999996E-2</v>
      </c>
      <c r="R125" s="91">
        <f t="shared" si="68"/>
        <v>6.4872750912564796E-3</v>
      </c>
      <c r="S125" s="91">
        <f t="shared" si="69"/>
        <v>4.7284435666798954E-3</v>
      </c>
      <c r="T125" s="91">
        <f t="shared" si="70"/>
        <v>0</v>
      </c>
      <c r="U125" s="91">
        <f t="shared" si="71"/>
        <v>0</v>
      </c>
      <c r="V125" s="92">
        <f t="shared" si="72"/>
        <v>-1.0000000000000009E-3</v>
      </c>
      <c r="X125" s="101"/>
    </row>
    <row r="126" spans="1:28">
      <c r="A126" s="169">
        <v>111</v>
      </c>
      <c r="B126" s="172" t="s">
        <v>186</v>
      </c>
      <c r="C126" s="171" t="s">
        <v>32</v>
      </c>
      <c r="D126" s="67">
        <v>56967811062.103592</v>
      </c>
      <c r="E126" s="62">
        <f t="shared" si="78"/>
        <v>2.9742652693490801E-2</v>
      </c>
      <c r="F126" s="67">
        <v>181770.18903400001</v>
      </c>
      <c r="G126" s="67">
        <v>181770.18903400001</v>
      </c>
      <c r="H126" s="63">
        <v>2514</v>
      </c>
      <c r="I126" s="85">
        <v>1.1999999999999999E-3</v>
      </c>
      <c r="J126" s="85">
        <v>6.9800000000000001E-2</v>
      </c>
      <c r="K126" s="67">
        <f>39807496.37*W136</f>
        <v>57419562815.72583</v>
      </c>
      <c r="L126" s="62">
        <f t="shared" si="67"/>
        <v>3.005658883537032E-2</v>
      </c>
      <c r="M126" s="67">
        <f>126.7*W136</f>
        <v>182755.99503000002</v>
      </c>
      <c r="N126" s="67">
        <f>126.7*W136</f>
        <v>182755.99503000002</v>
      </c>
      <c r="O126" s="63">
        <v>2519</v>
      </c>
      <c r="P126" s="85">
        <v>1.2999999999999999E-3</v>
      </c>
      <c r="Q126" s="85">
        <v>7.1099999999999997E-2</v>
      </c>
      <c r="R126" s="91">
        <f t="shared" si="68"/>
        <v>7.9299475475678709E-3</v>
      </c>
      <c r="S126" s="91">
        <f t="shared" si="69"/>
        <v>5.4233645309991708E-3</v>
      </c>
      <c r="T126" s="91">
        <f t="shared" si="70"/>
        <v>1.988862370723946E-3</v>
      </c>
      <c r="U126" s="91">
        <f t="shared" si="71"/>
        <v>1.0000000000000005E-4</v>
      </c>
      <c r="V126" s="92">
        <f t="shared" si="72"/>
        <v>1.2999999999999956E-3</v>
      </c>
    </row>
    <row r="127" spans="1:28">
      <c r="A127" s="169">
        <v>112</v>
      </c>
      <c r="B127" s="175" t="s">
        <v>187</v>
      </c>
      <c r="C127" s="175" t="s">
        <v>32</v>
      </c>
      <c r="D127" s="67">
        <v>167118534422.15338</v>
      </c>
      <c r="E127" s="62">
        <f t="shared" si="78"/>
        <v>8.7251878478262754E-2</v>
      </c>
      <c r="F127" s="67">
        <v>176655.97206599999</v>
      </c>
      <c r="G127" s="67">
        <v>176655.97206599999</v>
      </c>
      <c r="H127" s="63">
        <v>977</v>
      </c>
      <c r="I127" s="85">
        <v>1.1999999999999999E-3</v>
      </c>
      <c r="J127" s="85">
        <v>7.4200000000000002E-2</v>
      </c>
      <c r="K127" s="67">
        <f>115730343*W136</f>
        <v>166933022810.79871</v>
      </c>
      <c r="L127" s="62">
        <f t="shared" si="67"/>
        <v>8.7382017271220261E-2</v>
      </c>
      <c r="M127" s="67">
        <f>123.29*W136</f>
        <v>177837.30566100002</v>
      </c>
      <c r="N127" s="67">
        <f>123.29*W136</f>
        <v>177837.30566100002</v>
      </c>
      <c r="O127" s="63">
        <v>976</v>
      </c>
      <c r="P127" s="85">
        <v>2.5999999999999999E-3</v>
      </c>
      <c r="Q127" s="85">
        <v>7.6899999999999996E-2</v>
      </c>
      <c r="R127" s="91">
        <f t="shared" si="68"/>
        <v>-1.1100600660251105E-3</v>
      </c>
      <c r="S127" s="91">
        <f t="shared" si="69"/>
        <v>6.687198746718157E-3</v>
      </c>
      <c r="T127" s="91">
        <f t="shared" si="70"/>
        <v>-1.0235414534288639E-3</v>
      </c>
      <c r="U127" s="91">
        <f t="shared" si="71"/>
        <v>1.4E-3</v>
      </c>
      <c r="V127" s="92">
        <f t="shared" si="72"/>
        <v>2.6999999999999941E-3</v>
      </c>
      <c r="X127" s="100"/>
    </row>
    <row r="128" spans="1:28">
      <c r="A128" s="169">
        <v>113</v>
      </c>
      <c r="B128" s="172" t="s">
        <v>188</v>
      </c>
      <c r="C128" s="171" t="s">
        <v>88</v>
      </c>
      <c r="D128" s="67">
        <v>2289042348.2311001</v>
      </c>
      <c r="E128" s="62">
        <f t="shared" si="78"/>
        <v>1.1950993077460932E-3</v>
      </c>
      <c r="F128" s="67">
        <v>1436.5778</v>
      </c>
      <c r="G128" s="67">
        <v>1436.5778</v>
      </c>
      <c r="H128" s="63">
        <v>16</v>
      </c>
      <c r="I128" s="85">
        <v>8.48E-2</v>
      </c>
      <c r="J128" s="85">
        <v>8.6599999999999996E-2</v>
      </c>
      <c r="K128" s="67">
        <f>1595882.37*W136</f>
        <v>2301950043.2532334</v>
      </c>
      <c r="L128" s="62">
        <f t="shared" si="67"/>
        <v>1.2049685259999268E-3</v>
      </c>
      <c r="M128" s="67">
        <f>1*W136</f>
        <v>1442.4309000000001</v>
      </c>
      <c r="N128" s="67">
        <f>1*W136</f>
        <v>1442.4309000000001</v>
      </c>
      <c r="O128" s="63">
        <v>16</v>
      </c>
      <c r="P128" s="85">
        <v>8.48E-2</v>
      </c>
      <c r="Q128" s="85">
        <v>8.6599999999999996E-2</v>
      </c>
      <c r="R128" s="91">
        <f t="shared" ref="R128" si="79">((K128-D128)/D128)</f>
        <v>5.6389061705686711E-3</v>
      </c>
      <c r="S128" s="91">
        <f t="shared" ref="S128" si="80">((N128-G128)/G128)</f>
        <v>4.0743355493869111E-3</v>
      </c>
      <c r="T128" s="91">
        <f t="shared" si="70"/>
        <v>0</v>
      </c>
      <c r="U128" s="91">
        <f t="shared" si="71"/>
        <v>0</v>
      </c>
      <c r="V128" s="92">
        <f t="shared" si="72"/>
        <v>0</v>
      </c>
    </row>
    <row r="129" spans="1:24">
      <c r="A129" s="169">
        <v>114</v>
      </c>
      <c r="B129" s="172" t="s">
        <v>189</v>
      </c>
      <c r="C129" s="171" t="s">
        <v>36</v>
      </c>
      <c r="D129" s="67">
        <v>208342080.164148</v>
      </c>
      <c r="E129" s="62">
        <f t="shared" si="78"/>
        <v>1.0877451698128939E-4</v>
      </c>
      <c r="F129" s="67">
        <v>191840.59941199998</v>
      </c>
      <c r="G129" s="67">
        <v>191840.59941199998</v>
      </c>
      <c r="H129" s="63">
        <v>9</v>
      </c>
      <c r="I129" s="85">
        <v>2.2000000000000001E-3</v>
      </c>
      <c r="J129" s="85">
        <v>0.17780000000000001</v>
      </c>
      <c r="K129" s="67">
        <f>145382.14*W136</f>
        <v>209703691.04412603</v>
      </c>
      <c r="L129" s="62">
        <f t="shared" si="67"/>
        <v>1.0977056093583827E-4</v>
      </c>
      <c r="M129" s="67">
        <f>133.8671*W136</f>
        <v>193094.04153339</v>
      </c>
      <c r="N129" s="67">
        <f>133.8671*W136</f>
        <v>193094.04153339</v>
      </c>
      <c r="O129" s="63">
        <v>9</v>
      </c>
      <c r="P129" s="85">
        <v>2.5000000000000001E-3</v>
      </c>
      <c r="Q129" s="85">
        <v>0.1807</v>
      </c>
      <c r="R129" s="91">
        <f t="shared" si="68"/>
        <v>6.5354578340834869E-3</v>
      </c>
      <c r="S129" s="91">
        <f t="shared" si="69"/>
        <v>6.5337687915481739E-3</v>
      </c>
      <c r="T129" s="91">
        <f t="shared" si="70"/>
        <v>0</v>
      </c>
      <c r="U129" s="91">
        <f t="shared" si="71"/>
        <v>2.9999999999999992E-4</v>
      </c>
      <c r="V129" s="92">
        <f t="shared" si="72"/>
        <v>2.8999999999999859E-3</v>
      </c>
    </row>
    <row r="130" spans="1:24">
      <c r="A130" s="169">
        <v>115</v>
      </c>
      <c r="B130" s="172" t="s">
        <v>190</v>
      </c>
      <c r="C130" s="171" t="s">
        <v>42</v>
      </c>
      <c r="D130" s="67">
        <v>15034888086.833481</v>
      </c>
      <c r="E130" s="62">
        <f t="shared" si="78"/>
        <v>7.8496513437158223E-3</v>
      </c>
      <c r="F130" s="67">
        <v>2083.0378099999998</v>
      </c>
      <c r="G130" s="67">
        <v>2083.0378099999998</v>
      </c>
      <c r="H130" s="81">
        <v>113</v>
      </c>
      <c r="I130" s="88">
        <v>-8.0000000000000004E-4</v>
      </c>
      <c r="J130" s="88">
        <v>5.1900000000000002E-2</v>
      </c>
      <c r="K130" s="67">
        <f>10313846.87*W136</f>
        <v>14877011423.156282</v>
      </c>
      <c r="L130" s="62">
        <f t="shared" si="67"/>
        <v>7.7874541970990351E-3</v>
      </c>
      <c r="M130" s="67">
        <f>1.45*W136</f>
        <v>2091.524805</v>
      </c>
      <c r="N130" s="67">
        <f>1.45*W136</f>
        <v>2091.524805</v>
      </c>
      <c r="O130" s="81">
        <v>111</v>
      </c>
      <c r="P130" s="88">
        <v>2.2000000000000001E-3</v>
      </c>
      <c r="Q130" s="88">
        <v>5.3900000000000003E-2</v>
      </c>
      <c r="R130" s="91">
        <f t="shared" si="68"/>
        <v>-1.0500687651639782E-2</v>
      </c>
      <c r="S130" s="91">
        <f t="shared" si="69"/>
        <v>4.0743355493869822E-3</v>
      </c>
      <c r="T130" s="91">
        <f t="shared" si="70"/>
        <v>-1.7699115044247787E-2</v>
      </c>
      <c r="U130" s="91">
        <f t="shared" si="71"/>
        <v>3.0000000000000001E-3</v>
      </c>
      <c r="V130" s="92">
        <f t="shared" si="72"/>
        <v>2.0000000000000018E-3</v>
      </c>
    </row>
    <row r="131" spans="1:24">
      <c r="A131" s="169">
        <v>116</v>
      </c>
      <c r="B131" s="172" t="s">
        <v>191</v>
      </c>
      <c r="C131" s="171" t="s">
        <v>104</v>
      </c>
      <c r="D131" s="67">
        <v>33510956963.042999</v>
      </c>
      <c r="E131" s="62">
        <f t="shared" si="78"/>
        <v>1.7495928591880511E-2</v>
      </c>
      <c r="F131" s="67">
        <v>149705.77253799999</v>
      </c>
      <c r="G131" s="67">
        <v>149705.77253799999</v>
      </c>
      <c r="H131" s="63">
        <v>810</v>
      </c>
      <c r="I131" s="88">
        <v>5.9999999999999995E-4</v>
      </c>
      <c r="J131" s="85">
        <v>9.1300000000000006E-2</v>
      </c>
      <c r="K131" s="67">
        <f>24303509*W136</f>
        <v>35056132360.028099</v>
      </c>
      <c r="L131" s="62">
        <f t="shared" si="67"/>
        <v>1.8350327045943835E-2</v>
      </c>
      <c r="M131" s="67">
        <f>104.55*W136</f>
        <v>150806.15059500001</v>
      </c>
      <c r="N131" s="67">
        <f>104.55*W136</f>
        <v>150806.15059500001</v>
      </c>
      <c r="O131" s="63">
        <v>816</v>
      </c>
      <c r="P131" s="88">
        <v>3.2000000000000002E-3</v>
      </c>
      <c r="Q131" s="85">
        <v>9.3100000000000002E-2</v>
      </c>
      <c r="R131" s="91">
        <f t="shared" si="68"/>
        <v>4.6109557500526491E-2</v>
      </c>
      <c r="S131" s="91">
        <f t="shared" si="69"/>
        <v>7.3502713913099994E-3</v>
      </c>
      <c r="T131" s="91">
        <f t="shared" si="70"/>
        <v>7.4074074074074077E-3</v>
      </c>
      <c r="U131" s="91">
        <f t="shared" si="71"/>
        <v>2.6000000000000003E-3</v>
      </c>
      <c r="V131" s="92">
        <f t="shared" si="72"/>
        <v>1.799999999999996E-3</v>
      </c>
    </row>
    <row r="132" spans="1:24">
      <c r="A132" s="169">
        <v>117</v>
      </c>
      <c r="B132" s="172" t="s">
        <v>192</v>
      </c>
      <c r="C132" s="171" t="s">
        <v>46</v>
      </c>
      <c r="D132" s="67">
        <v>2735166857.6801381</v>
      </c>
      <c r="E132" s="62">
        <f t="shared" si="78"/>
        <v>1.4280190231996421E-3</v>
      </c>
      <c r="F132" s="67">
        <v>218848.26205200001</v>
      </c>
      <c r="G132" s="67">
        <v>227252.24218199999</v>
      </c>
      <c r="H132" s="63">
        <v>50</v>
      </c>
      <c r="I132" s="85">
        <v>3.5000000000000001E-3</v>
      </c>
      <c r="J132" s="85">
        <v>0.1133</v>
      </c>
      <c r="K132" s="67">
        <f>1912189.58*W136</f>
        <v>2758201336.8500223</v>
      </c>
      <c r="L132" s="62">
        <f t="shared" si="67"/>
        <v>1.4437957978350364E-3</v>
      </c>
      <c r="M132" s="67">
        <f>153*W136</f>
        <v>220691.9277</v>
      </c>
      <c r="N132" s="67">
        <f>158.89*W136</f>
        <v>229187.84570099998</v>
      </c>
      <c r="O132" s="63">
        <v>50</v>
      </c>
      <c r="P132" s="85">
        <v>1.9E-3</v>
      </c>
      <c r="Q132" s="85">
        <v>0.1181</v>
      </c>
      <c r="R132" s="91">
        <f t="shared" ref="R132:R133" si="81">((K132-D132)/D132)</f>
        <v>8.4215992546140869E-3</v>
      </c>
      <c r="S132" s="91">
        <f t="shared" ref="S132:S133" si="82">((N132-G132)/G132)</f>
        <v>8.5174231964225272E-3</v>
      </c>
      <c r="T132" s="91">
        <f t="shared" ref="T132:T133" si="83">((O132-H132)/H132)</f>
        <v>0</v>
      </c>
      <c r="U132" s="91">
        <f t="shared" ref="U132:U133" si="84">P132-I132</f>
        <v>-1.6000000000000001E-3</v>
      </c>
      <c r="V132" s="92">
        <f t="shared" ref="V132:V133" si="85">Q132-J132</f>
        <v>4.7999999999999987E-3</v>
      </c>
    </row>
    <row r="133" spans="1:24">
      <c r="A133" s="169">
        <v>118</v>
      </c>
      <c r="B133" s="172" t="s">
        <v>193</v>
      </c>
      <c r="C133" s="171" t="s">
        <v>53</v>
      </c>
      <c r="D133" s="61">
        <v>165835795663.62479</v>
      </c>
      <c r="E133" s="62">
        <f t="shared" si="78"/>
        <v>8.6582166009412515E-2</v>
      </c>
      <c r="F133" s="67">
        <v>177823.38492800001</v>
      </c>
      <c r="G133" s="67">
        <v>177823.38492800001</v>
      </c>
      <c r="H133" s="63">
        <v>4053</v>
      </c>
      <c r="I133" s="85">
        <v>2.6100000000000002E-2</v>
      </c>
      <c r="J133" s="85">
        <v>7.9500000000000001E-2</v>
      </c>
      <c r="K133" s="61">
        <f>115569897.59*1444.69</f>
        <v>166962675349.29712</v>
      </c>
      <c r="L133" s="62">
        <f t="shared" si="67"/>
        <v>8.7397539057069318E-2</v>
      </c>
      <c r="M133" s="67">
        <f>123.8886*1444.69</f>
        <v>178980.62153400001</v>
      </c>
      <c r="N133" s="67">
        <f>123.8886*1444.69</f>
        <v>178980.62153400001</v>
      </c>
      <c r="O133" s="63">
        <v>4064</v>
      </c>
      <c r="P133" s="85">
        <v>5.9799999999999999E-2</v>
      </c>
      <c r="Q133" s="85">
        <v>8.0299999999999996E-2</v>
      </c>
      <c r="R133" s="91">
        <f t="shared" si="81"/>
        <v>6.7951534900104072E-3</v>
      </c>
      <c r="S133" s="91">
        <f t="shared" si="82"/>
        <v>6.507786399795234E-3</v>
      </c>
      <c r="T133" s="91">
        <f t="shared" si="83"/>
        <v>2.7140389834690352E-3</v>
      </c>
      <c r="U133" s="91">
        <f t="shared" si="84"/>
        <v>3.3699999999999994E-2</v>
      </c>
      <c r="V133" s="92">
        <f t="shared" si="85"/>
        <v>7.9999999999999516E-4</v>
      </c>
    </row>
    <row r="134" spans="1:24" ht="6" customHeight="1">
      <c r="A134" s="105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</row>
    <row r="135" spans="1:24">
      <c r="A135" s="184" t="s">
        <v>194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</row>
    <row r="136" spans="1:24">
      <c r="A136" s="169">
        <v>119</v>
      </c>
      <c r="B136" s="172" t="s">
        <v>195</v>
      </c>
      <c r="C136" s="171" t="s">
        <v>64</v>
      </c>
      <c r="D136" s="61">
        <v>1472568714.036294</v>
      </c>
      <c r="E136" s="62">
        <f>(D136/$D$155)</f>
        <v>7.6882188401332927E-4</v>
      </c>
      <c r="F136" s="67">
        <v>165436.29944800001</v>
      </c>
      <c r="G136" s="67">
        <v>165436.29944800001</v>
      </c>
      <c r="H136" s="63">
        <v>23</v>
      </c>
      <c r="I136" s="85">
        <v>-9.5999999999999992E-3</v>
      </c>
      <c r="J136" s="85">
        <v>0.1298</v>
      </c>
      <c r="K136" s="61">
        <f>1057731.15*W136</f>
        <v>1525704094.652535</v>
      </c>
      <c r="L136" s="62">
        <f t="shared" ref="L136:L154" si="86">(K136/$K$155)</f>
        <v>7.9863827602764178E-4</v>
      </c>
      <c r="M136" s="67">
        <f>118.37*W136</f>
        <v>170740.545633</v>
      </c>
      <c r="N136" s="67">
        <f>118.37*W136</f>
        <v>170740.545633</v>
      </c>
      <c r="O136" s="63">
        <v>23</v>
      </c>
      <c r="P136" s="85">
        <v>2.75E-2</v>
      </c>
      <c r="Q136" s="85">
        <v>0.16120000000000001</v>
      </c>
      <c r="R136" s="91">
        <f>((K136-D136)/D136)</f>
        <v>3.608346429593598E-2</v>
      </c>
      <c r="S136" s="91">
        <f>((N136-G136)/G136)</f>
        <v>3.2062166542036495E-2</v>
      </c>
      <c r="T136" s="91">
        <f>((O136-H136)/H136)</f>
        <v>0</v>
      </c>
      <c r="U136" s="91">
        <f>P136-I136</f>
        <v>3.7100000000000001E-2</v>
      </c>
      <c r="V136" s="92">
        <f>Q136-J136</f>
        <v>3.1400000000000011E-2</v>
      </c>
      <c r="W136" s="112">
        <v>1442.4309000000001</v>
      </c>
    </row>
    <row r="137" spans="1:24">
      <c r="A137" s="169">
        <v>120</v>
      </c>
      <c r="B137" s="171" t="s">
        <v>196</v>
      </c>
      <c r="C137" s="171" t="s">
        <v>26</v>
      </c>
      <c r="D137" s="67">
        <v>26042723991.147278</v>
      </c>
      <c r="E137" s="62">
        <f t="shared" ref="E137:E154" si="87">(D137/$D$155)</f>
        <v>1.3596795811879172E-2</v>
      </c>
      <c r="F137" s="61">
        <v>193909.27144399998</v>
      </c>
      <c r="G137" s="61">
        <v>193909.27144399998</v>
      </c>
      <c r="H137" s="63">
        <v>637</v>
      </c>
      <c r="I137" s="85">
        <v>5.0000000000000001E-4</v>
      </c>
      <c r="J137" s="85">
        <v>5.3800000000000001E-2</v>
      </c>
      <c r="K137" s="67">
        <f>17809015.69*W136</f>
        <v>25688274529.840824</v>
      </c>
      <c r="L137" s="62">
        <f t="shared" si="86"/>
        <v>1.34466698729737E-2</v>
      </c>
      <c r="M137" s="61">
        <f>135.1*W136</f>
        <v>194872.41459</v>
      </c>
      <c r="N137" s="61">
        <f>135.1*W136</f>
        <v>194872.41459</v>
      </c>
      <c r="O137" s="63">
        <v>640</v>
      </c>
      <c r="P137" s="85">
        <v>5.0000000000000001E-4</v>
      </c>
      <c r="Q137" s="85">
        <v>5.4699999999999999E-2</v>
      </c>
      <c r="R137" s="91">
        <f t="shared" ref="R137:R155" si="88">((K137-D137)/D137)</f>
        <v>-1.3610306718565307E-2</v>
      </c>
      <c r="S137" s="91">
        <f t="shared" ref="S137:S155" si="89">((N137-G137)/G137)</f>
        <v>4.9669783132477371E-3</v>
      </c>
      <c r="T137" s="91">
        <f t="shared" ref="T137:T155" si="90">((O137-H137)/H137)</f>
        <v>4.7095761381475663E-3</v>
      </c>
      <c r="U137" s="91">
        <f t="shared" ref="U137:U155" si="91">P137-I137</f>
        <v>0</v>
      </c>
      <c r="V137" s="92">
        <f t="shared" ref="V137:V155" si="92">Q137-J137</f>
        <v>8.9999999999999802E-4</v>
      </c>
    </row>
    <row r="138" spans="1:24">
      <c r="A138" s="169">
        <v>121</v>
      </c>
      <c r="B138" s="171" t="s">
        <v>197</v>
      </c>
      <c r="C138" s="171" t="s">
        <v>138</v>
      </c>
      <c r="D138" s="67">
        <v>353536998.41014802</v>
      </c>
      <c r="E138" s="62">
        <f t="shared" si="87"/>
        <v>1.8458016837875603E-4</v>
      </c>
      <c r="F138" s="61">
        <v>143657.78</v>
      </c>
      <c r="G138" s="61">
        <v>143657.78</v>
      </c>
      <c r="H138" s="63">
        <v>13</v>
      </c>
      <c r="I138" s="85">
        <v>8.6E-3</v>
      </c>
      <c r="J138" s="85">
        <v>8.6E-3</v>
      </c>
      <c r="K138" s="67">
        <f>246115.313309329*W136</f>
        <v>355004332.88055742</v>
      </c>
      <c r="L138" s="62">
        <f t="shared" si="86"/>
        <v>1.8582898832597059E-4</v>
      </c>
      <c r="M138" s="61">
        <f>100*W136</f>
        <v>144243.09</v>
      </c>
      <c r="N138" s="61">
        <f>100*W136</f>
        <v>144243.09</v>
      </c>
      <c r="O138" s="63">
        <v>13</v>
      </c>
      <c r="P138" s="85">
        <v>8.6999999999999994E-3</v>
      </c>
      <c r="Q138" s="85">
        <v>8.6999999999999994E-3</v>
      </c>
      <c r="R138" s="91">
        <v>0</v>
      </c>
      <c r="S138" s="91">
        <f t="shared" ref="S138" si="93">((N138-G138)/G138)</f>
        <v>4.0743355493868668E-3</v>
      </c>
      <c r="T138" s="91">
        <f t="shared" ref="T138" si="94">((O138-H138)/H138)</f>
        <v>0</v>
      </c>
      <c r="U138" s="91">
        <f t="shared" ref="U138" si="95">P138-I138</f>
        <v>9.9999999999999395E-5</v>
      </c>
      <c r="V138" s="92">
        <f t="shared" ref="V138" si="96">Q138-J138</f>
        <v>9.9999999999999395E-5</v>
      </c>
    </row>
    <row r="139" spans="1:24">
      <c r="A139" s="169">
        <v>122</v>
      </c>
      <c r="B139" s="172" t="s">
        <v>198</v>
      </c>
      <c r="C139" s="171" t="s">
        <v>73</v>
      </c>
      <c r="D139" s="61">
        <v>16528857419.76</v>
      </c>
      <c r="E139" s="62">
        <f t="shared" si="87"/>
        <v>8.6296464001437249E-3</v>
      </c>
      <c r="F139" s="61">
        <v>169399.08</v>
      </c>
      <c r="G139" s="61">
        <v>169399.08</v>
      </c>
      <c r="H139" s="63">
        <v>444</v>
      </c>
      <c r="I139" s="85">
        <v>1.1999999999999999E-3</v>
      </c>
      <c r="J139" s="85">
        <v>6.4899999999999999E-2</v>
      </c>
      <c r="K139" s="61">
        <v>16180582782.82</v>
      </c>
      <c r="L139" s="62">
        <f t="shared" ref="L139:L140" si="97">(K139/$K$113)</f>
        <v>6.6308511895611391E-2</v>
      </c>
      <c r="M139" s="61">
        <v>169614.93</v>
      </c>
      <c r="N139" s="61">
        <v>169614.93</v>
      </c>
      <c r="O139" s="63">
        <v>443</v>
      </c>
      <c r="P139" s="85">
        <v>1.2999999999999999E-3</v>
      </c>
      <c r="Q139" s="85">
        <v>6.4899999999999999E-2</v>
      </c>
      <c r="R139" s="91">
        <f t="shared" si="88"/>
        <v>-2.1070702474790752E-2</v>
      </c>
      <c r="S139" s="91">
        <f t="shared" si="89"/>
        <v>1.2742099898063546E-3</v>
      </c>
      <c r="T139" s="91">
        <f t="shared" si="90"/>
        <v>-2.2522522522522522E-3</v>
      </c>
      <c r="U139" s="91">
        <f t="shared" si="91"/>
        <v>1.0000000000000005E-4</v>
      </c>
      <c r="V139" s="92">
        <f t="shared" si="92"/>
        <v>0</v>
      </c>
    </row>
    <row r="140" spans="1:24">
      <c r="A140" s="169">
        <v>123</v>
      </c>
      <c r="B140" s="172" t="s">
        <v>199</v>
      </c>
      <c r="C140" s="171" t="s">
        <v>75</v>
      </c>
      <c r="D140" s="67">
        <v>182517281.31889001</v>
      </c>
      <c r="E140" s="62">
        <f t="shared" ref="E140" si="98">(D140/$D$113)</f>
        <v>7.502710326169102E-4</v>
      </c>
      <c r="F140" s="66">
        <v>1441.3185067400002</v>
      </c>
      <c r="G140" s="66">
        <v>1441.3185067400002</v>
      </c>
      <c r="H140" s="63">
        <v>3</v>
      </c>
      <c r="I140" s="85">
        <v>1.2999999999999999E-3</v>
      </c>
      <c r="J140" s="85">
        <v>5.9799999999999999E-2</v>
      </c>
      <c r="K140" s="67">
        <f>127211.54*W136</f>
        <v>183493856.132586</v>
      </c>
      <c r="L140" s="62">
        <f t="shared" si="97"/>
        <v>7.5196330722141316E-4</v>
      </c>
      <c r="M140" s="66">
        <f>1.0046*W136</f>
        <v>1449.0660821399999</v>
      </c>
      <c r="N140" s="66">
        <f>1.0046*W136</f>
        <v>1449.0660821399999</v>
      </c>
      <c r="O140" s="63">
        <v>3</v>
      </c>
      <c r="P140" s="85">
        <v>1.2999999999999999E-3</v>
      </c>
      <c r="Q140" s="85">
        <v>6.1100000000000002E-2</v>
      </c>
      <c r="R140" s="90">
        <f t="shared" si="88"/>
        <v>5.3505882108212423E-3</v>
      </c>
      <c r="S140" s="90">
        <f t="shared" si="89"/>
        <v>5.3753388746276051E-3</v>
      </c>
      <c r="T140" s="90">
        <f t="shared" si="90"/>
        <v>0</v>
      </c>
      <c r="U140" s="91">
        <f t="shared" si="91"/>
        <v>0</v>
      </c>
      <c r="V140" s="92">
        <f t="shared" si="92"/>
        <v>1.3000000000000025E-3</v>
      </c>
    </row>
    <row r="141" spans="1:24">
      <c r="A141" s="169">
        <v>124</v>
      </c>
      <c r="B141" s="172" t="s">
        <v>200</v>
      </c>
      <c r="C141" s="171" t="s">
        <v>71</v>
      </c>
      <c r="D141" s="61">
        <v>10155307641.888201</v>
      </c>
      <c r="E141" s="62">
        <f t="shared" si="87"/>
        <v>5.3020430758513419E-3</v>
      </c>
      <c r="F141" s="61">
        <v>1918.02979150791</v>
      </c>
      <c r="G141" s="61">
        <v>1918.02979150791</v>
      </c>
      <c r="H141" s="63">
        <v>306</v>
      </c>
      <c r="I141" s="85">
        <v>6.1699999999999998E-2</v>
      </c>
      <c r="J141" s="85">
        <v>6.6699999999999995E-2</v>
      </c>
      <c r="K141" s="61">
        <v>10241633358.934299</v>
      </c>
      <c r="L141" s="62">
        <f t="shared" si="86"/>
        <v>5.3610398229607227E-3</v>
      </c>
      <c r="M141" s="61">
        <v>1928.5689500505</v>
      </c>
      <c r="N141" s="61">
        <v>1928.5689500505</v>
      </c>
      <c r="O141" s="63">
        <v>306</v>
      </c>
      <c r="P141" s="85">
        <v>6.7000000000000004E-2</v>
      </c>
      <c r="Q141" s="85">
        <v>6.6799999999999998E-2</v>
      </c>
      <c r="R141" s="91">
        <f t="shared" si="88"/>
        <v>8.5005516415894572E-3</v>
      </c>
      <c r="S141" s="91">
        <f t="shared" si="89"/>
        <v>5.4947835478115232E-3</v>
      </c>
      <c r="T141" s="90">
        <f t="shared" si="90"/>
        <v>0</v>
      </c>
      <c r="U141" s="91">
        <f t="shared" si="91"/>
        <v>5.3000000000000061E-3</v>
      </c>
      <c r="V141" s="92">
        <f t="shared" si="92"/>
        <v>1.0000000000000286E-4</v>
      </c>
    </row>
    <row r="142" spans="1:24">
      <c r="A142" s="169">
        <v>125</v>
      </c>
      <c r="B142" s="172" t="s">
        <v>201</v>
      </c>
      <c r="C142" s="171" t="s">
        <v>94</v>
      </c>
      <c r="D142" s="61">
        <v>484420699.88099205</v>
      </c>
      <c r="E142" s="62">
        <f t="shared" si="87"/>
        <v>2.5291399415700244E-4</v>
      </c>
      <c r="F142" s="61">
        <v>1465.309356</v>
      </c>
      <c r="G142" s="61">
        <v>1465.309356</v>
      </c>
      <c r="H142" s="63">
        <v>9</v>
      </c>
      <c r="I142" s="85">
        <v>1E-4</v>
      </c>
      <c r="J142" s="85">
        <v>2.47E-2</v>
      </c>
      <c r="K142" s="61">
        <f>337330.49*W136</f>
        <v>486575922.28814101</v>
      </c>
      <c r="L142" s="62">
        <f t="shared" si="86"/>
        <v>2.5470086702576516E-4</v>
      </c>
      <c r="M142" s="61">
        <f>1.02*W136</f>
        <v>1471.2795180000001</v>
      </c>
      <c r="N142" s="61">
        <f>1.02*W136</f>
        <v>1471.2795180000001</v>
      </c>
      <c r="O142" s="63">
        <v>9</v>
      </c>
      <c r="P142" s="85">
        <v>2.9999999999999997E-4</v>
      </c>
      <c r="Q142" s="85">
        <v>2.5100000000000001E-2</v>
      </c>
      <c r="R142" s="91">
        <f t="shared" si="88"/>
        <v>4.4490716595687015E-3</v>
      </c>
      <c r="S142" s="91">
        <f t="shared" si="89"/>
        <v>4.0743355493869328E-3</v>
      </c>
      <c r="T142" s="90">
        <f t="shared" si="90"/>
        <v>0</v>
      </c>
      <c r="U142" s="91">
        <f t="shared" si="91"/>
        <v>1.9999999999999998E-4</v>
      </c>
      <c r="V142" s="92">
        <f t="shared" si="92"/>
        <v>4.0000000000000105E-4</v>
      </c>
    </row>
    <row r="143" spans="1:24">
      <c r="A143" s="169">
        <v>126</v>
      </c>
      <c r="B143" s="172" t="s">
        <v>202</v>
      </c>
      <c r="C143" s="171" t="s">
        <v>38</v>
      </c>
      <c r="D143" s="61">
        <v>103026600957.76801</v>
      </c>
      <c r="E143" s="62">
        <f t="shared" si="87"/>
        <v>5.3789751674629446E-2</v>
      </c>
      <c r="F143" s="61">
        <v>142173</v>
      </c>
      <c r="G143" s="61">
        <v>142173</v>
      </c>
      <c r="H143" s="63">
        <v>2103</v>
      </c>
      <c r="I143" s="85">
        <v>5.6800000000000003E-2</v>
      </c>
      <c r="J143" s="85">
        <v>5.2499999999999998E-2</v>
      </c>
      <c r="K143" s="61">
        <v>104259066819.58</v>
      </c>
      <c r="L143" s="62">
        <f t="shared" si="86"/>
        <v>5.4574987166173254E-2</v>
      </c>
      <c r="M143" s="61">
        <f>100*1421.73</f>
        <v>142173</v>
      </c>
      <c r="N143" s="61">
        <f>100*1421.73</f>
        <v>142173</v>
      </c>
      <c r="O143" s="63">
        <v>2113</v>
      </c>
      <c r="P143" s="85">
        <v>5.7799999999999997E-2</v>
      </c>
      <c r="Q143" s="85">
        <v>5.2600000000000001E-2</v>
      </c>
      <c r="R143" s="91">
        <f t="shared" si="88"/>
        <v>1.1962598497423019E-2</v>
      </c>
      <c r="S143" s="91">
        <f t="shared" si="89"/>
        <v>0</v>
      </c>
      <c r="T143" s="91">
        <f t="shared" si="90"/>
        <v>4.7551117451260106E-3</v>
      </c>
      <c r="U143" s="91">
        <f t="shared" si="91"/>
        <v>9.9999999999999395E-4</v>
      </c>
      <c r="V143" s="92">
        <f t="shared" si="92"/>
        <v>1.0000000000000286E-4</v>
      </c>
    </row>
    <row r="144" spans="1:24" ht="15.6">
      <c r="A144" s="169">
        <v>127</v>
      </c>
      <c r="B144" s="172" t="s">
        <v>203</v>
      </c>
      <c r="C144" s="171" t="s">
        <v>152</v>
      </c>
      <c r="D144" s="61">
        <v>1200275778.503788</v>
      </c>
      <c r="E144" s="62">
        <f t="shared" si="87"/>
        <v>6.2665889650437311E-4</v>
      </c>
      <c r="F144" s="61">
        <v>1623.3329139999998</v>
      </c>
      <c r="G144" s="61">
        <v>1623.3329139999998</v>
      </c>
      <c r="H144" s="63">
        <v>53</v>
      </c>
      <c r="I144" s="85">
        <v>1.9E-3</v>
      </c>
      <c r="J144" s="85">
        <v>9.1700000000000004E-2</v>
      </c>
      <c r="K144" s="61">
        <f>950854.87*W136</f>
        <v>1371542445.9034832</v>
      </c>
      <c r="L144" s="62">
        <f t="shared" si="86"/>
        <v>7.1794150539037033E-4</v>
      </c>
      <c r="M144" s="61">
        <f>1.13*W136</f>
        <v>1629.946917</v>
      </c>
      <c r="N144" s="61">
        <f>1.13*W136</f>
        <v>1629.946917</v>
      </c>
      <c r="O144" s="63">
        <v>62</v>
      </c>
      <c r="P144" s="85">
        <v>1.9E-3</v>
      </c>
      <c r="Q144" s="85">
        <v>9.1700000000000004E-2</v>
      </c>
      <c r="R144" s="91">
        <f t="shared" si="88"/>
        <v>0.14268943060168121</v>
      </c>
      <c r="S144" s="91">
        <f t="shared" si="89"/>
        <v>4.0743355493869692E-3</v>
      </c>
      <c r="T144" s="91">
        <f t="shared" si="90"/>
        <v>0.16981132075471697</v>
      </c>
      <c r="U144" s="91">
        <f t="shared" si="91"/>
        <v>0</v>
      </c>
      <c r="V144" s="92">
        <f t="shared" si="92"/>
        <v>0</v>
      </c>
      <c r="X144" s="113"/>
    </row>
    <row r="145" spans="1:24" ht="15.6">
      <c r="A145" s="169">
        <v>128</v>
      </c>
      <c r="B145" s="172" t="s">
        <v>204</v>
      </c>
      <c r="C145" s="171" t="s">
        <v>44</v>
      </c>
      <c r="D145" s="67">
        <v>7386785001.1651497</v>
      </c>
      <c r="E145" s="62">
        <f t="shared" si="87"/>
        <v>3.8566091397058033E-3</v>
      </c>
      <c r="F145" s="61">
        <v>15471.942906</v>
      </c>
      <c r="G145" s="61">
        <v>15471.942906</v>
      </c>
      <c r="H145" s="63">
        <v>160</v>
      </c>
      <c r="I145" s="85">
        <v>6.1499999999999999E-2</v>
      </c>
      <c r="J145" s="85">
        <v>8.2699999999999996E-2</v>
      </c>
      <c r="K145" s="67">
        <f>5175357.2*W136</f>
        <v>7465095143.817481</v>
      </c>
      <c r="L145" s="62">
        <f t="shared" si="86"/>
        <v>3.9076454844269685E-3</v>
      </c>
      <c r="M145" s="61">
        <f>10.8*W136</f>
        <v>15578.253720000002</v>
      </c>
      <c r="N145" s="61">
        <f>10.8*W136</f>
        <v>15578.253720000002</v>
      </c>
      <c r="O145" s="63">
        <v>160</v>
      </c>
      <c r="P145" s="85">
        <v>7.4399999999999994E-2</v>
      </c>
      <c r="Q145" s="85">
        <v>9.4500000000000001E-2</v>
      </c>
      <c r="R145" s="91">
        <f t="shared" si="88"/>
        <v>1.06013837738582E-2</v>
      </c>
      <c r="S145" s="91">
        <f t="shared" si="89"/>
        <v>6.8711999938142875E-3</v>
      </c>
      <c r="T145" s="91">
        <f t="shared" si="90"/>
        <v>0</v>
      </c>
      <c r="U145" s="91">
        <f t="shared" si="91"/>
        <v>1.2899999999999995E-2</v>
      </c>
      <c r="V145" s="92">
        <f t="shared" si="92"/>
        <v>1.1800000000000005E-2</v>
      </c>
      <c r="X145" s="113"/>
    </row>
    <row r="146" spans="1:24" ht="15.6">
      <c r="A146" s="169">
        <v>129</v>
      </c>
      <c r="B146" s="171" t="s">
        <v>205</v>
      </c>
      <c r="C146" s="178" t="s">
        <v>48</v>
      </c>
      <c r="D146" s="61">
        <v>27700291578.93</v>
      </c>
      <c r="E146" s="62">
        <f t="shared" si="87"/>
        <v>1.4462204823744905E-2</v>
      </c>
      <c r="F146" s="61">
        <v>1565.8698020000002</v>
      </c>
      <c r="G146" s="61">
        <v>1565.8698020000002</v>
      </c>
      <c r="H146" s="63">
        <v>460</v>
      </c>
      <c r="I146" s="85">
        <v>4.0000000000000002E-4</v>
      </c>
      <c r="J146" s="85">
        <v>0.1036</v>
      </c>
      <c r="K146" s="61">
        <v>27886812389</v>
      </c>
      <c r="L146" s="62">
        <f t="shared" si="86"/>
        <v>1.4597506717270342E-2</v>
      </c>
      <c r="M146" s="61">
        <f>1.09*W136</f>
        <v>1572.2496810000002</v>
      </c>
      <c r="N146" s="61">
        <f>1.1*W136</f>
        <v>1586.6739900000002</v>
      </c>
      <c r="O146" s="63">
        <v>460</v>
      </c>
      <c r="P146" s="85">
        <v>8.9999999999999993E-3</v>
      </c>
      <c r="Q146" s="85">
        <v>0.10970000000000001</v>
      </c>
      <c r="R146" s="91">
        <f t="shared" si="88"/>
        <v>6.7335323723406301E-3</v>
      </c>
      <c r="S146" s="91">
        <f t="shared" si="89"/>
        <v>1.3286026701216163E-2</v>
      </c>
      <c r="T146" s="91">
        <f t="shared" si="90"/>
        <v>0</v>
      </c>
      <c r="U146" s="91">
        <f t="shared" si="91"/>
        <v>8.6E-3</v>
      </c>
      <c r="V146" s="92">
        <f t="shared" si="92"/>
        <v>6.1000000000000082E-3</v>
      </c>
      <c r="X146" s="113"/>
    </row>
    <row r="147" spans="1:24">
      <c r="A147" s="169">
        <v>130</v>
      </c>
      <c r="B147" s="172" t="s">
        <v>206</v>
      </c>
      <c r="C147" s="171" t="s">
        <v>106</v>
      </c>
      <c r="D147" s="67">
        <v>435041671.69680005</v>
      </c>
      <c r="E147" s="62">
        <f t="shared" si="87"/>
        <v>2.2713341283848469E-4</v>
      </c>
      <c r="F147" s="61">
        <v>1812.6864</v>
      </c>
      <c r="G147" s="61">
        <v>1812.6864</v>
      </c>
      <c r="H147" s="63">
        <v>2</v>
      </c>
      <c r="I147" s="85">
        <v>-5.8129999999999996E-3</v>
      </c>
      <c r="J147" s="85">
        <v>0.134857</v>
      </c>
      <c r="K147" s="67">
        <f>304285.23*1444.69</f>
        <v>439597828.92869997</v>
      </c>
      <c r="L147" s="62">
        <f t="shared" si="86"/>
        <v>2.3010992332760718E-4</v>
      </c>
      <c r="M147" s="61">
        <f>1.27*1444.69</f>
        <v>1834.7563</v>
      </c>
      <c r="N147" s="61">
        <f>1.27*1444.69</f>
        <v>1834.7563</v>
      </c>
      <c r="O147" s="63">
        <v>2</v>
      </c>
      <c r="P147" s="85">
        <v>6.241E-3</v>
      </c>
      <c r="Q147" s="85">
        <v>0.14194000000000001</v>
      </c>
      <c r="R147" s="91">
        <f t="shared" si="88"/>
        <v>1.0472921396539931E-2</v>
      </c>
      <c r="S147" s="91">
        <f t="shared" si="89"/>
        <v>1.2175244432793208E-2</v>
      </c>
      <c r="T147" s="91">
        <f t="shared" si="90"/>
        <v>0</v>
      </c>
      <c r="U147" s="91">
        <f t="shared" ref="U147" si="99">P147-I147</f>
        <v>1.2053999999999999E-2</v>
      </c>
      <c r="V147" s="92">
        <f t="shared" ref="V147" si="100">Q147-J147</f>
        <v>7.083000000000006E-3</v>
      </c>
    </row>
    <row r="148" spans="1:24">
      <c r="A148" s="169">
        <v>131</v>
      </c>
      <c r="B148" s="172" t="s">
        <v>207</v>
      </c>
      <c r="C148" s="171" t="s">
        <v>111</v>
      </c>
      <c r="D148" s="67">
        <v>1008015497.2532959</v>
      </c>
      <c r="E148" s="62">
        <f t="shared" si="87"/>
        <v>5.2628061857207915E-4</v>
      </c>
      <c r="F148" s="61">
        <v>1495.7648053599999</v>
      </c>
      <c r="G148" s="61">
        <v>1495.7648053599999</v>
      </c>
      <c r="H148" s="63">
        <v>9</v>
      </c>
      <c r="I148" s="85">
        <v>-0.14080000000000001</v>
      </c>
      <c r="J148" s="85">
        <v>6.0999999999999999E-2</v>
      </c>
      <c r="K148" s="67">
        <f>703678.42*W136</f>
        <v>1015007496.6711781</v>
      </c>
      <c r="L148" s="62">
        <f t="shared" si="86"/>
        <v>5.3131130744013251E-4</v>
      </c>
      <c r="M148" s="61">
        <f>1.0442*W136</f>
        <v>1506.18634578</v>
      </c>
      <c r="N148" s="61">
        <f>1.0442*W136</f>
        <v>1506.18634578</v>
      </c>
      <c r="O148" s="63">
        <v>9</v>
      </c>
      <c r="P148" s="85">
        <v>0.2034</v>
      </c>
      <c r="Q148" s="85">
        <v>6.5100000000000005E-2</v>
      </c>
      <c r="R148" s="91">
        <f t="shared" ref="R148" si="101">((K148-D148)/D148)</f>
        <v>6.9364007169874318E-3</v>
      </c>
      <c r="S148" s="91">
        <f t="shared" ref="S148" si="102">((N148-G148)/G148)</f>
        <v>6.9673657132826479E-3</v>
      </c>
      <c r="T148" s="91">
        <f t="shared" si="90"/>
        <v>0</v>
      </c>
      <c r="U148" s="91">
        <f t="shared" si="91"/>
        <v>0.34420000000000001</v>
      </c>
      <c r="V148" s="92">
        <f t="shared" si="92"/>
        <v>4.1000000000000064E-3</v>
      </c>
    </row>
    <row r="149" spans="1:24">
      <c r="A149" s="169">
        <v>132</v>
      </c>
      <c r="B149" s="172" t="s">
        <v>208</v>
      </c>
      <c r="C149" s="171" t="s">
        <v>50</v>
      </c>
      <c r="D149" s="67">
        <v>1026412993679.48</v>
      </c>
      <c r="E149" s="62">
        <f t="shared" si="87"/>
        <v>0.53588587347712036</v>
      </c>
      <c r="F149" s="61">
        <v>2392.17</v>
      </c>
      <c r="G149" s="61">
        <v>2392.17</v>
      </c>
      <c r="H149" s="63">
        <v>12524</v>
      </c>
      <c r="I149" s="85">
        <v>8.0000000000000004E-4</v>
      </c>
      <c r="J149" s="85">
        <v>5.6000000000000001E-2</v>
      </c>
      <c r="K149" s="67">
        <v>1014161658334.29</v>
      </c>
      <c r="L149" s="62">
        <f t="shared" si="86"/>
        <v>0.53086854866827238</v>
      </c>
      <c r="M149" s="61">
        <v>2403.96</v>
      </c>
      <c r="N149" s="61">
        <v>2403.96</v>
      </c>
      <c r="O149" s="63">
        <v>12574</v>
      </c>
      <c r="P149" s="85">
        <v>6.9999999999999999E-4</v>
      </c>
      <c r="Q149" s="85">
        <v>5.6800000000000003E-2</v>
      </c>
      <c r="R149" s="91">
        <f t="shared" si="88"/>
        <v>-1.193606805509293E-2</v>
      </c>
      <c r="S149" s="91">
        <f t="shared" si="89"/>
        <v>4.9285794905880283E-3</v>
      </c>
      <c r="T149" s="91">
        <f t="shared" si="90"/>
        <v>3.9923347173427019E-3</v>
      </c>
      <c r="U149" s="91">
        <f t="shared" si="91"/>
        <v>-1.0000000000000005E-4</v>
      </c>
      <c r="V149" s="92">
        <f t="shared" si="92"/>
        <v>8.000000000000021E-4</v>
      </c>
    </row>
    <row r="150" spans="1:24">
      <c r="A150" s="169">
        <v>133</v>
      </c>
      <c r="B150" s="172" t="s">
        <v>209</v>
      </c>
      <c r="C150" s="172" t="s">
        <v>117</v>
      </c>
      <c r="D150" s="67">
        <v>563294653.60686004</v>
      </c>
      <c r="E150" s="62">
        <f t="shared" si="87"/>
        <v>2.9409375108453375E-4</v>
      </c>
      <c r="F150" s="61">
        <v>159747.45136000001</v>
      </c>
      <c r="G150" s="61">
        <v>159747.45136000001</v>
      </c>
      <c r="H150" s="63">
        <v>30</v>
      </c>
      <c r="I150" s="85">
        <v>0</v>
      </c>
      <c r="J150" s="85">
        <v>7.6399999999999996E-2</v>
      </c>
      <c r="K150" s="67">
        <f>394126.4*W136</f>
        <v>568500097.86576009</v>
      </c>
      <c r="L150" s="62">
        <f t="shared" si="86"/>
        <v>2.9758453141233557E-4</v>
      </c>
      <c r="M150" s="61">
        <f>111.77*W136</f>
        <v>161220.501693</v>
      </c>
      <c r="N150" s="61">
        <f>111.77*W136</f>
        <v>161220.501693</v>
      </c>
      <c r="O150" s="63">
        <v>30</v>
      </c>
      <c r="P150" s="85">
        <v>0</v>
      </c>
      <c r="Q150" s="85">
        <v>7.6399999999999996E-2</v>
      </c>
      <c r="R150" s="91">
        <f t="shared" ref="R150" si="103">((K150-D150)/D150)</f>
        <v>9.2410681080830562E-3</v>
      </c>
      <c r="S150" s="91">
        <f t="shared" ref="S150" si="104">((N150-G150)/G150)</f>
        <v>9.2211194636237972E-3</v>
      </c>
      <c r="T150" s="91">
        <f t="shared" ref="T150" si="105">((O150-H150)/H150)</f>
        <v>0</v>
      </c>
      <c r="U150" s="91">
        <f t="shared" ref="U150" si="106">P150-I150</f>
        <v>0</v>
      </c>
      <c r="V150" s="92">
        <f t="shared" ref="V150" si="107">Q150-J150</f>
        <v>0</v>
      </c>
    </row>
    <row r="151" spans="1:24" ht="16.5" customHeight="1">
      <c r="A151" s="169">
        <v>134</v>
      </c>
      <c r="B151" s="172" t="s">
        <v>210</v>
      </c>
      <c r="C151" s="171" t="s">
        <v>53</v>
      </c>
      <c r="D151" s="67">
        <v>165520173973.3696</v>
      </c>
      <c r="E151" s="62">
        <f t="shared" si="87"/>
        <v>8.6417381262714782E-2</v>
      </c>
      <c r="F151" s="61">
        <v>1780.892456</v>
      </c>
      <c r="G151" s="61">
        <v>1780.892456</v>
      </c>
      <c r="H151" s="63">
        <v>878</v>
      </c>
      <c r="I151" s="85">
        <v>6.08E-2</v>
      </c>
      <c r="J151" s="85">
        <v>9.4E-2</v>
      </c>
      <c r="K151" s="67">
        <f>116623155.67*1444.69</f>
        <v>168484306764.8923</v>
      </c>
      <c r="L151" s="62">
        <f t="shared" si="86"/>
        <v>8.8194045466640947E-2</v>
      </c>
      <c r="M151" s="61">
        <f>1.2393*1444.69</f>
        <v>1790.4043170000002</v>
      </c>
      <c r="N151" s="61">
        <f>1.2393*1444.69</f>
        <v>1790.4043170000002</v>
      </c>
      <c r="O151" s="63">
        <v>883</v>
      </c>
      <c r="P151" s="85">
        <v>6.0699999999999997E-2</v>
      </c>
      <c r="Q151" s="85">
        <v>9.3200000000000005E-2</v>
      </c>
      <c r="R151" s="91">
        <f t="shared" si="88"/>
        <v>1.7907984992811824E-2</v>
      </c>
      <c r="S151" s="91">
        <f t="shared" si="89"/>
        <v>5.3410642332465362E-3</v>
      </c>
      <c r="T151" s="91">
        <f t="shared" si="90"/>
        <v>5.6947608200455585E-3</v>
      </c>
      <c r="U151" s="91">
        <f t="shared" si="91"/>
        <v>-1.0000000000000286E-4</v>
      </c>
      <c r="V151" s="92">
        <f t="shared" si="92"/>
        <v>-7.9999999999999516E-4</v>
      </c>
    </row>
    <row r="152" spans="1:24" ht="16.5" customHeight="1">
      <c r="A152" s="169">
        <v>135</v>
      </c>
      <c r="B152" s="172" t="s">
        <v>211</v>
      </c>
      <c r="C152" s="171" t="s">
        <v>113</v>
      </c>
      <c r="D152" s="61">
        <v>1993294290.0530419</v>
      </c>
      <c r="E152" s="62">
        <f t="shared" si="87"/>
        <v>1.0406905001200647E-3</v>
      </c>
      <c r="F152" s="61">
        <v>156874.29576000001</v>
      </c>
      <c r="G152" s="61">
        <v>156874.29576000001</v>
      </c>
      <c r="H152" s="63">
        <v>31</v>
      </c>
      <c r="I152" s="85">
        <v>3.8E-3</v>
      </c>
      <c r="J152" s="85">
        <v>7.0800000000000002E-2</v>
      </c>
      <c r="K152" s="61">
        <f>1287277.05082163*W136</f>
        <v>1856808194.9659896</v>
      </c>
      <c r="L152" s="62">
        <f t="shared" si="86"/>
        <v>9.7195655496969504E-4</v>
      </c>
      <c r="M152" s="61">
        <f>109.49*W136</f>
        <v>157931.75924099999</v>
      </c>
      <c r="N152" s="61">
        <f>109.49*W136</f>
        <v>157931.75924099999</v>
      </c>
      <c r="O152" s="63">
        <v>31</v>
      </c>
      <c r="P152" s="85">
        <v>2.7000000000000001E-3</v>
      </c>
      <c r="Q152" s="85">
        <v>7.2400000000000006E-2</v>
      </c>
      <c r="R152" s="91">
        <f t="shared" si="88"/>
        <v>-6.8472626329261405E-2</v>
      </c>
      <c r="S152" s="91">
        <f t="shared" si="89"/>
        <v>6.7408333269446787E-3</v>
      </c>
      <c r="T152" s="91">
        <f t="shared" si="90"/>
        <v>0</v>
      </c>
      <c r="U152" s="91">
        <f t="shared" si="91"/>
        <v>-1.0999999999999998E-3</v>
      </c>
      <c r="V152" s="92">
        <f t="shared" si="92"/>
        <v>1.6000000000000042E-3</v>
      </c>
    </row>
    <row r="153" spans="1:24" ht="16.5" customHeight="1">
      <c r="A153" s="169">
        <v>136</v>
      </c>
      <c r="B153" s="172" t="s">
        <v>212</v>
      </c>
      <c r="C153" s="171" t="s">
        <v>124</v>
      </c>
      <c r="D153" s="61">
        <v>3024401154.087152</v>
      </c>
      <c r="E153" s="62">
        <f t="shared" si="87"/>
        <v>1.5790270234140411E-3</v>
      </c>
      <c r="F153" s="61">
        <v>1580.2355800000003</v>
      </c>
      <c r="G153" s="61">
        <v>1580.2355800000003</v>
      </c>
      <c r="H153" s="63">
        <v>34</v>
      </c>
      <c r="I153" s="85">
        <v>0.10589999999999999</v>
      </c>
      <c r="J153" s="85">
        <v>0.1036</v>
      </c>
      <c r="K153" s="61">
        <f>2175705.41*W136</f>
        <v>3138304712.6811695</v>
      </c>
      <c r="L153" s="62">
        <f t="shared" si="86"/>
        <v>1.6427630194935773E-3</v>
      </c>
      <c r="M153" s="61">
        <f>1.11*W136</f>
        <v>1601.0982990000002</v>
      </c>
      <c r="N153" s="61">
        <f>1.11*W136</f>
        <v>1601.0982990000002</v>
      </c>
      <c r="O153" s="63">
        <v>32</v>
      </c>
      <c r="P153" s="85">
        <v>0.1086</v>
      </c>
      <c r="Q153" s="85">
        <v>0.1106</v>
      </c>
      <c r="R153" s="91">
        <f t="shared" ref="R153" si="108">((K153-D153)/D153)</f>
        <v>3.7661524642684761E-2</v>
      </c>
      <c r="S153" s="91">
        <f t="shared" ref="S153" si="109">((N153-G153)/G153)</f>
        <v>1.3202284054381288E-2</v>
      </c>
      <c r="T153" s="91">
        <f t="shared" si="90"/>
        <v>-5.8823529411764705E-2</v>
      </c>
      <c r="U153" s="91">
        <f t="shared" si="91"/>
        <v>2.7000000000000079E-3</v>
      </c>
      <c r="V153" s="92">
        <f t="shared" si="92"/>
        <v>7.0000000000000062E-3</v>
      </c>
    </row>
    <row r="154" spans="1:24">
      <c r="A154" s="169">
        <v>137</v>
      </c>
      <c r="B154" s="172" t="s">
        <v>213</v>
      </c>
      <c r="C154" s="171" t="s">
        <v>126</v>
      </c>
      <c r="D154" s="61">
        <v>1671683166.55459</v>
      </c>
      <c r="E154" s="62">
        <f t="shared" si="87"/>
        <v>8.7277869571266158E-4</v>
      </c>
      <c r="F154" s="61">
        <v>2039.940476</v>
      </c>
      <c r="G154" s="61">
        <v>2039.940476</v>
      </c>
      <c r="H154" s="63">
        <v>117</v>
      </c>
      <c r="I154" s="85">
        <v>-4.1999999999999997E-3</v>
      </c>
      <c r="J154" s="85">
        <v>0.14499999999999999</v>
      </c>
      <c r="K154" s="61">
        <f>1170620.49*W136</f>
        <v>1688539166.949141</v>
      </c>
      <c r="L154" s="62">
        <f t="shared" si="86"/>
        <v>8.8387519835851798E-4</v>
      </c>
      <c r="M154" s="61">
        <f>1.44*W136</f>
        <v>2077.100496</v>
      </c>
      <c r="N154" s="61">
        <f>1.44*W136</f>
        <v>2077.100496</v>
      </c>
      <c r="O154" s="63">
        <v>118</v>
      </c>
      <c r="P154" s="85">
        <v>1.0699999999999999E-2</v>
      </c>
      <c r="Q154" s="85">
        <v>0.15770000000000001</v>
      </c>
      <c r="R154" s="91">
        <f t="shared" si="88"/>
        <v>1.0083250661243406E-2</v>
      </c>
      <c r="S154" s="91">
        <f t="shared" si="89"/>
        <v>1.8216227599378264E-2</v>
      </c>
      <c r="T154" s="91">
        <f t="shared" si="90"/>
        <v>8.5470085470085479E-3</v>
      </c>
      <c r="U154" s="91">
        <f t="shared" si="91"/>
        <v>1.49E-2</v>
      </c>
      <c r="V154" s="92">
        <f t="shared" si="92"/>
        <v>1.2700000000000017E-2</v>
      </c>
    </row>
    <row r="155" spans="1:24">
      <c r="A155" s="70"/>
      <c r="B155" s="71"/>
      <c r="C155" s="106" t="s">
        <v>56</v>
      </c>
      <c r="D155" s="94">
        <f>SUM(D117:D154)</f>
        <v>1915357437992.4436</v>
      </c>
      <c r="E155" s="74">
        <f>(D155/$D$229)</f>
        <v>0.26745560131625168</v>
      </c>
      <c r="F155" s="75"/>
      <c r="G155" s="80"/>
      <c r="H155" s="77">
        <f>SUM(H117:H154)</f>
        <v>27926</v>
      </c>
      <c r="I155" s="110"/>
      <c r="J155" s="110"/>
      <c r="K155" s="94">
        <f>SUM(K117:K154)</f>
        <v>1910381884325.9756</v>
      </c>
      <c r="L155" s="74">
        <f>(K155/$K$229)</f>
        <v>0.26441395939495904</v>
      </c>
      <c r="M155" s="75"/>
      <c r="N155" s="80"/>
      <c r="O155" s="77">
        <f>SUM(O117:O154)</f>
        <v>28024</v>
      </c>
      <c r="P155" s="110"/>
      <c r="Q155" s="110"/>
      <c r="R155" s="91">
        <f t="shared" si="88"/>
        <v>-2.5977154800323212E-3</v>
      </c>
      <c r="S155" s="91" t="e">
        <f t="shared" si="89"/>
        <v>#DIV/0!</v>
      </c>
      <c r="T155" s="91">
        <f t="shared" si="90"/>
        <v>3.5092745112081931E-3</v>
      </c>
      <c r="U155" s="91">
        <f t="shared" si="91"/>
        <v>0</v>
      </c>
      <c r="V155" s="92">
        <f t="shared" si="92"/>
        <v>0</v>
      </c>
    </row>
    <row r="156" spans="1:24" ht="6" customHeight="1">
      <c r="A156" s="70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</row>
    <row r="157" spans="1:24">
      <c r="A157" s="183" t="s">
        <v>214</v>
      </c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</row>
    <row r="158" spans="1:24">
      <c r="A158" s="169">
        <v>138</v>
      </c>
      <c r="B158" s="172" t="s">
        <v>215</v>
      </c>
      <c r="C158" s="171" t="s">
        <v>216</v>
      </c>
      <c r="D158" s="107">
        <v>2570766680.64288</v>
      </c>
      <c r="E158" s="62">
        <f>(D158/$D$164)</f>
        <v>6.9232881211707528E-3</v>
      </c>
      <c r="F158" s="95">
        <v>121.15</v>
      </c>
      <c r="G158" s="95">
        <v>121.15</v>
      </c>
      <c r="H158" s="63">
        <v>8</v>
      </c>
      <c r="I158" s="85">
        <v>3.2000000000000002E-3</v>
      </c>
      <c r="J158" s="85">
        <v>0.14899999999999999</v>
      </c>
      <c r="K158" s="107">
        <v>2570766680.64288</v>
      </c>
      <c r="L158" s="62">
        <f>(K158/$K$164)</f>
        <v>6.9057385385292557E-3</v>
      </c>
      <c r="M158" s="95">
        <v>121.15</v>
      </c>
      <c r="N158" s="95">
        <v>121.15</v>
      </c>
      <c r="O158" s="63">
        <v>8</v>
      </c>
      <c r="P158" s="85">
        <v>3.2000000000000002E-3</v>
      </c>
      <c r="Q158" s="85">
        <v>0.14899999999999999</v>
      </c>
      <c r="R158" s="91">
        <f t="shared" ref="R158:R164" si="110">((K158-D158)/D158)</f>
        <v>0</v>
      </c>
      <c r="S158" s="91">
        <f t="shared" ref="S158:T164" si="111">((N158-G158)/G158)</f>
        <v>0</v>
      </c>
      <c r="T158" s="91">
        <f t="shared" si="111"/>
        <v>0</v>
      </c>
      <c r="U158" s="91">
        <f t="shared" ref="U158:V164" si="112">P158-I158</f>
        <v>0</v>
      </c>
      <c r="V158" s="92">
        <f t="shared" si="112"/>
        <v>0</v>
      </c>
    </row>
    <row r="159" spans="1:24">
      <c r="A159" s="169">
        <v>139</v>
      </c>
      <c r="B159" s="172" t="s">
        <v>217</v>
      </c>
      <c r="C159" s="171" t="s">
        <v>24</v>
      </c>
      <c r="D159" s="107">
        <v>265277092543.89999</v>
      </c>
      <c r="E159" s="62">
        <v>0</v>
      </c>
      <c r="F159" s="95">
        <v>106.1108</v>
      </c>
      <c r="G159" s="95">
        <v>106.1108</v>
      </c>
      <c r="H159" s="63">
        <v>45</v>
      </c>
      <c r="I159" s="85">
        <v>0.15129999999999999</v>
      </c>
      <c r="J159" s="85">
        <v>9.4899999999999998E-2</v>
      </c>
      <c r="K159" s="107">
        <v>265916390312.5</v>
      </c>
      <c r="L159" s="62">
        <f t="shared" ref="L159:L163" si="113">(K159/$K$164)</f>
        <v>0.71431961462500249</v>
      </c>
      <c r="M159" s="95">
        <v>106.36660000000001</v>
      </c>
      <c r="N159" s="95">
        <v>106.36660000000001</v>
      </c>
      <c r="O159" s="63">
        <v>45</v>
      </c>
      <c r="P159" s="85">
        <v>0.12570000000000001</v>
      </c>
      <c r="Q159" s="85">
        <v>9.6000000000000002E-2</v>
      </c>
      <c r="R159" s="91">
        <f t="shared" ref="R159" si="114">((K159-D159)/D159)</f>
        <v>2.4099245150397239E-3</v>
      </c>
      <c r="S159" s="91">
        <f t="shared" ref="S159" si="115">((N159-G159)/G159)</f>
        <v>2.4106876962571933E-3</v>
      </c>
      <c r="T159" s="91">
        <f t="shared" ref="T159" si="116">((O159-H159)/H159)</f>
        <v>0</v>
      </c>
      <c r="U159" s="91">
        <f t="shared" ref="U159" si="117">P159-I159</f>
        <v>-2.5599999999999984E-2</v>
      </c>
      <c r="V159" s="92">
        <f t="shared" ref="V159" si="118">Q159-J159</f>
        <v>1.1000000000000038E-3</v>
      </c>
    </row>
    <row r="160" spans="1:24">
      <c r="A160" s="169">
        <v>140</v>
      </c>
      <c r="B160" s="172" t="s">
        <v>218</v>
      </c>
      <c r="C160" s="171" t="s">
        <v>48</v>
      </c>
      <c r="D160" s="67">
        <v>57062508820</v>
      </c>
      <c r="E160" s="62">
        <f>(D160/$D$164)</f>
        <v>0.15367407413998119</v>
      </c>
      <c r="F160" s="95">
        <v>102.5</v>
      </c>
      <c r="G160" s="95">
        <v>102.5</v>
      </c>
      <c r="H160" s="63">
        <v>645</v>
      </c>
      <c r="I160" s="85">
        <v>8.3900000000000002E-2</v>
      </c>
      <c r="J160" s="85">
        <v>8.3900000000000002E-2</v>
      </c>
      <c r="K160" s="67">
        <v>57062508820</v>
      </c>
      <c r="L160" s="62">
        <f t="shared" si="113"/>
        <v>0.15328453150983581</v>
      </c>
      <c r="M160" s="95">
        <v>102.5</v>
      </c>
      <c r="N160" s="95">
        <v>102.5</v>
      </c>
      <c r="O160" s="63">
        <v>645</v>
      </c>
      <c r="P160" s="85">
        <v>8.3900000000000002E-2</v>
      </c>
      <c r="Q160" s="85">
        <v>8.3900000000000002E-2</v>
      </c>
      <c r="R160" s="91">
        <f t="shared" si="110"/>
        <v>0</v>
      </c>
      <c r="S160" s="91">
        <f t="shared" si="111"/>
        <v>0</v>
      </c>
      <c r="T160" s="91">
        <f t="shared" si="111"/>
        <v>0</v>
      </c>
      <c r="U160" s="91">
        <f t="shared" si="112"/>
        <v>0</v>
      </c>
      <c r="V160" s="92">
        <f t="shared" si="112"/>
        <v>0</v>
      </c>
    </row>
    <row r="161" spans="1:22" ht="15.75" customHeight="1">
      <c r="A161" s="169">
        <v>141</v>
      </c>
      <c r="B161" s="172" t="s">
        <v>220</v>
      </c>
      <c r="C161" s="171" t="s">
        <v>162</v>
      </c>
      <c r="D161" s="67">
        <v>2865390669.8194599</v>
      </c>
      <c r="E161" s="62">
        <f>(D161/$D$164)</f>
        <v>7.7167349865891518E-3</v>
      </c>
      <c r="F161" s="95">
        <v>164.769533490973</v>
      </c>
      <c r="G161" s="95">
        <v>164.769533490973</v>
      </c>
      <c r="H161" s="63">
        <v>3871</v>
      </c>
      <c r="I161" s="85">
        <v>2.7585000000000002</v>
      </c>
      <c r="J161" s="85">
        <v>0.18509999999999999</v>
      </c>
      <c r="K161" s="67">
        <v>2891095237.06985</v>
      </c>
      <c r="L161" s="62">
        <f t="shared" si="113"/>
        <v>7.7662231845166477E-3</v>
      </c>
      <c r="M161" s="95">
        <v>418.75</v>
      </c>
      <c r="N161" s="95">
        <v>418.75</v>
      </c>
      <c r="O161" s="63">
        <v>3871</v>
      </c>
      <c r="P161" s="85">
        <v>0.56940000000000002</v>
      </c>
      <c r="Q161" s="85">
        <v>0.19439999999999999</v>
      </c>
      <c r="R161" s="91">
        <f t="shared" si="110"/>
        <v>8.9707025018021802E-3</v>
      </c>
      <c r="S161" s="91">
        <f t="shared" si="111"/>
        <v>1.5414285707311386</v>
      </c>
      <c r="T161" s="91">
        <f t="shared" si="111"/>
        <v>0</v>
      </c>
      <c r="U161" s="91">
        <f t="shared" si="112"/>
        <v>-2.1891000000000003</v>
      </c>
      <c r="V161" s="92">
        <f t="shared" si="112"/>
        <v>9.3000000000000027E-3</v>
      </c>
    </row>
    <row r="162" spans="1:22">
      <c r="A162" s="169">
        <v>142</v>
      </c>
      <c r="B162" s="172" t="s">
        <v>219</v>
      </c>
      <c r="C162" s="171" t="s">
        <v>162</v>
      </c>
      <c r="D162" s="67">
        <v>10440307418.43</v>
      </c>
      <c r="E162" s="62">
        <f>(D162/$D$164)</f>
        <v>2.8116614734290744E-2</v>
      </c>
      <c r="F162" s="95">
        <v>60.55</v>
      </c>
      <c r="G162" s="95">
        <v>60.55</v>
      </c>
      <c r="H162" s="63">
        <v>5970</v>
      </c>
      <c r="I162" s="85">
        <v>4.3099999999999999E-2</v>
      </c>
      <c r="J162" s="85">
        <v>0.14860000000000001</v>
      </c>
      <c r="K162" s="67">
        <v>10729140569.42</v>
      </c>
      <c r="L162" s="62">
        <f t="shared" si="113"/>
        <v>2.8821222895658829E-2</v>
      </c>
      <c r="M162" s="95">
        <v>51.8</v>
      </c>
      <c r="N162" s="95">
        <v>51.8</v>
      </c>
      <c r="O162" s="63">
        <v>5970</v>
      </c>
      <c r="P162" s="85">
        <v>0.65880000000000005</v>
      </c>
      <c r="Q162" s="85">
        <v>0.2049</v>
      </c>
      <c r="R162" s="91">
        <f t="shared" si="110"/>
        <v>2.76651959960614E-2</v>
      </c>
      <c r="S162" s="91">
        <f t="shared" si="111"/>
        <v>-0.14450867052023122</v>
      </c>
      <c r="T162" s="91">
        <f t="shared" si="111"/>
        <v>0</v>
      </c>
      <c r="U162" s="91">
        <f t="shared" si="112"/>
        <v>0.61570000000000003</v>
      </c>
      <c r="V162" s="92">
        <f t="shared" si="112"/>
        <v>5.6299999999999989E-2</v>
      </c>
    </row>
    <row r="163" spans="1:22">
      <c r="A163" s="169">
        <v>143</v>
      </c>
      <c r="B163" s="172" t="s">
        <v>327</v>
      </c>
      <c r="C163" s="171" t="s">
        <v>50</v>
      </c>
      <c r="D163" s="67">
        <v>33105571165.779999</v>
      </c>
      <c r="E163" s="62">
        <f>(D163/$D$164)</f>
        <v>8.9156051897833447E-2</v>
      </c>
      <c r="F163" s="95">
        <v>6.8</v>
      </c>
      <c r="G163" s="95">
        <v>6.8</v>
      </c>
      <c r="H163" s="63">
        <v>210195</v>
      </c>
      <c r="I163" s="85">
        <v>-3.5499999999999997E-2</v>
      </c>
      <c r="J163" s="85">
        <v>0.36</v>
      </c>
      <c r="K163" s="67">
        <v>33095376930.919998</v>
      </c>
      <c r="L163" s="62">
        <f t="shared" si="113"/>
        <v>8.8902669246457081E-2</v>
      </c>
      <c r="M163" s="95">
        <v>6.75</v>
      </c>
      <c r="N163" s="95">
        <v>6.75</v>
      </c>
      <c r="O163" s="63">
        <v>210769</v>
      </c>
      <c r="P163" s="85">
        <v>-7.4000000000000003E-3</v>
      </c>
      <c r="Q163" s="85">
        <v>0.35</v>
      </c>
      <c r="R163" s="91">
        <f t="shared" si="110"/>
        <v>-3.0793109742622453E-4</v>
      </c>
      <c r="S163" s="91">
        <f t="shared" si="111"/>
        <v>-7.3529411764705621E-3</v>
      </c>
      <c r="T163" s="91">
        <f t="shared" si="111"/>
        <v>2.7307975927115297E-3</v>
      </c>
      <c r="U163" s="91">
        <f t="shared" si="112"/>
        <v>2.8099999999999997E-2</v>
      </c>
      <c r="V163" s="92">
        <f t="shared" si="112"/>
        <v>-1.0000000000000009E-2</v>
      </c>
    </row>
    <row r="164" spans="1:22">
      <c r="A164" s="70"/>
      <c r="B164" s="108"/>
      <c r="C164" s="72" t="s">
        <v>56</v>
      </c>
      <c r="D164" s="73">
        <f>SUM(D158:D163)</f>
        <v>371321637298.57227</v>
      </c>
      <c r="E164" s="74">
        <f>(D164/$D$229)</f>
        <v>5.1850401296124317E-2</v>
      </c>
      <c r="F164" s="75"/>
      <c r="G164" s="109"/>
      <c r="H164" s="77">
        <f>SUM(H158:H163)</f>
        <v>220734</v>
      </c>
      <c r="I164" s="111"/>
      <c r="J164" s="111"/>
      <c r="K164" s="73">
        <f>SUM(K158:K163)</f>
        <v>372265278550.55267</v>
      </c>
      <c r="L164" s="74">
        <f>(K164/$K$229)</f>
        <v>5.1524848018304967E-2</v>
      </c>
      <c r="M164" s="75"/>
      <c r="N164" s="109"/>
      <c r="O164" s="77">
        <f>SUM(O158:O163)</f>
        <v>221308</v>
      </c>
      <c r="P164" s="111"/>
      <c r="Q164" s="111"/>
      <c r="R164" s="91">
        <f t="shared" si="110"/>
        <v>2.541304241911561E-3</v>
      </c>
      <c r="S164" s="91" t="e">
        <f t="shared" si="111"/>
        <v>#DIV/0!</v>
      </c>
      <c r="T164" s="91">
        <f t="shared" si="111"/>
        <v>2.6004149791151341E-3</v>
      </c>
      <c r="U164" s="91">
        <f t="shared" si="112"/>
        <v>0</v>
      </c>
      <c r="V164" s="92">
        <f t="shared" si="112"/>
        <v>0</v>
      </c>
    </row>
    <row r="165" spans="1:22" ht="5.25" customHeight="1">
      <c r="A165" s="70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</row>
    <row r="166" spans="1:22" ht="15" customHeight="1">
      <c r="A166" s="183" t="s">
        <v>221</v>
      </c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</row>
    <row r="167" spans="1:22">
      <c r="A167" s="174">
        <v>144</v>
      </c>
      <c r="B167" s="172" t="s">
        <v>222</v>
      </c>
      <c r="C167" s="171" t="s">
        <v>60</v>
      </c>
      <c r="D167" s="61">
        <v>553947289.34000003</v>
      </c>
      <c r="E167" s="62">
        <f t="shared" ref="E167:E194" si="119">(D167/$D$195)</f>
        <v>6.9315061566685232E-3</v>
      </c>
      <c r="F167" s="61">
        <v>7.48</v>
      </c>
      <c r="G167" s="61">
        <v>7.59</v>
      </c>
      <c r="H167" s="65">
        <v>11925</v>
      </c>
      <c r="I167" s="86">
        <v>2.8722000000000001E-2</v>
      </c>
      <c r="J167" s="86">
        <v>0.30907499999999999</v>
      </c>
      <c r="K167" s="61">
        <v>553675252.70000005</v>
      </c>
      <c r="L167" s="89">
        <f t="shared" ref="L167:L194" si="120">(K167/$K$195)</f>
        <v>6.9244524302438373E-3</v>
      </c>
      <c r="M167" s="61">
        <v>7.51</v>
      </c>
      <c r="N167" s="61">
        <v>7.62</v>
      </c>
      <c r="O167" s="65">
        <v>11928</v>
      </c>
      <c r="P167" s="86">
        <v>5.3210000000000002E-3</v>
      </c>
      <c r="Q167" s="86">
        <v>0.31439499999999998</v>
      </c>
      <c r="R167" s="91">
        <f>((K167-D167)/D167)</f>
        <v>-4.9108759124736126E-4</v>
      </c>
      <c r="S167" s="91">
        <f>((N167-G167)/G167)</f>
        <v>3.952569169960507E-3</v>
      </c>
      <c r="T167" s="91">
        <f>((O167-H167)/H167)</f>
        <v>2.5157232704402514E-4</v>
      </c>
      <c r="U167" s="91">
        <f>P167-I167</f>
        <v>-2.3401000000000002E-2</v>
      </c>
      <c r="V167" s="92">
        <f>Q167-J167</f>
        <v>5.3199999999999914E-3</v>
      </c>
    </row>
    <row r="168" spans="1:22">
      <c r="A168" s="174">
        <v>145</v>
      </c>
      <c r="B168" s="172" t="s">
        <v>223</v>
      </c>
      <c r="C168" s="172" t="s">
        <v>224</v>
      </c>
      <c r="D168" s="61">
        <v>1082550732.59832</v>
      </c>
      <c r="E168" s="62">
        <f t="shared" si="119"/>
        <v>1.3545886426940658E-2</v>
      </c>
      <c r="F168" s="61">
        <v>2192.1452926540501</v>
      </c>
      <c r="G168" s="61">
        <v>2192.8865928510399</v>
      </c>
      <c r="H168" s="65">
        <v>161</v>
      </c>
      <c r="I168" s="86">
        <v>-4.5999999999999999E-3</v>
      </c>
      <c r="J168" s="86">
        <v>0.44569999999999999</v>
      </c>
      <c r="K168" s="61">
        <v>1095632376.04</v>
      </c>
      <c r="L168" s="89">
        <f t="shared" si="120"/>
        <v>1.370235391942777E-2</v>
      </c>
      <c r="M168" s="61">
        <v>2156.7030724987799</v>
      </c>
      <c r="N168" s="61">
        <v>2180.2490268244001</v>
      </c>
      <c r="O168" s="65">
        <v>164</v>
      </c>
      <c r="P168" s="86">
        <v>1.26E-2</v>
      </c>
      <c r="Q168" s="86">
        <v>0.43169999999999997</v>
      </c>
      <c r="R168" s="91">
        <f>((K168-D168)/D168)</f>
        <v>1.2084092733724926E-2</v>
      </c>
      <c r="S168" s="91">
        <f>((N168-G168)/G168)</f>
        <v>-5.7629820291843709E-3</v>
      </c>
      <c r="T168" s="91">
        <f>((O168-H168)/H168)</f>
        <v>1.8633540372670808E-2</v>
      </c>
      <c r="U168" s="91">
        <f>P168-I168</f>
        <v>1.72E-2</v>
      </c>
      <c r="V168" s="92">
        <f>Q168-J168</f>
        <v>-1.4000000000000012E-2</v>
      </c>
    </row>
    <row r="169" spans="1:22">
      <c r="A169" s="174">
        <v>146</v>
      </c>
      <c r="B169" s="172" t="s">
        <v>225</v>
      </c>
      <c r="C169" s="171" t="s">
        <v>24</v>
      </c>
      <c r="D169" s="61">
        <v>9596935051.9899998</v>
      </c>
      <c r="E169" s="62">
        <f t="shared" si="119"/>
        <v>0.1200858198571082</v>
      </c>
      <c r="F169" s="61">
        <v>1034.7328</v>
      </c>
      <c r="G169" s="61">
        <v>1065.9308000000001</v>
      </c>
      <c r="H169" s="65">
        <v>22145</v>
      </c>
      <c r="I169" s="86">
        <v>-0.59799999999999998</v>
      </c>
      <c r="J169" s="86">
        <v>0.35410000000000003</v>
      </c>
      <c r="K169" s="61">
        <v>9530336898.5599995</v>
      </c>
      <c r="L169" s="89">
        <f t="shared" si="120"/>
        <v>0.11918965887758974</v>
      </c>
      <c r="M169" s="61">
        <v>1028.6166000000001</v>
      </c>
      <c r="N169" s="61">
        <v>1059.6301000000001</v>
      </c>
      <c r="O169" s="65">
        <v>22159</v>
      </c>
      <c r="P169" s="86">
        <v>-0.30819999999999997</v>
      </c>
      <c r="Q169" s="86">
        <v>0.33750000000000002</v>
      </c>
      <c r="R169" s="91">
        <f t="shared" ref="R169:R194" si="121">((K169-D169)/D169)</f>
        <v>-6.9395231987311049E-3</v>
      </c>
      <c r="S169" s="91">
        <f t="shared" ref="S169:T194" si="122">((N169-G169)/G169)</f>
        <v>-5.9109840901491973E-3</v>
      </c>
      <c r="T169" s="91">
        <f t="shared" si="122"/>
        <v>6.3219688417249945E-4</v>
      </c>
      <c r="U169" s="91">
        <f t="shared" ref="U169:V194" si="123">P169-I169</f>
        <v>0.2898</v>
      </c>
      <c r="V169" s="92">
        <f t="shared" si="123"/>
        <v>-1.6600000000000004E-2</v>
      </c>
    </row>
    <row r="170" spans="1:22">
      <c r="A170" s="174">
        <v>147</v>
      </c>
      <c r="B170" s="172" t="s">
        <v>226</v>
      </c>
      <c r="C170" s="171" t="s">
        <v>128</v>
      </c>
      <c r="D170" s="61">
        <v>5691291044.5500002</v>
      </c>
      <c r="E170" s="62">
        <f t="shared" si="119"/>
        <v>7.12147521503219E-2</v>
      </c>
      <c r="F170" s="61">
        <v>33.556399999999996</v>
      </c>
      <c r="G170" s="61">
        <v>33.956299999999999</v>
      </c>
      <c r="H170" s="63">
        <v>6174</v>
      </c>
      <c r="I170" s="85">
        <v>-1.49E-2</v>
      </c>
      <c r="J170" s="85">
        <v>0.57779999999999998</v>
      </c>
      <c r="K170" s="61">
        <v>5695366306.4799995</v>
      </c>
      <c r="L170" s="89">
        <f t="shared" si="120"/>
        <v>7.1228202578529826E-2</v>
      </c>
      <c r="M170" s="61">
        <v>33.148499999999999</v>
      </c>
      <c r="N170" s="61">
        <v>33.539000000000001</v>
      </c>
      <c r="O170" s="63">
        <v>6178</v>
      </c>
      <c r="P170" s="85">
        <v>4.8999999999999998E-3</v>
      </c>
      <c r="Q170" s="85">
        <v>0.5585</v>
      </c>
      <c r="R170" s="91">
        <f t="shared" si="121"/>
        <v>7.1605228024699879E-4</v>
      </c>
      <c r="S170" s="91">
        <f t="shared" si="122"/>
        <v>-1.2289324808651041E-2</v>
      </c>
      <c r="T170" s="91">
        <f t="shared" si="122"/>
        <v>6.4787819889860706E-4</v>
      </c>
      <c r="U170" s="91">
        <f t="shared" si="123"/>
        <v>1.9799999999999998E-2</v>
      </c>
      <c r="V170" s="92">
        <f t="shared" si="123"/>
        <v>-1.9299999999999984E-2</v>
      </c>
    </row>
    <row r="171" spans="1:22">
      <c r="A171" s="174">
        <v>148</v>
      </c>
      <c r="B171" s="172" t="s">
        <v>227</v>
      </c>
      <c r="C171" s="171" t="s">
        <v>136</v>
      </c>
      <c r="D171" s="67">
        <v>2450462217</v>
      </c>
      <c r="E171" s="62">
        <f t="shared" si="119"/>
        <v>3.0662473254551584E-2</v>
      </c>
      <c r="F171" s="61">
        <v>5.8391999999999999</v>
      </c>
      <c r="G171" s="61">
        <v>5.9692999999999996</v>
      </c>
      <c r="H171" s="63">
        <v>2737</v>
      </c>
      <c r="I171" s="85">
        <v>0.57789999999999997</v>
      </c>
      <c r="J171" s="85">
        <v>0.3911</v>
      </c>
      <c r="K171" s="67">
        <v>2422307149.4699998</v>
      </c>
      <c r="L171" s="89">
        <f t="shared" si="120"/>
        <v>3.0294203228607763E-2</v>
      </c>
      <c r="M171" s="61">
        <v>5.7718999999999996</v>
      </c>
      <c r="N171" s="61">
        <v>5.9009</v>
      </c>
      <c r="O171" s="63">
        <v>2737</v>
      </c>
      <c r="P171" s="85">
        <v>-0.59750000000000003</v>
      </c>
      <c r="Q171" s="85">
        <v>0.36570000000000003</v>
      </c>
      <c r="R171" s="91">
        <f t="shared" si="121"/>
        <v>-1.1489696651788943E-2</v>
      </c>
      <c r="S171" s="91">
        <f t="shared" si="122"/>
        <v>-1.1458629990116024E-2</v>
      </c>
      <c r="T171" s="91">
        <f t="shared" si="122"/>
        <v>0</v>
      </c>
      <c r="U171" s="91">
        <f t="shared" si="123"/>
        <v>-1.1754</v>
      </c>
      <c r="V171" s="92">
        <f t="shared" si="123"/>
        <v>-2.5399999999999978E-2</v>
      </c>
    </row>
    <row r="172" spans="1:22">
      <c r="A172" s="174">
        <v>149</v>
      </c>
      <c r="B172" s="172" t="s">
        <v>228</v>
      </c>
      <c r="C172" s="171" t="s">
        <v>28</v>
      </c>
      <c r="D172" s="67">
        <v>931134618.50999999</v>
      </c>
      <c r="E172" s="62">
        <f t="shared" si="119"/>
        <v>1.1651226506729676E-2</v>
      </c>
      <c r="F172" s="61">
        <v>1.1348</v>
      </c>
      <c r="G172" s="61">
        <v>1.1416999999999999</v>
      </c>
      <c r="H172" s="63">
        <v>214</v>
      </c>
      <c r="I172" s="85">
        <v>-2.3300000000000001E-2</v>
      </c>
      <c r="J172" s="85">
        <v>0.13819999999999999</v>
      </c>
      <c r="K172" s="67">
        <v>911000077.04999995</v>
      </c>
      <c r="L172" s="89">
        <f t="shared" si="120"/>
        <v>1.1393279122950396E-2</v>
      </c>
      <c r="M172" s="61">
        <v>1.1417999999999999</v>
      </c>
      <c r="N172" s="61">
        <v>1.149</v>
      </c>
      <c r="O172" s="63">
        <v>212</v>
      </c>
      <c r="P172" s="85">
        <v>6.3E-3</v>
      </c>
      <c r="Q172" s="85">
        <v>0.1454</v>
      </c>
      <c r="R172" s="91">
        <f t="shared" ref="R172" si="124">((K172-D172)/D172)</f>
        <v>-2.1623663281061654E-2</v>
      </c>
      <c r="S172" s="91">
        <f t="shared" ref="S172" si="125">((N172-G172)/G172)</f>
        <v>6.3939738985723787E-3</v>
      </c>
      <c r="T172" s="91">
        <f t="shared" ref="T172" si="126">((O172-H172)/H172)</f>
        <v>-9.3457943925233638E-3</v>
      </c>
      <c r="U172" s="91">
        <f t="shared" ref="U172" si="127">P172-I172</f>
        <v>2.9600000000000001E-2</v>
      </c>
      <c r="V172" s="92">
        <f t="shared" ref="V172" si="128">Q172-J172</f>
        <v>7.2000000000000119E-3</v>
      </c>
    </row>
    <row r="173" spans="1:22">
      <c r="A173" s="174">
        <v>150</v>
      </c>
      <c r="B173" s="172" t="s">
        <v>229</v>
      </c>
      <c r="C173" s="171" t="s">
        <v>71</v>
      </c>
      <c r="D173" s="61">
        <v>6279605926.5415201</v>
      </c>
      <c r="E173" s="62">
        <f t="shared" si="119"/>
        <v>7.8576297743301618E-2</v>
      </c>
      <c r="F173" s="61">
        <v>11347.4713988273</v>
      </c>
      <c r="G173" s="61">
        <v>11431.566016890099</v>
      </c>
      <c r="H173" s="63">
        <v>1331</v>
      </c>
      <c r="I173" s="85">
        <v>-0.7581</v>
      </c>
      <c r="J173" s="85">
        <v>0.56920000000000004</v>
      </c>
      <c r="K173" s="61">
        <v>6310020688.3387899</v>
      </c>
      <c r="L173" s="89">
        <f t="shared" si="120"/>
        <v>7.8915280892879289E-2</v>
      </c>
      <c r="M173" s="61">
        <v>11410.609473807601</v>
      </c>
      <c r="N173" s="61">
        <v>11495.416786112901</v>
      </c>
      <c r="O173" s="63">
        <v>1332</v>
      </c>
      <c r="P173" s="85">
        <v>0.29010000000000002</v>
      </c>
      <c r="Q173" s="85">
        <v>0.56610000000000005</v>
      </c>
      <c r="R173" s="91">
        <f t="shared" si="121"/>
        <v>4.843418863071984E-3</v>
      </c>
      <c r="S173" s="91">
        <f t="shared" si="122"/>
        <v>5.5854787636673772E-3</v>
      </c>
      <c r="T173" s="91">
        <f t="shared" si="122"/>
        <v>7.513148009015778E-4</v>
      </c>
      <c r="U173" s="91">
        <f t="shared" si="123"/>
        <v>1.0482</v>
      </c>
      <c r="V173" s="92">
        <f t="shared" si="123"/>
        <v>-3.0999999999999917E-3</v>
      </c>
    </row>
    <row r="174" spans="1:22">
      <c r="A174" s="174">
        <v>151</v>
      </c>
      <c r="B174" s="172" t="s">
        <v>230</v>
      </c>
      <c r="C174" s="171" t="s">
        <v>73</v>
      </c>
      <c r="D174" s="61">
        <v>1237815497.72</v>
      </c>
      <c r="E174" s="62">
        <f t="shared" si="119"/>
        <v>1.5488704265505906E-2</v>
      </c>
      <c r="F174" s="61">
        <v>225.45</v>
      </c>
      <c r="G174" s="61">
        <v>227.13</v>
      </c>
      <c r="H174" s="63">
        <v>508</v>
      </c>
      <c r="I174" s="85">
        <v>-2.01E-2</v>
      </c>
      <c r="J174" s="85">
        <v>0.22600000000000001</v>
      </c>
      <c r="K174" s="61">
        <v>1243570672.8499999</v>
      </c>
      <c r="L174" s="89">
        <f t="shared" si="120"/>
        <v>1.5552520951233306E-2</v>
      </c>
      <c r="M174" s="61">
        <v>226.85</v>
      </c>
      <c r="N174" s="61">
        <v>228.55</v>
      </c>
      <c r="O174" s="63">
        <v>508</v>
      </c>
      <c r="P174" s="85">
        <v>6.1999999999999998E-3</v>
      </c>
      <c r="Q174" s="85">
        <v>0.23280000000000001</v>
      </c>
      <c r="R174" s="91">
        <f t="shared" si="121"/>
        <v>4.6494612004783003E-3</v>
      </c>
      <c r="S174" s="91">
        <f t="shared" si="122"/>
        <v>6.2519262096597363E-3</v>
      </c>
      <c r="T174" s="91">
        <f t="shared" si="122"/>
        <v>0</v>
      </c>
      <c r="U174" s="91">
        <f t="shared" si="123"/>
        <v>2.63E-2</v>
      </c>
      <c r="V174" s="92">
        <f t="shared" si="123"/>
        <v>6.8000000000000005E-3</v>
      </c>
    </row>
    <row r="175" spans="1:22">
      <c r="A175" s="174">
        <v>152</v>
      </c>
      <c r="B175" s="172" t="s">
        <v>231</v>
      </c>
      <c r="C175" s="171" t="s">
        <v>232</v>
      </c>
      <c r="D175" s="61">
        <v>1068247743.91</v>
      </c>
      <c r="E175" s="62">
        <f t="shared" si="119"/>
        <v>1.3366914066104716E-2</v>
      </c>
      <c r="F175" s="61">
        <v>2.0608</v>
      </c>
      <c r="G175" s="61">
        <v>2.0939000000000001</v>
      </c>
      <c r="H175" s="63">
        <v>3018</v>
      </c>
      <c r="I175" s="85">
        <v>-2.5899999999999999E-2</v>
      </c>
      <c r="J175" s="85">
        <v>0.40770000000000001</v>
      </c>
      <c r="K175" s="61">
        <v>1085351531.02</v>
      </c>
      <c r="L175" s="89">
        <f t="shared" si="120"/>
        <v>1.3573778148817573E-2</v>
      </c>
      <c r="M175" s="61">
        <v>2.0813000000000001</v>
      </c>
      <c r="N175" s="61">
        <v>2.1147</v>
      </c>
      <c r="O175" s="63">
        <v>3172</v>
      </c>
      <c r="P175" s="85">
        <v>9.9000000000000008E-3</v>
      </c>
      <c r="Q175" s="85">
        <v>0.42180000000000001</v>
      </c>
      <c r="R175" s="91">
        <f t="shared" si="121"/>
        <v>1.601106785154232E-2</v>
      </c>
      <c r="S175" s="91">
        <f t="shared" si="122"/>
        <v>9.9336166961172586E-3</v>
      </c>
      <c r="T175" s="91">
        <f t="shared" si="122"/>
        <v>5.1027170311464545E-2</v>
      </c>
      <c r="U175" s="91">
        <f t="shared" si="123"/>
        <v>3.5799999999999998E-2</v>
      </c>
      <c r="V175" s="92">
        <f t="shared" si="123"/>
        <v>1.4100000000000001E-2</v>
      </c>
    </row>
    <row r="176" spans="1:22">
      <c r="A176" s="174">
        <v>153</v>
      </c>
      <c r="B176" s="172" t="s">
        <v>233</v>
      </c>
      <c r="C176" s="171" t="s">
        <v>30</v>
      </c>
      <c r="D176" s="79">
        <v>174115029.81</v>
      </c>
      <c r="E176" s="62">
        <f t="shared" si="119"/>
        <v>2.1786899662140668E-3</v>
      </c>
      <c r="F176" s="61">
        <v>205.8415</v>
      </c>
      <c r="G176" s="61">
        <v>207.2989</v>
      </c>
      <c r="H176" s="63">
        <v>155</v>
      </c>
      <c r="I176" s="85">
        <v>-1.547E-3</v>
      </c>
      <c r="J176" s="85">
        <v>0.2878</v>
      </c>
      <c r="K176" s="79">
        <v>171944297.38999999</v>
      </c>
      <c r="L176" s="89">
        <f t="shared" si="120"/>
        <v>2.1503943008517896E-3</v>
      </c>
      <c r="M176" s="61">
        <v>203.64019999999999</v>
      </c>
      <c r="N176" s="61">
        <v>205.07689999999999</v>
      </c>
      <c r="O176" s="63">
        <v>156</v>
      </c>
      <c r="P176" s="85">
        <v>-2.117E-3</v>
      </c>
      <c r="Q176" s="85">
        <v>0.27400000000000002</v>
      </c>
      <c r="R176" s="91">
        <f t="shared" si="121"/>
        <v>-1.2467231705205407E-2</v>
      </c>
      <c r="S176" s="91">
        <f t="shared" si="122"/>
        <v>-1.0718821952263173E-2</v>
      </c>
      <c r="T176" s="91">
        <f t="shared" si="122"/>
        <v>6.4516129032258064E-3</v>
      </c>
      <c r="U176" s="91">
        <f t="shared" si="123"/>
        <v>-5.6999999999999998E-4</v>
      </c>
      <c r="V176" s="92">
        <f t="shared" si="123"/>
        <v>-1.3799999999999979E-2</v>
      </c>
    </row>
    <row r="177" spans="1:22">
      <c r="A177" s="174">
        <v>154</v>
      </c>
      <c r="B177" s="172" t="s">
        <v>234</v>
      </c>
      <c r="C177" s="171" t="s">
        <v>79</v>
      </c>
      <c r="D177" s="79">
        <v>357345932.12</v>
      </c>
      <c r="E177" s="62">
        <f t="shared" si="119"/>
        <v>4.4714462480742283E-3</v>
      </c>
      <c r="F177" s="61">
        <v>163.56</v>
      </c>
      <c r="G177" s="61">
        <v>164.32</v>
      </c>
      <c r="H177" s="63">
        <v>52</v>
      </c>
      <c r="I177" s="85">
        <v>-1.15E-2</v>
      </c>
      <c r="J177" s="85">
        <v>0.42570000000000002</v>
      </c>
      <c r="K177" s="79">
        <v>354881053.14999998</v>
      </c>
      <c r="L177" s="89">
        <f t="shared" si="120"/>
        <v>4.4382640527072439E-3</v>
      </c>
      <c r="M177" s="61">
        <v>162.41999999999999</v>
      </c>
      <c r="N177" s="61">
        <v>163.25</v>
      </c>
      <c r="O177" s="63">
        <v>52</v>
      </c>
      <c r="P177" s="85">
        <v>-9.2999999999999992E-3</v>
      </c>
      <c r="Q177" s="85">
        <v>0.41639999999999999</v>
      </c>
      <c r="R177" s="91">
        <f t="shared" si="121"/>
        <v>-6.8977389930726845E-3</v>
      </c>
      <c r="S177" s="91">
        <f t="shared" si="122"/>
        <v>-6.5116845180135906E-3</v>
      </c>
      <c r="T177" s="91">
        <f t="shared" si="122"/>
        <v>0</v>
      </c>
      <c r="U177" s="91">
        <f t="shared" si="123"/>
        <v>2.2000000000000006E-3</v>
      </c>
      <c r="V177" s="92">
        <f t="shared" si="123"/>
        <v>-9.3000000000000305E-3</v>
      </c>
    </row>
    <row r="178" spans="1:22" ht="15.75" customHeight="1">
      <c r="A178" s="174">
        <v>155</v>
      </c>
      <c r="B178" s="172" t="s">
        <v>235</v>
      </c>
      <c r="C178" s="171" t="s">
        <v>82</v>
      </c>
      <c r="D178" s="67">
        <v>506534919.92000002</v>
      </c>
      <c r="E178" s="62">
        <f t="shared" si="119"/>
        <v>6.338238282881237E-3</v>
      </c>
      <c r="F178" s="61">
        <v>1.76</v>
      </c>
      <c r="G178" s="61">
        <v>1.7844</v>
      </c>
      <c r="H178" s="63">
        <v>115</v>
      </c>
      <c r="I178" s="85">
        <v>0.43509999999999999</v>
      </c>
      <c r="J178" s="85">
        <v>0.45479999999999998</v>
      </c>
      <c r="K178" s="67">
        <v>506613676.06999999</v>
      </c>
      <c r="L178" s="89">
        <f t="shared" si="120"/>
        <v>6.3358842269918836E-3</v>
      </c>
      <c r="M178" s="61">
        <v>1.77</v>
      </c>
      <c r="N178" s="61">
        <v>1.79</v>
      </c>
      <c r="O178" s="63">
        <v>114</v>
      </c>
      <c r="P178" s="85">
        <v>0.43509999999999999</v>
      </c>
      <c r="Q178" s="85">
        <v>0.45319999999999999</v>
      </c>
      <c r="R178" s="91">
        <f t="shared" si="121"/>
        <v>1.5548019870459192E-4</v>
      </c>
      <c r="S178" s="91">
        <f t="shared" si="122"/>
        <v>3.138309796009891E-3</v>
      </c>
      <c r="T178" s="91">
        <f t="shared" si="122"/>
        <v>-8.6956521739130436E-3</v>
      </c>
      <c r="U178" s="91">
        <f t="shared" si="123"/>
        <v>0</v>
      </c>
      <c r="V178" s="92">
        <f t="shared" si="123"/>
        <v>-1.5999999999999903E-3</v>
      </c>
    </row>
    <row r="179" spans="1:22">
      <c r="A179" s="174">
        <v>156</v>
      </c>
      <c r="B179" s="172" t="s">
        <v>236</v>
      </c>
      <c r="C179" s="171" t="s">
        <v>32</v>
      </c>
      <c r="D179" s="61">
        <v>13988544845.309999</v>
      </c>
      <c r="E179" s="62">
        <f t="shared" si="119"/>
        <v>0.17503774561948829</v>
      </c>
      <c r="F179" s="61">
        <v>462.97</v>
      </c>
      <c r="G179" s="61">
        <v>467.56</v>
      </c>
      <c r="H179" s="63">
        <v>5530</v>
      </c>
      <c r="I179" s="85">
        <v>-1.9300000000000001E-2</v>
      </c>
      <c r="J179" s="85">
        <v>0.4284</v>
      </c>
      <c r="K179" s="61">
        <v>13887113070.200001</v>
      </c>
      <c r="L179" s="89">
        <f t="shared" si="120"/>
        <v>0.17367699455427971</v>
      </c>
      <c r="M179" s="61">
        <v>418.83</v>
      </c>
      <c r="N179" s="61">
        <v>422.8</v>
      </c>
      <c r="O179" s="63">
        <v>5538</v>
      </c>
      <c r="P179" s="85">
        <v>-9.5500000000000002E-2</v>
      </c>
      <c r="Q179" s="85">
        <v>0.42309999999999998</v>
      </c>
      <c r="R179" s="91">
        <f t="shared" si="121"/>
        <v>-7.2510597944007152E-3</v>
      </c>
      <c r="S179" s="91">
        <f t="shared" si="122"/>
        <v>-9.5731029172726481E-2</v>
      </c>
      <c r="T179" s="91">
        <f t="shared" si="122"/>
        <v>1.4466546112115732E-3</v>
      </c>
      <c r="U179" s="91">
        <f t="shared" si="123"/>
        <v>-7.6200000000000004E-2</v>
      </c>
      <c r="V179" s="92">
        <f t="shared" si="123"/>
        <v>-5.3000000000000269E-3</v>
      </c>
    </row>
    <row r="180" spans="1:22">
      <c r="A180" s="174">
        <v>157</v>
      </c>
      <c r="B180" s="172" t="s">
        <v>237</v>
      </c>
      <c r="C180" s="171" t="s">
        <v>92</v>
      </c>
      <c r="D180" s="61">
        <v>4321111978.9399996</v>
      </c>
      <c r="E180" s="62">
        <f t="shared" si="119"/>
        <v>5.4069791227542199E-2</v>
      </c>
      <c r="F180" s="61">
        <v>2.9984999999999999</v>
      </c>
      <c r="G180" s="61">
        <v>3.0573000000000001</v>
      </c>
      <c r="H180" s="63">
        <v>10207</v>
      </c>
      <c r="I180" s="85">
        <v>-1.66E-2</v>
      </c>
      <c r="J180" s="85">
        <v>0.29470000000000002</v>
      </c>
      <c r="K180" s="61">
        <v>4322004760.21</v>
      </c>
      <c r="L180" s="89">
        <f t="shared" si="120"/>
        <v>5.4052472490724278E-2</v>
      </c>
      <c r="M180" s="61">
        <v>2.9965000000000002</v>
      </c>
      <c r="N180" s="61">
        <v>3.0550000000000002</v>
      </c>
      <c r="O180" s="63">
        <v>10207</v>
      </c>
      <c r="P180" s="85">
        <v>-6.9999999999999999E-4</v>
      </c>
      <c r="Q180" s="85">
        <v>0.29380000000000001</v>
      </c>
      <c r="R180" s="91">
        <f t="shared" si="121"/>
        <v>2.0660914930037606E-4</v>
      </c>
      <c r="S180" s="91">
        <f t="shared" si="122"/>
        <v>-7.5229777908611146E-4</v>
      </c>
      <c r="T180" s="91">
        <f t="shared" si="122"/>
        <v>0</v>
      </c>
      <c r="U180" s="91">
        <f t="shared" si="123"/>
        <v>1.5900000000000001E-2</v>
      </c>
      <c r="V180" s="92">
        <f t="shared" si="123"/>
        <v>-9.000000000000119E-4</v>
      </c>
    </row>
    <row r="181" spans="1:22">
      <c r="A181" s="174">
        <v>158</v>
      </c>
      <c r="B181" s="172" t="s">
        <v>238</v>
      </c>
      <c r="C181" s="171" t="s">
        <v>94</v>
      </c>
      <c r="D181" s="61">
        <v>290284610.56999999</v>
      </c>
      <c r="E181" s="62">
        <f t="shared" si="119"/>
        <v>3.6323123229818595E-3</v>
      </c>
      <c r="F181" s="61">
        <v>330.9</v>
      </c>
      <c r="G181" s="61">
        <v>333.07</v>
      </c>
      <c r="H181" s="63">
        <v>32</v>
      </c>
      <c r="I181" s="85">
        <v>-2E-3</v>
      </c>
      <c r="J181" s="85">
        <v>0.15210000000000001</v>
      </c>
      <c r="K181" s="61">
        <v>293930073.75999999</v>
      </c>
      <c r="L181" s="89">
        <f t="shared" si="120"/>
        <v>3.6759902192557972E-3</v>
      </c>
      <c r="M181" s="61">
        <v>333.72640000000001</v>
      </c>
      <c r="N181" s="61">
        <v>335.9271</v>
      </c>
      <c r="O181" s="63">
        <v>32</v>
      </c>
      <c r="P181" s="85">
        <v>8.0999999999999996E-3</v>
      </c>
      <c r="Q181" s="85">
        <v>0.16070000000000001</v>
      </c>
      <c r="R181" s="91">
        <f t="shared" si="121"/>
        <v>1.2558237871590237E-2</v>
      </c>
      <c r="S181" s="91">
        <f t="shared" si="122"/>
        <v>8.5780766805776641E-3</v>
      </c>
      <c r="T181" s="91">
        <f t="shared" si="122"/>
        <v>0</v>
      </c>
      <c r="U181" s="91">
        <f t="shared" si="123"/>
        <v>1.01E-2</v>
      </c>
      <c r="V181" s="92">
        <f t="shared" si="123"/>
        <v>8.5999999999999965E-3</v>
      </c>
    </row>
    <row r="182" spans="1:22">
      <c r="A182" s="174">
        <v>159</v>
      </c>
      <c r="B182" s="172" t="s">
        <v>239</v>
      </c>
      <c r="C182" s="172" t="s">
        <v>96</v>
      </c>
      <c r="D182" s="82">
        <v>70230003.205612004</v>
      </c>
      <c r="E182" s="62">
        <f t="shared" si="119"/>
        <v>8.7878343115018538E-4</v>
      </c>
      <c r="F182" s="61">
        <v>1.3580000000000001</v>
      </c>
      <c r="G182" s="61">
        <v>1.383</v>
      </c>
      <c r="H182" s="63">
        <v>30</v>
      </c>
      <c r="I182" s="85">
        <v>-1.5699999999999999E-2</v>
      </c>
      <c r="J182" s="85">
        <v>0.14940000000000001</v>
      </c>
      <c r="K182" s="82">
        <v>70406618.942500502</v>
      </c>
      <c r="L182" s="89">
        <f t="shared" si="120"/>
        <v>8.805293017237455E-4</v>
      </c>
      <c r="M182" s="61">
        <v>1.361</v>
      </c>
      <c r="N182" s="61">
        <v>1.3859999999999999</v>
      </c>
      <c r="O182" s="63">
        <v>30</v>
      </c>
      <c r="P182" s="85">
        <v>2.5000000000000001E-3</v>
      </c>
      <c r="Q182" s="85">
        <v>0.15229999999999999</v>
      </c>
      <c r="R182" s="91">
        <f t="shared" si="121"/>
        <v>2.5148188641173934E-3</v>
      </c>
      <c r="S182" s="91">
        <f t="shared" si="122"/>
        <v>2.1691973969630452E-3</v>
      </c>
      <c r="T182" s="91">
        <f t="shared" si="122"/>
        <v>0</v>
      </c>
      <c r="U182" s="91">
        <f t="shared" si="123"/>
        <v>1.8199999999999997E-2</v>
      </c>
      <c r="V182" s="92">
        <f t="shared" si="123"/>
        <v>2.8999999999999859E-3</v>
      </c>
    </row>
    <row r="183" spans="1:22" ht="13.5" customHeight="1">
      <c r="A183" s="174">
        <v>160</v>
      </c>
      <c r="B183" s="172" t="s">
        <v>240</v>
      </c>
      <c r="C183" s="171" t="s">
        <v>38</v>
      </c>
      <c r="D183" s="67">
        <v>4970503403.2799997</v>
      </c>
      <c r="E183" s="62">
        <f t="shared" si="119"/>
        <v>6.2195583595374658E-2</v>
      </c>
      <c r="F183" s="61">
        <v>5.9616179999999996</v>
      </c>
      <c r="G183" s="61">
        <v>6.0986079999999996</v>
      </c>
      <c r="H183" s="63">
        <v>3313</v>
      </c>
      <c r="I183" s="85">
        <v>-1.8499999999999999E-2</v>
      </c>
      <c r="J183" s="85">
        <v>0.40629999999999999</v>
      </c>
      <c r="K183" s="67">
        <v>4984320714.7600002</v>
      </c>
      <c r="L183" s="89">
        <f t="shared" si="120"/>
        <v>6.2335622764659246E-2</v>
      </c>
      <c r="M183" s="61">
        <v>5.9669999999999996</v>
      </c>
      <c r="N183" s="61">
        <v>6.1067999999999998</v>
      </c>
      <c r="O183" s="63">
        <v>3355</v>
      </c>
      <c r="P183" s="85">
        <v>8.9999999999999998E-4</v>
      </c>
      <c r="Q183" s="85">
        <v>0.40760000000000002</v>
      </c>
      <c r="R183" s="91">
        <f t="shared" si="121"/>
        <v>2.7798615872353192E-3</v>
      </c>
      <c r="S183" s="91">
        <f t="shared" si="122"/>
        <v>1.3432573465945344E-3</v>
      </c>
      <c r="T183" s="91">
        <f t="shared" si="122"/>
        <v>1.2677331723513431E-2</v>
      </c>
      <c r="U183" s="91">
        <f t="shared" si="123"/>
        <v>1.9400000000000001E-2</v>
      </c>
      <c r="V183" s="92">
        <f t="shared" si="123"/>
        <v>1.3000000000000234E-3</v>
      </c>
    </row>
    <row r="184" spans="1:22" ht="13.5" customHeight="1">
      <c r="A184" s="174">
        <v>161</v>
      </c>
      <c r="B184" s="172" t="s">
        <v>241</v>
      </c>
      <c r="C184" s="171" t="s">
        <v>242</v>
      </c>
      <c r="D184" s="67">
        <v>107827184.05</v>
      </c>
      <c r="E184" s="62">
        <f t="shared" si="119"/>
        <v>1.3492344930314574E-3</v>
      </c>
      <c r="F184" s="61">
        <v>2.7471000000000001</v>
      </c>
      <c r="G184" s="61">
        <v>2.7606999999999999</v>
      </c>
      <c r="H184" s="63">
        <v>108</v>
      </c>
      <c r="I184" s="85">
        <v>1E-3</v>
      </c>
      <c r="J184" s="85">
        <v>0.30599999999999999</v>
      </c>
      <c r="K184" s="67">
        <v>107698162.59999999</v>
      </c>
      <c r="L184" s="89">
        <f t="shared" si="120"/>
        <v>1.3469101248641843E-3</v>
      </c>
      <c r="M184" s="61">
        <v>2.7627999999999999</v>
      </c>
      <c r="N184" s="61">
        <v>2.7746</v>
      </c>
      <c r="O184" s="63">
        <v>108</v>
      </c>
      <c r="P184" s="85">
        <v>5.0000000000000001E-3</v>
      </c>
      <c r="Q184" s="85">
        <v>0.313</v>
      </c>
      <c r="R184" s="91">
        <f t="shared" si="121"/>
        <v>-1.1965577246288385E-3</v>
      </c>
      <c r="S184" s="91">
        <f t="shared" si="122"/>
        <v>5.0349549027420672E-3</v>
      </c>
      <c r="T184" s="91">
        <f t="shared" si="122"/>
        <v>0</v>
      </c>
      <c r="U184" s="91">
        <f>P184-I184</f>
        <v>4.0000000000000001E-3</v>
      </c>
      <c r="V184" s="92">
        <f>Q184-J184</f>
        <v>7.0000000000000062E-3</v>
      </c>
    </row>
    <row r="185" spans="1:22">
      <c r="A185" s="174">
        <v>162</v>
      </c>
      <c r="B185" s="172" t="s">
        <v>243</v>
      </c>
      <c r="C185" s="171" t="s">
        <v>152</v>
      </c>
      <c r="D185" s="67">
        <v>957937845.10000002</v>
      </c>
      <c r="E185" s="62">
        <f t="shared" si="119"/>
        <v>1.1986613525860182E-2</v>
      </c>
      <c r="F185" s="61">
        <v>351.31</v>
      </c>
      <c r="G185" s="61">
        <v>355.19</v>
      </c>
      <c r="H185" s="63">
        <v>158</v>
      </c>
      <c r="I185" s="85">
        <v>1.37E-2</v>
      </c>
      <c r="J185" s="85">
        <v>0.52390000000000003</v>
      </c>
      <c r="K185" s="67">
        <v>949086327.85000002</v>
      </c>
      <c r="L185" s="89">
        <f t="shared" si="120"/>
        <v>1.1869598825925873E-2</v>
      </c>
      <c r="M185" s="61">
        <v>347.74</v>
      </c>
      <c r="N185" s="61">
        <v>351.53</v>
      </c>
      <c r="O185" s="63">
        <v>248</v>
      </c>
      <c r="P185" s="85">
        <v>1.37E-2</v>
      </c>
      <c r="Q185" s="85">
        <v>0.52390000000000003</v>
      </c>
      <c r="R185" s="91">
        <f t="shared" si="121"/>
        <v>-9.2401790943711822E-3</v>
      </c>
      <c r="S185" s="91">
        <f t="shared" si="122"/>
        <v>-1.0304344153833231E-2</v>
      </c>
      <c r="T185" s="91">
        <f t="shared" si="122"/>
        <v>0.569620253164557</v>
      </c>
      <c r="U185" s="91">
        <f t="shared" si="123"/>
        <v>0</v>
      </c>
      <c r="V185" s="92">
        <f t="shared" si="123"/>
        <v>0</v>
      </c>
    </row>
    <row r="186" spans="1:22">
      <c r="A186" s="174">
        <v>163</v>
      </c>
      <c r="B186" s="172" t="s">
        <v>244</v>
      </c>
      <c r="C186" s="171" t="s">
        <v>34</v>
      </c>
      <c r="D186" s="67">
        <v>2171324807.71</v>
      </c>
      <c r="E186" s="62">
        <f t="shared" si="119"/>
        <v>2.7169645131219847E-2</v>
      </c>
      <c r="F186" s="61">
        <v>552.22</v>
      </c>
      <c r="G186" s="61">
        <v>552.22</v>
      </c>
      <c r="H186" s="63">
        <v>823</v>
      </c>
      <c r="I186" s="85">
        <v>6.8399999999999997E-3</v>
      </c>
      <c r="J186" s="85">
        <v>-3.6049999999999999E-2</v>
      </c>
      <c r="K186" s="67">
        <v>2183734315.3800001</v>
      </c>
      <c r="L186" s="89">
        <f t="shared" si="120"/>
        <v>2.7310529617138337E-2</v>
      </c>
      <c r="M186" s="61">
        <v>552.22</v>
      </c>
      <c r="N186" s="61">
        <v>552.22</v>
      </c>
      <c r="O186" s="63">
        <v>823</v>
      </c>
      <c r="P186" s="85">
        <v>5.7999999999999996E-3</v>
      </c>
      <c r="Q186" s="85">
        <v>-1.1999999999999999E-3</v>
      </c>
      <c r="R186" s="91">
        <f t="shared" si="121"/>
        <v>5.7151779530800985E-3</v>
      </c>
      <c r="S186" s="91">
        <f t="shared" si="122"/>
        <v>0</v>
      </c>
      <c r="T186" s="91">
        <f t="shared" si="122"/>
        <v>0</v>
      </c>
      <c r="U186" s="91">
        <f t="shared" si="123"/>
        <v>-1.0400000000000001E-3</v>
      </c>
      <c r="V186" s="92">
        <f t="shared" si="123"/>
        <v>3.4849999999999999E-2</v>
      </c>
    </row>
    <row r="187" spans="1:22">
      <c r="A187" s="174">
        <v>164</v>
      </c>
      <c r="B187" s="172" t="s">
        <v>245</v>
      </c>
      <c r="C187" s="171" t="s">
        <v>106</v>
      </c>
      <c r="D187" s="61">
        <v>45972538.640000001</v>
      </c>
      <c r="E187" s="62">
        <f t="shared" si="119"/>
        <v>5.7525136552343719E-4</v>
      </c>
      <c r="F187" s="61">
        <v>2.5499999999999998</v>
      </c>
      <c r="G187" s="61">
        <v>2.5499999999999998</v>
      </c>
      <c r="H187" s="63">
        <v>8</v>
      </c>
      <c r="I187" s="85">
        <v>-2.4291E-2</v>
      </c>
      <c r="J187" s="85">
        <v>0.36378199999999999</v>
      </c>
      <c r="K187" s="61">
        <v>46238394.18</v>
      </c>
      <c r="L187" s="89">
        <f t="shared" si="120"/>
        <v>5.7827320146409977E-4</v>
      </c>
      <c r="M187" s="61">
        <v>2.57</v>
      </c>
      <c r="N187" s="61">
        <v>2.57</v>
      </c>
      <c r="O187" s="63">
        <v>8</v>
      </c>
      <c r="P187" s="85">
        <v>5.7829999999999999E-3</v>
      </c>
      <c r="Q187" s="85">
        <v>0.371668</v>
      </c>
      <c r="R187" s="91">
        <f t="shared" si="121"/>
        <v>5.7829205840001681E-3</v>
      </c>
      <c r="S187" s="91">
        <f t="shared" si="122"/>
        <v>7.8431372549019676E-3</v>
      </c>
      <c r="T187" s="91">
        <f t="shared" si="122"/>
        <v>0</v>
      </c>
      <c r="U187" s="91">
        <f t="shared" si="123"/>
        <v>3.0074E-2</v>
      </c>
      <c r="V187" s="92">
        <f t="shared" si="123"/>
        <v>7.8860000000000041E-3</v>
      </c>
    </row>
    <row r="188" spans="1:22">
      <c r="A188" s="174">
        <v>165</v>
      </c>
      <c r="B188" s="172" t="s">
        <v>246</v>
      </c>
      <c r="C188" s="171" t="s">
        <v>46</v>
      </c>
      <c r="D188" s="61">
        <v>406136527.99000001</v>
      </c>
      <c r="E188" s="62">
        <f t="shared" si="119"/>
        <v>5.0819597791781895E-3</v>
      </c>
      <c r="F188" s="61">
        <v>3.44</v>
      </c>
      <c r="G188" s="61">
        <v>3.51</v>
      </c>
      <c r="H188" s="63">
        <v>143</v>
      </c>
      <c r="I188" s="85">
        <v>8.0000000000000002E-3</v>
      </c>
      <c r="J188" s="85">
        <v>0.31680000000000003</v>
      </c>
      <c r="K188" s="61">
        <v>413434267.31</v>
      </c>
      <c r="L188" s="89">
        <f t="shared" si="120"/>
        <v>5.1705506125844037E-3</v>
      </c>
      <c r="M188" s="61">
        <v>3.46</v>
      </c>
      <c r="N188" s="61">
        <v>3.53</v>
      </c>
      <c r="O188" s="63">
        <v>139</v>
      </c>
      <c r="P188" s="85">
        <v>1.61E-2</v>
      </c>
      <c r="Q188" s="85">
        <v>0.32319999999999999</v>
      </c>
      <c r="R188" s="91">
        <f t="shared" si="121"/>
        <v>1.7968684954581773E-2</v>
      </c>
      <c r="S188" s="91">
        <f t="shared" si="122"/>
        <v>5.6980056980057035E-3</v>
      </c>
      <c r="T188" s="91">
        <f t="shared" si="122"/>
        <v>-2.7972027972027972E-2</v>
      </c>
      <c r="U188" s="91">
        <f t="shared" si="123"/>
        <v>8.0999999999999996E-3</v>
      </c>
      <c r="V188" s="92">
        <f t="shared" si="123"/>
        <v>6.3999999999999613E-3</v>
      </c>
    </row>
    <row r="189" spans="1:22">
      <c r="A189" s="174">
        <v>166</v>
      </c>
      <c r="B189" s="172" t="s">
        <v>247</v>
      </c>
      <c r="C189" s="171" t="s">
        <v>50</v>
      </c>
      <c r="D189" s="67">
        <v>4490759306.7399998</v>
      </c>
      <c r="E189" s="62">
        <f t="shared" si="119"/>
        <v>5.6192577131069413E-2</v>
      </c>
      <c r="F189" s="61">
        <v>9378.42</v>
      </c>
      <c r="G189" s="61">
        <v>9474.1299999999992</v>
      </c>
      <c r="H189" s="63">
        <v>3300</v>
      </c>
      <c r="I189" s="85">
        <v>-3.04E-2</v>
      </c>
      <c r="J189" s="85">
        <v>0.47189999999999999</v>
      </c>
      <c r="K189" s="67">
        <v>4532327784.1800003</v>
      </c>
      <c r="L189" s="62">
        <f t="shared" si="120"/>
        <v>5.6682844296874722E-2</v>
      </c>
      <c r="M189" s="61">
        <v>9438.36</v>
      </c>
      <c r="N189" s="61">
        <v>9524.5</v>
      </c>
      <c r="O189" s="63">
        <v>3332</v>
      </c>
      <c r="P189" s="85">
        <v>5.3E-3</v>
      </c>
      <c r="Q189" s="85">
        <v>0.47970000000000002</v>
      </c>
      <c r="R189" s="91">
        <f t="shared" si="121"/>
        <v>9.2564474291935619E-3</v>
      </c>
      <c r="S189" s="91">
        <f t="shared" si="122"/>
        <v>5.3165831585592349E-3</v>
      </c>
      <c r="T189" s="91">
        <f t="shared" si="122"/>
        <v>9.696969696969697E-3</v>
      </c>
      <c r="U189" s="91">
        <f t="shared" si="123"/>
        <v>3.5700000000000003E-2</v>
      </c>
      <c r="V189" s="92">
        <f t="shared" si="123"/>
        <v>7.8000000000000291E-3</v>
      </c>
    </row>
    <row r="190" spans="1:22">
      <c r="A190" s="174">
        <v>167</v>
      </c>
      <c r="B190" s="172" t="s">
        <v>248</v>
      </c>
      <c r="C190" s="172" t="s">
        <v>117</v>
      </c>
      <c r="D190" s="67">
        <v>155191826.38</v>
      </c>
      <c r="E190" s="62">
        <f t="shared" si="119"/>
        <v>1.9419051608669481E-3</v>
      </c>
      <c r="F190" s="61">
        <v>1399.1</v>
      </c>
      <c r="G190" s="61">
        <v>1419.53</v>
      </c>
      <c r="H190" s="63">
        <v>41</v>
      </c>
      <c r="I190" s="85">
        <v>-1.4E-3</v>
      </c>
      <c r="J190" s="85">
        <v>0.25829999999999997</v>
      </c>
      <c r="K190" s="67">
        <v>155661305.59999999</v>
      </c>
      <c r="L190" s="62">
        <f t="shared" si="120"/>
        <v>1.946753626066207E-3</v>
      </c>
      <c r="M190" s="61">
        <v>1405.94</v>
      </c>
      <c r="N190" s="61">
        <v>1426.53</v>
      </c>
      <c r="O190" s="63">
        <v>41</v>
      </c>
      <c r="P190" s="85">
        <v>3.0999999999999999E-3</v>
      </c>
      <c r="Q190" s="85">
        <v>0.26419999999999999</v>
      </c>
      <c r="R190" s="91">
        <f t="shared" si="121"/>
        <v>3.0251542942116047E-3</v>
      </c>
      <c r="S190" s="91">
        <f t="shared" si="122"/>
        <v>4.9312096257211899E-3</v>
      </c>
      <c r="T190" s="91">
        <f t="shared" si="122"/>
        <v>0</v>
      </c>
      <c r="U190" s="91">
        <f t="shared" si="123"/>
        <v>4.4999999999999997E-3</v>
      </c>
      <c r="V190" s="92">
        <f t="shared" si="123"/>
        <v>5.9000000000000163E-3</v>
      </c>
    </row>
    <row r="191" spans="1:22">
      <c r="A191" s="174">
        <v>168</v>
      </c>
      <c r="B191" s="172" t="s">
        <v>249</v>
      </c>
      <c r="C191" s="172" t="s">
        <v>96</v>
      </c>
      <c r="D191" s="67">
        <v>773392531.96123397</v>
      </c>
      <c r="E191" s="62">
        <f t="shared" si="119"/>
        <v>9.6774101073729257E-3</v>
      </c>
      <c r="F191" s="61">
        <v>1.4710000000000001</v>
      </c>
      <c r="G191" s="61">
        <v>1.4710000000000001</v>
      </c>
      <c r="H191" s="63">
        <v>49</v>
      </c>
      <c r="I191" s="85">
        <v>2.5999999999999999E-3</v>
      </c>
      <c r="J191" s="85">
        <v>9.7000000000000003E-2</v>
      </c>
      <c r="K191" s="67">
        <v>775370877.11684704</v>
      </c>
      <c r="L191" s="62">
        <f t="shared" si="120"/>
        <v>9.6970538744688348E-3</v>
      </c>
      <c r="M191" s="61">
        <v>1.4750000000000001</v>
      </c>
      <c r="N191" s="61">
        <v>1.4750000000000001</v>
      </c>
      <c r="O191" s="63">
        <v>49</v>
      </c>
      <c r="P191" s="85">
        <v>2.5999999999999999E-3</v>
      </c>
      <c r="Q191" s="85">
        <v>9.98E-2</v>
      </c>
      <c r="R191" s="91">
        <f t="shared" si="121"/>
        <v>2.5580091271326481E-3</v>
      </c>
      <c r="S191" s="91">
        <f t="shared" si="122"/>
        <v>2.7192386131883097E-3</v>
      </c>
      <c r="T191" s="91">
        <f t="shared" si="122"/>
        <v>0</v>
      </c>
      <c r="U191" s="91">
        <f t="shared" si="123"/>
        <v>0</v>
      </c>
      <c r="V191" s="92">
        <f t="shared" si="123"/>
        <v>2.7999999999999969E-3</v>
      </c>
    </row>
    <row r="192" spans="1:22">
      <c r="A192" s="174">
        <v>169</v>
      </c>
      <c r="B192" s="172" t="s">
        <v>250</v>
      </c>
      <c r="C192" s="171" t="s">
        <v>53</v>
      </c>
      <c r="D192" s="61">
        <v>3235792215.0100002</v>
      </c>
      <c r="E192" s="62">
        <f t="shared" si="119"/>
        <v>4.0489256092876277E-2</v>
      </c>
      <c r="F192" s="61">
        <v>2.1800999999999999</v>
      </c>
      <c r="G192" s="61">
        <v>2.1966999999999999</v>
      </c>
      <c r="H192" s="63">
        <v>2806</v>
      </c>
      <c r="I192" s="85">
        <v>-1.7100000000000001E-2</v>
      </c>
      <c r="J192" s="85">
        <v>0.30309999999999998</v>
      </c>
      <c r="K192" s="61">
        <v>3297198950.54</v>
      </c>
      <c r="L192" s="89">
        <f t="shared" si="120"/>
        <v>4.1235899879445939E-2</v>
      </c>
      <c r="M192" s="61">
        <v>2.1901999999999999</v>
      </c>
      <c r="N192" s="61">
        <v>2.2067000000000001</v>
      </c>
      <c r="O192" s="63">
        <v>2823</v>
      </c>
      <c r="P192" s="85">
        <v>4.5999999999999999E-3</v>
      </c>
      <c r="Q192" s="85">
        <v>0.30819999999999997</v>
      </c>
      <c r="R192" s="91">
        <f t="shared" si="121"/>
        <v>1.8977342007669661E-2</v>
      </c>
      <c r="S192" s="91">
        <f t="shared" si="122"/>
        <v>4.5522829699095151E-3</v>
      </c>
      <c r="T192" s="91">
        <f t="shared" si="122"/>
        <v>6.0584461867426945E-3</v>
      </c>
      <c r="U192" s="91">
        <f t="shared" si="123"/>
        <v>2.1700000000000001E-2</v>
      </c>
      <c r="V192" s="92">
        <f t="shared" si="123"/>
        <v>5.0999999999999934E-3</v>
      </c>
    </row>
    <row r="193" spans="1:24">
      <c r="A193" s="174">
        <v>170</v>
      </c>
      <c r="B193" s="172" t="s">
        <v>251</v>
      </c>
      <c r="C193" s="171" t="s">
        <v>53</v>
      </c>
      <c r="D193" s="61">
        <v>2092395933.9300001</v>
      </c>
      <c r="E193" s="62">
        <f t="shared" si="119"/>
        <v>2.6182013302211676E-2</v>
      </c>
      <c r="F193" s="61">
        <v>1.7477</v>
      </c>
      <c r="G193" s="61">
        <v>1.7599</v>
      </c>
      <c r="H193" s="63">
        <v>1369</v>
      </c>
      <c r="I193" s="85">
        <v>-1.47E-2</v>
      </c>
      <c r="J193" s="85">
        <v>0.35</v>
      </c>
      <c r="K193" s="61">
        <v>2123644771.5</v>
      </c>
      <c r="L193" s="89">
        <f t="shared" si="120"/>
        <v>2.6559029191350728E-2</v>
      </c>
      <c r="M193" s="61">
        <v>1.7435</v>
      </c>
      <c r="N193" s="61">
        <v>1.7555000000000001</v>
      </c>
      <c r="O193" s="63">
        <v>1381</v>
      </c>
      <c r="P193" s="85">
        <v>-2.3999999999999998E-3</v>
      </c>
      <c r="Q193" s="85">
        <v>0.3473</v>
      </c>
      <c r="R193" s="91">
        <f t="shared" si="121"/>
        <v>1.4934476340387184E-2</v>
      </c>
      <c r="S193" s="91">
        <f t="shared" si="122"/>
        <v>-2.5001420535257454E-3</v>
      </c>
      <c r="T193" s="91">
        <f t="shared" si="122"/>
        <v>8.7655222790357923E-3</v>
      </c>
      <c r="U193" s="91">
        <f t="shared" si="123"/>
        <v>1.23E-2</v>
      </c>
      <c r="V193" s="92">
        <f t="shared" si="123"/>
        <v>-2.6999999999999802E-3</v>
      </c>
    </row>
    <row r="194" spans="1:24">
      <c r="A194" s="174">
        <v>171</v>
      </c>
      <c r="B194" s="172" t="s">
        <v>252</v>
      </c>
      <c r="C194" s="171" t="s">
        <v>122</v>
      </c>
      <c r="D194" s="67">
        <v>11909913106.530001</v>
      </c>
      <c r="E194" s="62">
        <f t="shared" si="119"/>
        <v>0.14902796278985009</v>
      </c>
      <c r="F194" s="61">
        <v>685.08</v>
      </c>
      <c r="G194" s="61">
        <v>693.71</v>
      </c>
      <c r="H194" s="63">
        <v>38</v>
      </c>
      <c r="I194" s="85">
        <v>-4.5999999999999999E-3</v>
      </c>
      <c r="J194" s="85">
        <v>0.3251</v>
      </c>
      <c r="K194" s="67">
        <v>11936557217.26</v>
      </c>
      <c r="L194" s="89">
        <f t="shared" si="120"/>
        <v>0.14928267468834375</v>
      </c>
      <c r="M194" s="61">
        <v>686.63</v>
      </c>
      <c r="N194" s="61">
        <v>695.25</v>
      </c>
      <c r="O194" s="63">
        <v>38</v>
      </c>
      <c r="P194" s="85">
        <v>2.2000000000000001E-3</v>
      </c>
      <c r="Q194" s="85">
        <v>0.32800000000000001</v>
      </c>
      <c r="R194" s="91">
        <f t="shared" si="121"/>
        <v>2.2371372898926556E-3</v>
      </c>
      <c r="S194" s="91">
        <f t="shared" si="122"/>
        <v>2.2199478168110067E-3</v>
      </c>
      <c r="T194" s="91">
        <f t="shared" si="122"/>
        <v>0</v>
      </c>
      <c r="U194" s="91">
        <f t="shared" si="123"/>
        <v>6.8000000000000005E-3</v>
      </c>
      <c r="V194" s="92">
        <f t="shared" si="123"/>
        <v>2.9000000000000137E-3</v>
      </c>
    </row>
    <row r="195" spans="1:24">
      <c r="A195" s="70"/>
      <c r="B195" s="71"/>
      <c r="C195" s="72" t="s">
        <v>56</v>
      </c>
      <c r="D195" s="114">
        <f>SUM(D167:D194)</f>
        <v>79917304669.356689</v>
      </c>
      <c r="E195" s="74">
        <f>(D195/$D$229)</f>
        <v>1.1159447501517055E-2</v>
      </c>
      <c r="F195" s="75"/>
      <c r="G195" s="115"/>
      <c r="H195" s="77">
        <f>SUM(H167:H194)</f>
        <v>76490</v>
      </c>
      <c r="I195" s="133"/>
      <c r="J195" s="133"/>
      <c r="K195" s="114">
        <f>SUM(K167:K194)</f>
        <v>79959427590.508118</v>
      </c>
      <c r="L195" s="74">
        <f>(K195/$K$229)</f>
        <v>1.1067100778973455E-2</v>
      </c>
      <c r="M195" s="75"/>
      <c r="N195" s="115"/>
      <c r="O195" s="77">
        <f>SUM(O167:O194)</f>
        <v>76864</v>
      </c>
      <c r="P195" s="133"/>
      <c r="Q195" s="133"/>
      <c r="R195" s="91">
        <f t="shared" ref="R195" si="129">((K195-D195)/D195)</f>
        <v>5.2708135397839238E-4</v>
      </c>
      <c r="S195" s="91" t="e">
        <f t="shared" ref="S195" si="130">((N195-G195)/G195)</f>
        <v>#DIV/0!</v>
      </c>
      <c r="T195" s="91">
        <f t="shared" ref="T195" si="131">((O195-H195)/H195)</f>
        <v>4.8895280428814221E-3</v>
      </c>
      <c r="U195" s="91">
        <f t="shared" ref="U195" si="132">P195-I195</f>
        <v>0</v>
      </c>
      <c r="V195" s="92">
        <f t="shared" ref="V195" si="133">Q195-J195</f>
        <v>0</v>
      </c>
    </row>
    <row r="196" spans="1:24" ht="5.25" customHeight="1">
      <c r="A196" s="70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</row>
    <row r="197" spans="1:24" ht="15" customHeight="1">
      <c r="A197" s="183" t="s">
        <v>253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</row>
    <row r="198" spans="1:24">
      <c r="A198" s="169">
        <v>172</v>
      </c>
      <c r="B198" s="172" t="s">
        <v>254</v>
      </c>
      <c r="C198" s="171" t="s">
        <v>255</v>
      </c>
      <c r="D198" s="116">
        <v>1405873202.6300001</v>
      </c>
      <c r="E198" s="62">
        <f>(D198/$D$200)</f>
        <v>0.16879903037598443</v>
      </c>
      <c r="F198" s="117">
        <v>39.391300000000001</v>
      </c>
      <c r="G198" s="117">
        <v>39.7575</v>
      </c>
      <c r="H198" s="63">
        <v>1500</v>
      </c>
      <c r="I198" s="85">
        <v>-1.0500000000000001E-2</v>
      </c>
      <c r="J198" s="85">
        <v>0.47939999999999999</v>
      </c>
      <c r="K198" s="116">
        <v>1414765671.5699999</v>
      </c>
      <c r="L198" s="89">
        <f>(K198/$K$200)</f>
        <v>0.17009107417829514</v>
      </c>
      <c r="M198" s="117">
        <v>39.170499999999997</v>
      </c>
      <c r="N198" s="117">
        <v>39.531300000000002</v>
      </c>
      <c r="O198" s="63">
        <v>1501</v>
      </c>
      <c r="P198" s="85">
        <v>1.0999999999999999E-2</v>
      </c>
      <c r="Q198" s="85">
        <v>0.47099999999999997</v>
      </c>
      <c r="R198" s="91">
        <f>((K198-D198)/D198)</f>
        <v>6.3252282804483846E-3</v>
      </c>
      <c r="S198" s="91">
        <f t="shared" ref="S198:T200" si="134">((N198-G198)/G198)</f>
        <v>-5.6894925485757057E-3</v>
      </c>
      <c r="T198" s="91">
        <f t="shared" si="134"/>
        <v>6.6666666666666664E-4</v>
      </c>
      <c r="U198" s="91">
        <f t="shared" ref="U198:V200" si="135">P198-I198</f>
        <v>2.1499999999999998E-2</v>
      </c>
      <c r="V198" s="92">
        <f t="shared" si="135"/>
        <v>-8.4000000000000186E-3</v>
      </c>
    </row>
    <row r="199" spans="1:24">
      <c r="A199" s="169">
        <v>173</v>
      </c>
      <c r="B199" s="172" t="s">
        <v>256</v>
      </c>
      <c r="C199" s="171" t="s">
        <v>50</v>
      </c>
      <c r="D199" s="79">
        <v>6922807356.1300001</v>
      </c>
      <c r="E199" s="62">
        <f>(D199/$D$200)</f>
        <v>0.83120096962401557</v>
      </c>
      <c r="F199" s="117">
        <v>4.43</v>
      </c>
      <c r="G199" s="117">
        <v>4.49</v>
      </c>
      <c r="H199" s="63">
        <v>11432</v>
      </c>
      <c r="I199" s="85">
        <v>-3.44E-2</v>
      </c>
      <c r="J199" s="85">
        <v>0.54830000000000001</v>
      </c>
      <c r="K199" s="79">
        <v>6902929295.1099997</v>
      </c>
      <c r="L199" s="89">
        <f>(K199/$K$200)</f>
        <v>0.82990892582170483</v>
      </c>
      <c r="M199" s="117">
        <v>4.46</v>
      </c>
      <c r="N199" s="117">
        <v>4.5199999999999996</v>
      </c>
      <c r="O199" s="63">
        <v>11479</v>
      </c>
      <c r="P199" s="85">
        <v>6.7000000000000002E-3</v>
      </c>
      <c r="Q199" s="85">
        <v>0.55859999999999999</v>
      </c>
      <c r="R199" s="91">
        <f>((K199-D199)/D199)</f>
        <v>-2.8713872851595175E-3</v>
      </c>
      <c r="S199" s="91">
        <f t="shared" si="134"/>
        <v>6.6815144766145564E-3</v>
      </c>
      <c r="T199" s="91">
        <f t="shared" si="134"/>
        <v>4.1112666200139956E-3</v>
      </c>
      <c r="U199" s="91">
        <f t="shared" si="135"/>
        <v>4.1099999999999998E-2</v>
      </c>
      <c r="V199" s="92">
        <f t="shared" si="135"/>
        <v>1.0299999999999976E-2</v>
      </c>
    </row>
    <row r="200" spans="1:24">
      <c r="A200" s="70"/>
      <c r="B200" s="71"/>
      <c r="C200" s="106" t="s">
        <v>56</v>
      </c>
      <c r="D200" s="114">
        <f>SUM(D198:D199)</f>
        <v>8328680558.7600002</v>
      </c>
      <c r="E200" s="74">
        <f>(D200/$D$229)</f>
        <v>1.1629955969727041E-3</v>
      </c>
      <c r="F200" s="75"/>
      <c r="G200" s="115"/>
      <c r="H200" s="77">
        <f>SUM(H198:H199)</f>
        <v>12932</v>
      </c>
      <c r="I200" s="133"/>
      <c r="J200" s="133"/>
      <c r="K200" s="114">
        <f>SUM(K198:K199)</f>
        <v>8317694966.6799994</v>
      </c>
      <c r="L200" s="74">
        <f>(K200/$K$229)</f>
        <v>1.1512434645784692E-3</v>
      </c>
      <c r="M200" s="75"/>
      <c r="N200" s="115"/>
      <c r="O200" s="77">
        <f>SUM(O198:O199)</f>
        <v>12980</v>
      </c>
      <c r="P200" s="133"/>
      <c r="Q200" s="133"/>
      <c r="R200" s="91">
        <f>((K200-D200)/D200)</f>
        <v>-1.3190074949442467E-3</v>
      </c>
      <c r="S200" s="91" t="e">
        <f t="shared" si="134"/>
        <v>#DIV/0!</v>
      </c>
      <c r="T200" s="91">
        <f t="shared" si="134"/>
        <v>3.7117228580266005E-3</v>
      </c>
      <c r="U200" s="91">
        <f t="shared" si="135"/>
        <v>0</v>
      </c>
      <c r="V200" s="92">
        <f t="shared" si="135"/>
        <v>0</v>
      </c>
    </row>
    <row r="201" spans="1:24" ht="6" customHeight="1">
      <c r="A201" s="70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</row>
    <row r="202" spans="1:24" ht="15" customHeight="1">
      <c r="A202" s="179" t="s">
        <v>257</v>
      </c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</row>
    <row r="203" spans="1:24">
      <c r="A203" s="182" t="s">
        <v>258</v>
      </c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</row>
    <row r="204" spans="1:24">
      <c r="A204" s="169">
        <v>174</v>
      </c>
      <c r="B204" s="172" t="s">
        <v>259</v>
      </c>
      <c r="C204" s="171" t="s">
        <v>260</v>
      </c>
      <c r="D204" s="83">
        <v>7773932256.1000004</v>
      </c>
      <c r="E204" s="62">
        <f>(D204/$D$228)</f>
        <v>0.10618937236760742</v>
      </c>
      <c r="F204" s="118">
        <v>2.89</v>
      </c>
      <c r="G204" s="118">
        <v>2.94</v>
      </c>
      <c r="H204" s="81">
        <v>15283</v>
      </c>
      <c r="I204" s="88">
        <v>-6.8999999999999999E-3</v>
      </c>
      <c r="J204" s="88">
        <v>0.3387</v>
      </c>
      <c r="K204" s="83">
        <v>7991025643.7200003</v>
      </c>
      <c r="L204" s="62">
        <f>(K204/$K$228)</f>
        <v>0.1089109570647333</v>
      </c>
      <c r="M204" s="118">
        <v>2.87</v>
      </c>
      <c r="N204" s="118">
        <v>2.92</v>
      </c>
      <c r="O204" s="81">
        <v>15299</v>
      </c>
      <c r="P204" s="88">
        <v>-6.3E-3</v>
      </c>
      <c r="Q204" s="88">
        <v>0.33069999999999999</v>
      </c>
      <c r="R204" s="90">
        <f>((K204-D204)/D204)</f>
        <v>2.7925814178487652E-2</v>
      </c>
      <c r="S204" s="90">
        <f>((N204-G204)/G204)</f>
        <v>-6.80272108843538E-3</v>
      </c>
      <c r="T204" s="90">
        <f>((O204-H204)/H204)</f>
        <v>1.0469148727344107E-3</v>
      </c>
      <c r="U204" s="90">
        <f>P204-I204</f>
        <v>5.9999999999999984E-4</v>
      </c>
      <c r="V204" s="137">
        <f>Q204-J204</f>
        <v>-8.0000000000000071E-3</v>
      </c>
    </row>
    <row r="205" spans="1:24">
      <c r="A205" s="169">
        <v>175</v>
      </c>
      <c r="B205" s="172" t="s">
        <v>261</v>
      </c>
      <c r="C205" s="171" t="s">
        <v>50</v>
      </c>
      <c r="D205" s="83">
        <v>4300753775.0100002</v>
      </c>
      <c r="E205" s="62">
        <f>(D205/$D$228)</f>
        <v>5.87468901234088E-2</v>
      </c>
      <c r="F205" s="118">
        <v>933.35</v>
      </c>
      <c r="G205" s="118">
        <v>946.51</v>
      </c>
      <c r="H205" s="81">
        <v>2251</v>
      </c>
      <c r="I205" s="88">
        <v>-2.3599999999999999E-2</v>
      </c>
      <c r="J205" s="88">
        <v>0.87539999999999996</v>
      </c>
      <c r="K205" s="83">
        <v>3997506177.96</v>
      </c>
      <c r="L205" s="62">
        <f>(K205/$K$228)</f>
        <v>5.4482646299096625E-2</v>
      </c>
      <c r="M205" s="118">
        <v>911.84</v>
      </c>
      <c r="N205" s="118">
        <v>923.76</v>
      </c>
      <c r="O205" s="81">
        <v>2270</v>
      </c>
      <c r="P205" s="88">
        <v>-2.4E-2</v>
      </c>
      <c r="Q205" s="88">
        <v>0.83040000000000003</v>
      </c>
      <c r="R205" s="90">
        <f>((K205-D205)/D205)</f>
        <v>-7.0510336772138291E-2</v>
      </c>
      <c r="S205" s="90">
        <f>((N205-G205)/G205)</f>
        <v>-2.4035667874613052E-2</v>
      </c>
      <c r="T205" s="90">
        <f>((O205-H205)/H205)</f>
        <v>8.4406930253220786E-3</v>
      </c>
      <c r="U205" s="90">
        <f>P205-I205</f>
        <v>-4.0000000000000105E-4</v>
      </c>
      <c r="V205" s="137">
        <f>Q205-J205</f>
        <v>-4.4999999999999929E-2</v>
      </c>
    </row>
    <row r="206" spans="1:24" ht="6" customHeight="1">
      <c r="A206" s="105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</row>
    <row r="207" spans="1:24" ht="15" customHeight="1">
      <c r="A207" s="182" t="s">
        <v>194</v>
      </c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</row>
    <row r="208" spans="1:24">
      <c r="A208" s="169">
        <v>176</v>
      </c>
      <c r="B208" s="172" t="s">
        <v>262</v>
      </c>
      <c r="C208" s="171" t="s">
        <v>24</v>
      </c>
      <c r="D208" s="67">
        <v>1229516010.6600001</v>
      </c>
      <c r="E208" s="62">
        <f>(D208/$D$228)</f>
        <v>1.679478662622275E-2</v>
      </c>
      <c r="F208" s="117">
        <v>1.1269</v>
      </c>
      <c r="G208" s="117">
        <v>1.1269</v>
      </c>
      <c r="H208" s="63">
        <v>705</v>
      </c>
      <c r="I208" s="85">
        <v>0.14380000000000001</v>
      </c>
      <c r="J208" s="85">
        <v>0.1318</v>
      </c>
      <c r="K208" s="67">
        <v>1243538114.8800001</v>
      </c>
      <c r="L208" s="62">
        <f t="shared" ref="L208:L221" si="136">(K208/$K$228)</f>
        <v>1.6948378377998435E-2</v>
      </c>
      <c r="M208" s="117">
        <v>1.1298999999999999</v>
      </c>
      <c r="N208" s="117">
        <v>1.1298999999999999</v>
      </c>
      <c r="O208" s="63">
        <v>715</v>
      </c>
      <c r="P208" s="85">
        <v>0.13880000000000001</v>
      </c>
      <c r="Q208" s="85">
        <v>0.1323</v>
      </c>
      <c r="R208" s="91">
        <f>((K208-D208)/D208)</f>
        <v>1.1404572285702087E-2</v>
      </c>
      <c r="S208" s="91">
        <f>((N208-G208)/G208)</f>
        <v>2.6621705563935499E-3</v>
      </c>
      <c r="T208" s="91">
        <f>((O208-H208)/H208)</f>
        <v>1.4184397163120567E-2</v>
      </c>
      <c r="U208" s="91">
        <f>P208-I208</f>
        <v>-5.0000000000000044E-3</v>
      </c>
      <c r="V208" s="92">
        <f>Q208-J208</f>
        <v>5.0000000000000044E-4</v>
      </c>
      <c r="X208" s="138"/>
    </row>
    <row r="209" spans="1:24">
      <c r="A209" s="169">
        <v>177</v>
      </c>
      <c r="B209" s="172" t="s">
        <v>263</v>
      </c>
      <c r="C209" s="171" t="s">
        <v>264</v>
      </c>
      <c r="D209" s="67">
        <v>360030714.50999999</v>
      </c>
      <c r="E209" s="62">
        <f>(D209/$D$228)</f>
        <v>4.9179018220642384E-3</v>
      </c>
      <c r="F209" s="117">
        <v>1095.72</v>
      </c>
      <c r="G209" s="117">
        <v>1095.72</v>
      </c>
      <c r="H209" s="63">
        <v>17</v>
      </c>
      <c r="I209" s="85">
        <v>1.1999999999999999E-3</v>
      </c>
      <c r="J209" s="85">
        <v>7.6799999999999993E-2</v>
      </c>
      <c r="K209" s="67">
        <v>368955494.25</v>
      </c>
      <c r="L209" s="62">
        <f t="shared" si="136"/>
        <v>5.0285530024094614E-3</v>
      </c>
      <c r="M209" s="117">
        <v>1122.8800000000001</v>
      </c>
      <c r="N209" s="117">
        <v>1122.8800000000001</v>
      </c>
      <c r="O209" s="63">
        <v>17</v>
      </c>
      <c r="P209" s="85">
        <v>-8.9999999999999998E-4</v>
      </c>
      <c r="Q209" s="85">
        <v>7.5899999999999995E-2</v>
      </c>
      <c r="R209" s="91">
        <f>((K209-D209)/D209)</f>
        <v>2.4788939888494208E-2</v>
      </c>
      <c r="S209" s="91">
        <f>((N209-G209)/G209)</f>
        <v>2.4787354433614499E-2</v>
      </c>
      <c r="T209" s="91">
        <f>((O209-H209)/H209)</f>
        <v>0</v>
      </c>
      <c r="U209" s="91">
        <f>P209-I209</f>
        <v>-2.0999999999999999E-3</v>
      </c>
      <c r="V209" s="92">
        <f>Q209-J209</f>
        <v>-8.9999999999999802E-4</v>
      </c>
      <c r="X209" s="138"/>
    </row>
    <row r="210" spans="1:24">
      <c r="A210" s="169">
        <v>178</v>
      </c>
      <c r="B210" s="172" t="s">
        <v>265</v>
      </c>
      <c r="C210" s="171" t="s">
        <v>73</v>
      </c>
      <c r="D210" s="67">
        <v>310724798.66000003</v>
      </c>
      <c r="E210" s="62">
        <f>(D210/$D$228)</f>
        <v>4.2443991356968342E-3</v>
      </c>
      <c r="F210" s="117">
        <v>123.4</v>
      </c>
      <c r="G210" s="117">
        <v>123.4</v>
      </c>
      <c r="H210" s="63">
        <v>78</v>
      </c>
      <c r="I210" s="85">
        <v>1.5E-3</v>
      </c>
      <c r="J210" s="85">
        <v>0.13450000000000001</v>
      </c>
      <c r="K210" s="67">
        <v>311518444.50999999</v>
      </c>
      <c r="L210" s="62">
        <f t="shared" si="136"/>
        <v>4.2457343334349482E-3</v>
      </c>
      <c r="M210" s="117">
        <v>123.71</v>
      </c>
      <c r="N210" s="117">
        <v>123.71</v>
      </c>
      <c r="O210" s="63">
        <v>78</v>
      </c>
      <c r="P210" s="85">
        <v>2.5000000000000001E-3</v>
      </c>
      <c r="Q210" s="85">
        <v>0.13450000000000001</v>
      </c>
      <c r="R210" s="91">
        <f t="shared" ref="R210:R229" si="137">((K210-D210)/D210)</f>
        <v>2.5541760857921867E-3</v>
      </c>
      <c r="S210" s="91">
        <f t="shared" ref="S210:S228" si="138">((N210-G210)/G210)</f>
        <v>2.5121555915720265E-3</v>
      </c>
      <c r="T210" s="91">
        <f t="shared" ref="T210:T228" si="139">((O210-H210)/H210)</f>
        <v>0</v>
      </c>
      <c r="U210" s="91">
        <f t="shared" ref="U210:U228" si="140">P210-I210</f>
        <v>1E-3</v>
      </c>
      <c r="V210" s="92">
        <f t="shared" ref="V210:V228" si="141">Q210-J210</f>
        <v>0</v>
      </c>
    </row>
    <row r="211" spans="1:24">
      <c r="A211" s="169">
        <v>179</v>
      </c>
      <c r="B211" s="177" t="s">
        <v>266</v>
      </c>
      <c r="C211" s="171" t="s">
        <v>267</v>
      </c>
      <c r="D211" s="67">
        <v>52116513.579999998</v>
      </c>
      <c r="E211" s="62">
        <v>0</v>
      </c>
      <c r="F211" s="117">
        <v>102.27</v>
      </c>
      <c r="G211" s="117">
        <v>102.27</v>
      </c>
      <c r="H211" s="63">
        <v>12</v>
      </c>
      <c r="I211" s="85">
        <v>0</v>
      </c>
      <c r="J211" s="85">
        <v>2.2599999999999999E-2</v>
      </c>
      <c r="K211" s="67">
        <v>52915876.012747817</v>
      </c>
      <c r="L211" s="62">
        <f t="shared" si="136"/>
        <v>7.2119887451446956E-4</v>
      </c>
      <c r="M211" s="117">
        <v>103.96</v>
      </c>
      <c r="N211" s="117">
        <v>103.96</v>
      </c>
      <c r="O211" s="63">
        <v>12</v>
      </c>
      <c r="P211" s="85">
        <v>1.66E-2</v>
      </c>
      <c r="Q211" s="85">
        <v>3.9600000000000003E-2</v>
      </c>
      <c r="R211" s="91">
        <f t="shared" si="137"/>
        <v>1.533798747916588E-2</v>
      </c>
      <c r="S211" s="91">
        <f t="shared" si="138"/>
        <v>1.6524885108047303E-2</v>
      </c>
      <c r="T211" s="91">
        <f t="shared" si="139"/>
        <v>0</v>
      </c>
      <c r="U211" s="91">
        <f t="shared" si="140"/>
        <v>1.66E-2</v>
      </c>
      <c r="V211" s="92">
        <f t="shared" si="141"/>
        <v>1.7000000000000005E-2</v>
      </c>
    </row>
    <row r="212" spans="1:24">
      <c r="A212" s="169">
        <v>180</v>
      </c>
      <c r="B212" s="177" t="s">
        <v>268</v>
      </c>
      <c r="C212" s="171" t="s">
        <v>79</v>
      </c>
      <c r="D212" s="79">
        <v>66922164.409999996</v>
      </c>
      <c r="E212" s="62">
        <f>(D212/$D$228)</f>
        <v>9.1413488078745625E-4</v>
      </c>
      <c r="F212" s="117">
        <v>102.05</v>
      </c>
      <c r="G212" s="117">
        <v>102.05</v>
      </c>
      <c r="H212" s="63">
        <v>17</v>
      </c>
      <c r="I212" s="85">
        <v>2.3E-3</v>
      </c>
      <c r="J212" s="85">
        <v>9.0899999999999995E-2</v>
      </c>
      <c r="K212" s="79">
        <v>67034195.75</v>
      </c>
      <c r="L212" s="62">
        <f t="shared" si="136"/>
        <v>9.1361969548110625E-4</v>
      </c>
      <c r="M212" s="117">
        <v>102.23</v>
      </c>
      <c r="N212" s="117">
        <v>102.23</v>
      </c>
      <c r="O212" s="63">
        <v>17</v>
      </c>
      <c r="P212" s="85">
        <v>1.8E-3</v>
      </c>
      <c r="Q212" s="85">
        <v>9.2700000000000005E-2</v>
      </c>
      <c r="R212" s="91">
        <f t="shared" si="137"/>
        <v>1.6740543433957291E-3</v>
      </c>
      <c r="S212" s="91">
        <f t="shared" si="138"/>
        <v>1.7638412542871811E-3</v>
      </c>
      <c r="T212" s="91">
        <f t="shared" si="139"/>
        <v>0</v>
      </c>
      <c r="U212" s="91">
        <f t="shared" si="140"/>
        <v>-5.0000000000000001E-4</v>
      </c>
      <c r="V212" s="92">
        <f t="shared" si="141"/>
        <v>1.8000000000000099E-3</v>
      </c>
    </row>
    <row r="213" spans="1:24">
      <c r="A213" s="169">
        <v>181</v>
      </c>
      <c r="B213" s="172" t="s">
        <v>269</v>
      </c>
      <c r="C213" s="171" t="s">
        <v>82</v>
      </c>
      <c r="D213" s="79">
        <v>241088259.47</v>
      </c>
      <c r="E213" s="62">
        <v>0</v>
      </c>
      <c r="F213" s="117">
        <v>1.1399999999999999</v>
      </c>
      <c r="G213" s="117">
        <v>1.1399999999999999</v>
      </c>
      <c r="H213" s="63">
        <v>56</v>
      </c>
      <c r="I213" s="85">
        <v>1.8E-3</v>
      </c>
      <c r="J213" s="85">
        <v>0.11</v>
      </c>
      <c r="K213" s="79">
        <v>242204622.61000001</v>
      </c>
      <c r="L213" s="62">
        <f t="shared" si="136"/>
        <v>3.3010452512673648E-3</v>
      </c>
      <c r="M213" s="117">
        <v>1.1399999999999999</v>
      </c>
      <c r="N213" s="117">
        <v>1.1399999999999999</v>
      </c>
      <c r="O213" s="63">
        <v>56</v>
      </c>
      <c r="P213" s="85">
        <v>1.8E-3</v>
      </c>
      <c r="Q213" s="85">
        <v>0.10970000000000001</v>
      </c>
      <c r="R213" s="91">
        <f t="shared" ref="R213:R214" si="142">((K213-D213)/D213)</f>
        <v>4.63051640280696E-3</v>
      </c>
      <c r="S213" s="91">
        <f t="shared" ref="S213:S214" si="143">((N213-G213)/G213)</f>
        <v>0</v>
      </c>
      <c r="T213" s="91">
        <f t="shared" ref="T213" si="144">((O213-H213)/H213)</f>
        <v>0</v>
      </c>
      <c r="U213" s="91">
        <f t="shared" ref="U213" si="145">P213-I213</f>
        <v>0</v>
      </c>
      <c r="V213" s="92">
        <f t="shared" ref="V213" si="146">Q213-J213</f>
        <v>-2.9999999999999472E-4</v>
      </c>
    </row>
    <row r="214" spans="1:24">
      <c r="A214" s="169">
        <v>182</v>
      </c>
      <c r="B214" s="172" t="s">
        <v>270</v>
      </c>
      <c r="C214" s="171" t="s">
        <v>32</v>
      </c>
      <c r="D214" s="67">
        <v>4782398266.1700001</v>
      </c>
      <c r="E214" s="62">
        <f t="shared" ref="E214:E221" si="147">(D214/$D$228)</f>
        <v>6.5325996364071437E-2</v>
      </c>
      <c r="F214" s="117">
        <v>139.22999999999999</v>
      </c>
      <c r="G214" s="117">
        <v>139.22999999999999</v>
      </c>
      <c r="H214" s="63">
        <v>749</v>
      </c>
      <c r="I214" s="85">
        <v>-0.1424</v>
      </c>
      <c r="J214" s="85">
        <v>0.13450000000000001</v>
      </c>
      <c r="K214" s="67">
        <v>4766226723.3999996</v>
      </c>
      <c r="L214" s="62">
        <f t="shared" si="136"/>
        <v>6.4959660646433853E-2</v>
      </c>
      <c r="M214" s="117">
        <v>139.62</v>
      </c>
      <c r="N214" s="117">
        <v>139.62</v>
      </c>
      <c r="O214" s="63">
        <v>751</v>
      </c>
      <c r="P214" s="85">
        <v>2.8E-3</v>
      </c>
      <c r="Q214" s="85">
        <v>0.13719999999999999</v>
      </c>
      <c r="R214" s="91">
        <f t="shared" si="142"/>
        <v>-3.3814713601741692E-3</v>
      </c>
      <c r="S214" s="91">
        <f t="shared" si="143"/>
        <v>2.801120448179378E-3</v>
      </c>
      <c r="T214" s="91">
        <f t="shared" si="139"/>
        <v>2.6702269692923898E-3</v>
      </c>
      <c r="U214" s="91">
        <f t="shared" si="140"/>
        <v>0.1452</v>
      </c>
      <c r="V214" s="92">
        <f t="shared" si="141"/>
        <v>2.6999999999999802E-3</v>
      </c>
    </row>
    <row r="215" spans="1:24">
      <c r="A215" s="169">
        <v>183</v>
      </c>
      <c r="B215" s="172" t="s">
        <v>271</v>
      </c>
      <c r="C215" s="171" t="s">
        <v>71</v>
      </c>
      <c r="D215" s="67">
        <v>808623476.62893796</v>
      </c>
      <c r="E215" s="62">
        <f t="shared" si="147"/>
        <v>1.1045532252684842E-2</v>
      </c>
      <c r="F215" s="66">
        <v>1312.63987691805</v>
      </c>
      <c r="G215" s="66">
        <v>1312.63987691805</v>
      </c>
      <c r="H215" s="63">
        <v>280</v>
      </c>
      <c r="I215" s="85">
        <v>0.1187</v>
      </c>
      <c r="J215" s="85">
        <v>0.12720000000000001</v>
      </c>
      <c r="K215" s="67">
        <v>794328340.30983102</v>
      </c>
      <c r="L215" s="62">
        <f t="shared" si="136"/>
        <v>1.0826027048827246E-2</v>
      </c>
      <c r="M215" s="66">
        <v>1318.63166505245</v>
      </c>
      <c r="N215" s="66">
        <v>1318.63166505245</v>
      </c>
      <c r="O215" s="63">
        <v>280</v>
      </c>
      <c r="P215" s="85">
        <v>0.11899999999999999</v>
      </c>
      <c r="Q215" s="85">
        <v>0.1273</v>
      </c>
      <c r="R215" s="91">
        <f t="shared" si="137"/>
        <v>-1.7678359251578724E-2</v>
      </c>
      <c r="S215" s="91">
        <f t="shared" si="138"/>
        <v>4.5646854402047205E-3</v>
      </c>
      <c r="T215" s="91">
        <f t="shared" si="139"/>
        <v>0</v>
      </c>
      <c r="U215" s="91">
        <f t="shared" si="140"/>
        <v>2.9999999999999472E-4</v>
      </c>
      <c r="V215" s="92">
        <f t="shared" si="141"/>
        <v>9.9999999999988987E-5</v>
      </c>
    </row>
    <row r="216" spans="1:24">
      <c r="A216" s="169">
        <v>184</v>
      </c>
      <c r="B216" s="172" t="s">
        <v>272</v>
      </c>
      <c r="C216" s="171" t="s">
        <v>260</v>
      </c>
      <c r="D216" s="67">
        <v>36429881230.779999</v>
      </c>
      <c r="E216" s="62">
        <f t="shared" si="147"/>
        <v>0.49762026422181976</v>
      </c>
      <c r="F216" s="66">
        <v>1273.1600000000001</v>
      </c>
      <c r="G216" s="66">
        <v>1273.1600000000001</v>
      </c>
      <c r="H216" s="63">
        <v>11319</v>
      </c>
      <c r="I216" s="85">
        <v>2.5999999999999999E-3</v>
      </c>
      <c r="J216" s="85">
        <v>0.12839999999999999</v>
      </c>
      <c r="K216" s="67">
        <v>36766379802.699997</v>
      </c>
      <c r="L216" s="62">
        <f t="shared" si="136"/>
        <v>0.50109482695308483</v>
      </c>
      <c r="M216" s="66">
        <v>1278.21</v>
      </c>
      <c r="N216" s="66">
        <v>1278.21</v>
      </c>
      <c r="O216" s="63">
        <v>11367</v>
      </c>
      <c r="P216" s="85">
        <v>4.0000000000000001E-3</v>
      </c>
      <c r="Q216" s="85">
        <v>0.13239999999999999</v>
      </c>
      <c r="R216" s="91">
        <f t="shared" si="137"/>
        <v>9.2368835843386413E-3</v>
      </c>
      <c r="S216" s="91">
        <f t="shared" si="138"/>
        <v>3.9665085299569218E-3</v>
      </c>
      <c r="T216" s="91">
        <f t="shared" si="139"/>
        <v>4.2406573018817914E-3</v>
      </c>
      <c r="U216" s="91">
        <f t="shared" si="140"/>
        <v>1.4000000000000002E-3</v>
      </c>
      <c r="V216" s="92">
        <f t="shared" si="141"/>
        <v>4.0000000000000036E-3</v>
      </c>
    </row>
    <row r="217" spans="1:24">
      <c r="A217" s="169">
        <v>185</v>
      </c>
      <c r="B217" s="172" t="s">
        <v>273</v>
      </c>
      <c r="C217" s="171" t="s">
        <v>274</v>
      </c>
      <c r="D217" s="67">
        <v>358363449.36000001</v>
      </c>
      <c r="E217" s="62">
        <f t="shared" si="147"/>
        <v>4.895127525348447E-3</v>
      </c>
      <c r="F217" s="118">
        <v>117.58</v>
      </c>
      <c r="G217" s="118">
        <v>118.49</v>
      </c>
      <c r="H217" s="81">
        <v>132</v>
      </c>
      <c r="I217" s="85">
        <v>-5.4000000000000003E-3</v>
      </c>
      <c r="J217" s="85">
        <v>-5.2299999999999999E-2</v>
      </c>
      <c r="K217" s="67">
        <v>340803983.06</v>
      </c>
      <c r="L217" s="62">
        <f t="shared" si="136"/>
        <v>4.6448715873797187E-3</v>
      </c>
      <c r="M217" s="118">
        <v>117.87</v>
      </c>
      <c r="N217" s="118">
        <v>118.83</v>
      </c>
      <c r="O217" s="81">
        <v>132</v>
      </c>
      <c r="P217" s="85">
        <v>-2.8999999999999998E-3</v>
      </c>
      <c r="Q217" s="85">
        <v>-4.9599999999999998E-2</v>
      </c>
      <c r="R217" s="91">
        <f t="shared" si="137"/>
        <v>-4.8999043656264049E-2</v>
      </c>
      <c r="S217" s="91">
        <f t="shared" si="138"/>
        <v>2.8694404591105022E-3</v>
      </c>
      <c r="T217" s="91">
        <f t="shared" si="139"/>
        <v>0</v>
      </c>
      <c r="U217" s="91">
        <f t="shared" si="140"/>
        <v>2.5000000000000005E-3</v>
      </c>
      <c r="V217" s="92">
        <f t="shared" si="141"/>
        <v>2.700000000000001E-3</v>
      </c>
    </row>
    <row r="218" spans="1:24">
      <c r="A218" s="169">
        <v>186</v>
      </c>
      <c r="B218" s="172" t="s">
        <v>275</v>
      </c>
      <c r="C218" s="171" t="s">
        <v>274</v>
      </c>
      <c r="D218" s="67">
        <v>399449553</v>
      </c>
      <c r="E218" s="62">
        <f t="shared" si="147"/>
        <v>5.4563502649907451E-3</v>
      </c>
      <c r="F218" s="118">
        <v>131.71</v>
      </c>
      <c r="G218" s="118">
        <v>131.71</v>
      </c>
      <c r="H218" s="81">
        <v>131</v>
      </c>
      <c r="I218" s="85">
        <v>3.2000000000000002E-3</v>
      </c>
      <c r="J218" s="85">
        <v>0.1792</v>
      </c>
      <c r="K218" s="67">
        <v>427786126.12</v>
      </c>
      <c r="L218" s="62">
        <f t="shared" si="136"/>
        <v>5.8303650234633646E-3</v>
      </c>
      <c r="M218" s="118">
        <v>132.22</v>
      </c>
      <c r="N218" s="118">
        <v>132.22</v>
      </c>
      <c r="O218" s="81">
        <v>134</v>
      </c>
      <c r="P218" s="85">
        <v>3.8999999999999998E-3</v>
      </c>
      <c r="Q218" s="85">
        <v>0.1837</v>
      </c>
      <c r="R218" s="91">
        <f t="shared" si="137"/>
        <v>7.0939053272641925E-2</v>
      </c>
      <c r="S218" s="91">
        <f t="shared" si="138"/>
        <v>3.8721433452280833E-3</v>
      </c>
      <c r="T218" s="91">
        <f t="shared" si="139"/>
        <v>2.2900763358778626E-2</v>
      </c>
      <c r="U218" s="91">
        <f t="shared" si="140"/>
        <v>6.9999999999999967E-4</v>
      </c>
      <c r="V218" s="92">
        <f t="shared" si="141"/>
        <v>4.500000000000004E-3</v>
      </c>
    </row>
    <row r="219" spans="1:24" ht="13.5" customHeight="1">
      <c r="A219" s="169">
        <v>187</v>
      </c>
      <c r="B219" s="172" t="s">
        <v>276</v>
      </c>
      <c r="C219" s="171" t="s">
        <v>104</v>
      </c>
      <c r="D219" s="67">
        <v>2284206894</v>
      </c>
      <c r="E219" s="62">
        <f t="shared" si="147"/>
        <v>3.1201519185003534E-2</v>
      </c>
      <c r="F219" s="95">
        <v>105.58</v>
      </c>
      <c r="G219" s="95">
        <v>105.58</v>
      </c>
      <c r="H219" s="63">
        <v>718</v>
      </c>
      <c r="I219" s="85">
        <v>3.3999999999999998E-3</v>
      </c>
      <c r="J219" s="85">
        <v>0.15310000000000001</v>
      </c>
      <c r="K219" s="67">
        <v>2302684891</v>
      </c>
      <c r="L219" s="62">
        <f t="shared" si="136"/>
        <v>3.1383657928115954E-2</v>
      </c>
      <c r="M219" s="95">
        <v>105.94</v>
      </c>
      <c r="N219" s="95">
        <v>105.94</v>
      </c>
      <c r="O219" s="63">
        <v>723</v>
      </c>
      <c r="P219" s="85">
        <v>3.3999999999999998E-3</v>
      </c>
      <c r="Q219" s="85">
        <v>0.1537</v>
      </c>
      <c r="R219" s="91">
        <f t="shared" si="137"/>
        <v>8.0894585549744873E-3</v>
      </c>
      <c r="S219" s="91">
        <f t="shared" si="138"/>
        <v>3.4097366925554028E-3</v>
      </c>
      <c r="T219" s="91">
        <f t="shared" si="139"/>
        <v>6.9637883008356544E-3</v>
      </c>
      <c r="U219" s="91">
        <f t="shared" si="140"/>
        <v>0</v>
      </c>
      <c r="V219" s="92">
        <f t="shared" si="141"/>
        <v>5.9999999999998943E-4</v>
      </c>
    </row>
    <row r="220" spans="1:24" ht="15.75" customHeight="1">
      <c r="A220" s="169">
        <v>188</v>
      </c>
      <c r="B220" s="172" t="s">
        <v>277</v>
      </c>
      <c r="C220" s="171" t="s">
        <v>50</v>
      </c>
      <c r="D220" s="67">
        <v>5265838955.1700001</v>
      </c>
      <c r="E220" s="62">
        <f t="shared" si="147"/>
        <v>7.1929638079831368E-2</v>
      </c>
      <c r="F220" s="95">
        <v>142.34</v>
      </c>
      <c r="G220" s="95">
        <v>142.34</v>
      </c>
      <c r="H220" s="63">
        <v>1668</v>
      </c>
      <c r="I220" s="85">
        <v>1.9E-3</v>
      </c>
      <c r="J220" s="85">
        <v>5.9900000000000002E-2</v>
      </c>
      <c r="K220" s="67">
        <v>5274624341.1400003</v>
      </c>
      <c r="L220" s="62">
        <f t="shared" si="136"/>
        <v>7.188869248617126E-2</v>
      </c>
      <c r="M220" s="95">
        <v>142.61000000000001</v>
      </c>
      <c r="N220" s="95">
        <v>142.61000000000001</v>
      </c>
      <c r="O220" s="63">
        <v>1696</v>
      </c>
      <c r="P220" s="85">
        <v>1.9E-3</v>
      </c>
      <c r="Q220" s="85">
        <v>6.1899999999999997E-2</v>
      </c>
      <c r="R220" s="91">
        <f t="shared" si="137"/>
        <v>1.6683734623852817E-3</v>
      </c>
      <c r="S220" s="91">
        <f t="shared" si="138"/>
        <v>1.8968666572994957E-3</v>
      </c>
      <c r="T220" s="91">
        <f t="shared" si="139"/>
        <v>1.6786570743405275E-2</v>
      </c>
      <c r="U220" s="91">
        <f t="shared" si="140"/>
        <v>0</v>
      </c>
      <c r="V220" s="92">
        <f t="shared" si="141"/>
        <v>1.9999999999999948E-3</v>
      </c>
    </row>
    <row r="221" spans="1:24">
      <c r="A221" s="169">
        <v>189</v>
      </c>
      <c r="B221" s="172" t="s">
        <v>278</v>
      </c>
      <c r="C221" s="171" t="s">
        <v>53</v>
      </c>
      <c r="D221" s="67">
        <v>3959274660.1700001</v>
      </c>
      <c r="E221" s="62">
        <f t="shared" si="147"/>
        <v>5.4082397086046362E-2</v>
      </c>
      <c r="F221" s="95">
        <v>1.2024999999999999</v>
      </c>
      <c r="G221" s="95">
        <v>1.2024999999999999</v>
      </c>
      <c r="H221" s="63">
        <v>1955</v>
      </c>
      <c r="I221" s="85">
        <v>0.11459999999999999</v>
      </c>
      <c r="J221" s="85">
        <v>0.10630000000000001</v>
      </c>
      <c r="K221" s="67">
        <v>3919962256.0100002</v>
      </c>
      <c r="L221" s="62">
        <f t="shared" si="136"/>
        <v>5.3425787876828328E-2</v>
      </c>
      <c r="M221" s="95">
        <v>1.2050000000000001</v>
      </c>
      <c r="N221" s="95">
        <v>1.2050000000000001</v>
      </c>
      <c r="O221" s="63">
        <v>1960</v>
      </c>
      <c r="P221" s="85">
        <v>0.1144</v>
      </c>
      <c r="Q221" s="85">
        <v>0.1062</v>
      </c>
      <c r="R221" s="91">
        <f t="shared" si="137"/>
        <v>-9.9291934847257814E-3</v>
      </c>
      <c r="S221" s="91">
        <f t="shared" si="138"/>
        <v>2.0790020790022196E-3</v>
      </c>
      <c r="T221" s="91">
        <f t="shared" si="139"/>
        <v>2.5575447570332483E-3</v>
      </c>
      <c r="U221" s="91">
        <f t="shared" si="140"/>
        <v>-1.9999999999999185E-4</v>
      </c>
      <c r="V221" s="92">
        <f t="shared" si="141"/>
        <v>-1.0000000000000286E-4</v>
      </c>
    </row>
    <row r="222" spans="1:24" ht="6" customHeight="1">
      <c r="A222" s="70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</row>
    <row r="223" spans="1:24">
      <c r="A223" s="182" t="s">
        <v>279</v>
      </c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</row>
    <row r="224" spans="1:24">
      <c r="A224" s="169">
        <v>190</v>
      </c>
      <c r="B224" s="172" t="s">
        <v>280</v>
      </c>
      <c r="C224" s="171" t="s">
        <v>20</v>
      </c>
      <c r="D224" s="116">
        <v>379965903.73000002</v>
      </c>
      <c r="E224" s="62">
        <f>(D224/$D$200)</f>
        <v>4.5621380367428875E-2</v>
      </c>
      <c r="F224" s="117">
        <v>103.6572</v>
      </c>
      <c r="G224" s="117">
        <v>103.6572</v>
      </c>
      <c r="H224" s="65">
        <v>121</v>
      </c>
      <c r="I224" s="86">
        <v>4.3E-3</v>
      </c>
      <c r="J224" s="86">
        <v>3.6600000000000001E-2</v>
      </c>
      <c r="K224" s="116">
        <v>388831828.94999999</v>
      </c>
      <c r="L224" s="89">
        <f>(K224/$K$200)</f>
        <v>4.6747546105937794E-2</v>
      </c>
      <c r="M224" s="117">
        <v>103.3001</v>
      </c>
      <c r="N224" s="117">
        <v>103.3001</v>
      </c>
      <c r="O224" s="65">
        <v>121</v>
      </c>
      <c r="P224" s="86">
        <v>-3.3999999999999998E-3</v>
      </c>
      <c r="Q224" s="86">
        <v>3.3000000000000002E-2</v>
      </c>
      <c r="R224" s="91">
        <f>((K224-D224)/D224)</f>
        <v>2.3333475801291914E-2</v>
      </c>
      <c r="S224" s="91">
        <f t="shared" ref="S224" si="148">((N224-G224)/G224)</f>
        <v>-3.445009126235347E-3</v>
      </c>
      <c r="T224" s="91">
        <f t="shared" ref="T224" si="149">((O224-H224)/H224)</f>
        <v>0</v>
      </c>
      <c r="U224" s="91">
        <f t="shared" ref="U224" si="150">P224-I224</f>
        <v>-7.7000000000000002E-3</v>
      </c>
      <c r="V224" s="92">
        <f t="shared" ref="V224" si="151">Q224-J224</f>
        <v>-3.599999999999999E-3</v>
      </c>
    </row>
    <row r="225" spans="1:22">
      <c r="A225" s="169">
        <v>191</v>
      </c>
      <c r="B225" s="172" t="s">
        <v>281</v>
      </c>
      <c r="C225" s="171" t="s">
        <v>24</v>
      </c>
      <c r="D225" s="116">
        <v>3793298406.4699998</v>
      </c>
      <c r="E225" s="62">
        <f>(D225/$D$200)</f>
        <v>0.45545010157464338</v>
      </c>
      <c r="F225" s="117">
        <v>101.6534</v>
      </c>
      <c r="G225" s="117">
        <v>104.7183</v>
      </c>
      <c r="H225" s="65">
        <v>3237</v>
      </c>
      <c r="I225" s="86">
        <v>-0.58289999999999997</v>
      </c>
      <c r="J225" s="86">
        <v>0.56630000000000003</v>
      </c>
      <c r="K225" s="116">
        <v>3704767670.6399999</v>
      </c>
      <c r="L225" s="89">
        <f>(K225/$K$200)</f>
        <v>0.44540797486334782</v>
      </c>
      <c r="M225" s="117">
        <v>101.3955</v>
      </c>
      <c r="N225" s="117">
        <v>104.4526</v>
      </c>
      <c r="O225" s="65">
        <v>3284</v>
      </c>
      <c r="P225" s="86">
        <v>-0.1323</v>
      </c>
      <c r="Q225" s="86">
        <v>0.54949999999999999</v>
      </c>
      <c r="R225" s="91">
        <f>((K225-D225)/D225)</f>
        <v>-2.3338721699035964E-2</v>
      </c>
      <c r="S225" s="91">
        <f t="shared" ref="S225" si="152">((N225-G225)/G225)</f>
        <v>-2.5372833592599898E-3</v>
      </c>
      <c r="T225" s="91">
        <f t="shared" ref="T225" si="153">((O225-H225)/H225)</f>
        <v>1.4519616929255484E-2</v>
      </c>
      <c r="U225" s="91">
        <f t="shared" ref="U225" si="154">P225-I225</f>
        <v>0.4506</v>
      </c>
      <c r="V225" s="92">
        <f t="shared" ref="V225" si="155">Q225-J225</f>
        <v>-1.6800000000000037E-2</v>
      </c>
    </row>
    <row r="226" spans="1:22">
      <c r="A226" s="169">
        <v>192</v>
      </c>
      <c r="B226" s="172" t="s">
        <v>282</v>
      </c>
      <c r="C226" s="171" t="s">
        <v>260</v>
      </c>
      <c r="D226" s="67">
        <v>274578799.73000002</v>
      </c>
      <c r="E226" s="62">
        <f t="shared" ref="E226" si="156">(D226/$D$228)</f>
        <v>3.7506566108677715E-3</v>
      </c>
      <c r="F226" s="66">
        <v>1210.8900000000001</v>
      </c>
      <c r="G226" s="66">
        <v>1210.8900000000001</v>
      </c>
      <c r="H226" s="63">
        <v>167</v>
      </c>
      <c r="I226" s="85">
        <v>-1.5599999999999999E-2</v>
      </c>
      <c r="J226" s="85">
        <v>9.6199999999999994E-2</v>
      </c>
      <c r="K226" s="67">
        <v>274224275.92000002</v>
      </c>
      <c r="L226" s="62">
        <f t="shared" ref="L226" si="157">(K226/$K$228)</f>
        <v>3.7374461893138664E-3</v>
      </c>
      <c r="M226" s="66">
        <v>1209.32</v>
      </c>
      <c r="N226" s="66">
        <v>1209.32</v>
      </c>
      <c r="O226" s="63">
        <v>167</v>
      </c>
      <c r="P226" s="85">
        <v>-1.2999999999999999E-3</v>
      </c>
      <c r="Q226" s="85">
        <v>9.4899999999999998E-2</v>
      </c>
      <c r="R226" s="91">
        <f t="shared" ref="R226" si="158">((K226-D226)/D226)</f>
        <v>-1.29115507223651E-3</v>
      </c>
      <c r="S226" s="91">
        <f t="shared" ref="S226" si="159">((N226-G226)/G226)</f>
        <v>-1.2965669879181128E-3</v>
      </c>
      <c r="T226" s="91">
        <f t="shared" ref="T226" si="160">((O226-H226)/H226)</f>
        <v>0</v>
      </c>
      <c r="U226" s="91">
        <f t="shared" ref="U226" si="161">P226-I226</f>
        <v>1.43E-2</v>
      </c>
      <c r="V226" s="92">
        <f t="shared" ref="V226" si="162">Q226-J226</f>
        <v>-1.2999999999999956E-3</v>
      </c>
    </row>
    <row r="227" spans="1:22">
      <c r="A227" s="169">
        <v>193</v>
      </c>
      <c r="B227" s="172" t="s">
        <v>283</v>
      </c>
      <c r="C227" s="171" t="s">
        <v>284</v>
      </c>
      <c r="D227" s="67">
        <v>137230694.71000001</v>
      </c>
      <c r="E227" s="62">
        <f t="shared" ref="E227" si="163">(D227/$D$228)</f>
        <v>1.874526412214492E-3</v>
      </c>
      <c r="F227" s="66">
        <v>110.78</v>
      </c>
      <c r="G227" s="66">
        <v>113.06</v>
      </c>
      <c r="H227" s="63">
        <v>312</v>
      </c>
      <c r="I227" s="85">
        <v>2.2000000000000001E-3</v>
      </c>
      <c r="J227" s="85">
        <v>5.5899999999999998E-2</v>
      </c>
      <c r="K227" s="67">
        <v>136781290.87</v>
      </c>
      <c r="L227" s="62">
        <f t="shared" ref="L227" si="164">(K227/$K$228)</f>
        <v>1.8642139271457139E-3</v>
      </c>
      <c r="M227" s="66">
        <v>111.05</v>
      </c>
      <c r="N227" s="66">
        <v>113.34</v>
      </c>
      <c r="O227" s="63">
        <v>312</v>
      </c>
      <c r="P227" s="85">
        <v>2.3999999999999998E-3</v>
      </c>
      <c r="Q227" s="85">
        <v>5.7500000000000002E-2</v>
      </c>
      <c r="R227" s="91">
        <f t="shared" ref="R227" si="165">((K227-D227)/D227)</f>
        <v>-3.2748055451420482E-3</v>
      </c>
      <c r="S227" s="91">
        <f t="shared" ref="S227" si="166">((N227-G227)/G227)</f>
        <v>2.4765611179904576E-3</v>
      </c>
      <c r="T227" s="91">
        <f t="shared" ref="T227" si="167">((O227-H227)/H227)</f>
        <v>0</v>
      </c>
      <c r="U227" s="91">
        <f t="shared" ref="U227" si="168">P227-I227</f>
        <v>1.9999999999999966E-4</v>
      </c>
      <c r="V227" s="92">
        <f t="shared" ref="V227" si="169">Q227-J227</f>
        <v>1.6000000000000042E-3</v>
      </c>
    </row>
    <row r="228" spans="1:22">
      <c r="A228" s="70"/>
      <c r="B228" s="71"/>
      <c r="C228" s="106" t="s">
        <v>56</v>
      </c>
      <c r="D228" s="94">
        <f>SUM(D204:D227)</f>
        <v>73208194782.318939</v>
      </c>
      <c r="E228" s="74">
        <f>(D228/$D$229)</f>
        <v>1.0222604600269726E-2</v>
      </c>
      <c r="F228" s="75"/>
      <c r="G228" s="109"/>
      <c r="H228" s="119">
        <f>SUM(H204:H227)</f>
        <v>39208</v>
      </c>
      <c r="I228" s="111"/>
      <c r="J228" s="111"/>
      <c r="K228" s="94">
        <f>SUM(K204:K227)</f>
        <v>73372100099.812561</v>
      </c>
      <c r="L228" s="74">
        <f>(K228/$K$229)</f>
        <v>1.0155355667728008E-2</v>
      </c>
      <c r="M228" s="75"/>
      <c r="N228" s="109"/>
      <c r="O228" s="77">
        <f>SUM(O204:O227)</f>
        <v>39391</v>
      </c>
      <c r="P228" s="111"/>
      <c r="Q228" s="111"/>
      <c r="R228" s="91">
        <f t="shared" si="137"/>
        <v>2.2388930362370828E-3</v>
      </c>
      <c r="S228" s="91" t="e">
        <f t="shared" si="138"/>
        <v>#DIV/0!</v>
      </c>
      <c r="T228" s="91">
        <f t="shared" si="139"/>
        <v>4.6674148133034072E-3</v>
      </c>
      <c r="U228" s="91">
        <f t="shared" si="140"/>
        <v>0</v>
      </c>
      <c r="V228" s="92">
        <f t="shared" si="141"/>
        <v>0</v>
      </c>
    </row>
    <row r="229" spans="1:22">
      <c r="A229" s="120"/>
      <c r="B229" s="120"/>
      <c r="C229" s="121" t="s">
        <v>285</v>
      </c>
      <c r="D229" s="122">
        <f>SUM(D25,D71,D113,D155,D164,D195,D200,D228)</f>
        <v>7161403345326.2314</v>
      </c>
      <c r="E229" s="123"/>
      <c r="F229" s="123"/>
      <c r="G229" s="124"/>
      <c r="H229" s="122">
        <f>SUM(H25,H71,H113,H155,H164,H195,H200,H228)</f>
        <v>1060885</v>
      </c>
      <c r="I229" s="134"/>
      <c r="J229" s="134"/>
      <c r="K229" s="122">
        <f>SUM(K25,K71,K113,K155,K164,K195,K200,K228)</f>
        <v>7224966067212.8506</v>
      </c>
      <c r="L229" s="123"/>
      <c r="M229" s="123"/>
      <c r="N229" s="124"/>
      <c r="O229" s="122">
        <f>SUM(O25,O71,O113,O155,O164,O195,O200,O228)</f>
        <v>1068358</v>
      </c>
      <c r="P229" s="135"/>
      <c r="Q229" s="122"/>
      <c r="R229" s="139">
        <f t="shared" si="137"/>
        <v>8.875735497861921E-3</v>
      </c>
      <c r="S229" s="139"/>
      <c r="T229" s="139"/>
      <c r="U229" s="139"/>
      <c r="V229" s="139"/>
    </row>
    <row r="230" spans="1:22" ht="6.75" customHeight="1">
      <c r="A230" s="70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71"/>
    </row>
    <row r="231" spans="1:22" ht="14.4" customHeight="1">
      <c r="A231" s="179" t="s">
        <v>286</v>
      </c>
      <c r="B231" s="179"/>
      <c r="C231" s="179"/>
      <c r="D231" s="179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</row>
    <row r="232" spans="1:22" ht="14.4" customHeight="1">
      <c r="A232" s="169">
        <v>1</v>
      </c>
      <c r="B232" s="172" t="s">
        <v>287</v>
      </c>
      <c r="C232" s="171" t="s">
        <v>24</v>
      </c>
      <c r="D232" s="67">
        <v>1808590869.714174</v>
      </c>
      <c r="E232" s="62">
        <f t="shared" ref="E232:E235" si="170">(D232/$D$228)</f>
        <v>2.4704759830397844E-2</v>
      </c>
      <c r="F232" s="66">
        <v>1473.64150724</v>
      </c>
      <c r="G232" s="66">
        <v>1473.64150724</v>
      </c>
      <c r="H232" s="63">
        <v>49</v>
      </c>
      <c r="I232" s="85">
        <v>0</v>
      </c>
      <c r="J232" s="85">
        <v>4.5900000000000003E-2</v>
      </c>
      <c r="K232" s="67">
        <f>1269765.87*W136</f>
        <v>1831549526.6533833</v>
      </c>
      <c r="L232" s="62">
        <f>(K232/$K$237)</f>
        <v>9.8063250052486103E-2</v>
      </c>
      <c r="M232" s="66">
        <f>1.0274*W136</f>
        <v>1481.9535066600001</v>
      </c>
      <c r="N232" s="66">
        <f>1.0274*W136</f>
        <v>1481.9535066600001</v>
      </c>
      <c r="O232" s="63">
        <v>48</v>
      </c>
      <c r="P232" s="85">
        <v>8.1299999999999997E-2</v>
      </c>
      <c r="Q232" s="85">
        <v>4.7199999999999999E-2</v>
      </c>
      <c r="R232" s="91">
        <f t="shared" ref="R232" si="171">((K232-D232)/D232)</f>
        <v>1.2694223621087705E-2</v>
      </c>
      <c r="S232" s="91">
        <f t="shared" ref="S232" si="172">((N232-G232)/G232)</f>
        <v>5.6404487652955424E-3</v>
      </c>
      <c r="T232" s="91">
        <f t="shared" ref="T232" si="173">((O232-H232)/H232)</f>
        <v>-2.0408163265306121E-2</v>
      </c>
      <c r="U232" s="91">
        <f t="shared" ref="U232" si="174">P232-I232</f>
        <v>8.1299999999999997E-2</v>
      </c>
      <c r="V232" s="92">
        <f t="shared" ref="V232" si="175">Q232-J232</f>
        <v>1.2999999999999956E-3</v>
      </c>
    </row>
    <row r="233" spans="1:22" ht="14.4" customHeight="1">
      <c r="A233" s="169">
        <v>2</v>
      </c>
      <c r="B233" s="172" t="s">
        <v>288</v>
      </c>
      <c r="C233" s="171" t="s">
        <v>216</v>
      </c>
      <c r="D233" s="67">
        <v>4021086962.0555801</v>
      </c>
      <c r="E233" s="62">
        <f t="shared" ref="E233" si="176">(D233/$D$228)</f>
        <v>5.4926732915790227E-2</v>
      </c>
      <c r="F233" s="66">
        <v>123.2</v>
      </c>
      <c r="G233" s="66">
        <v>123.2</v>
      </c>
      <c r="H233" s="63">
        <v>9</v>
      </c>
      <c r="I233" s="85">
        <v>0.26640000000000003</v>
      </c>
      <c r="J233" s="85">
        <v>0.26729999999999998</v>
      </c>
      <c r="K233" s="67">
        <v>4041633810.5404</v>
      </c>
      <c r="L233" s="62">
        <f>(K233/$K$237)</f>
        <v>0.21639368262554834</v>
      </c>
      <c r="M233" s="66">
        <v>123.2</v>
      </c>
      <c r="N233" s="66">
        <v>123.2</v>
      </c>
      <c r="O233" s="63">
        <v>9</v>
      </c>
      <c r="P233" s="85">
        <v>0.2651</v>
      </c>
      <c r="Q233" s="85">
        <v>0.26590000000000003</v>
      </c>
      <c r="R233" s="91">
        <f t="shared" ref="R233" si="177">((K233-D233)/D233)</f>
        <v>5.1097747148239579E-3</v>
      </c>
      <c r="S233" s="91">
        <f t="shared" ref="S233" si="178">((N233-G233)/G233)</f>
        <v>0</v>
      </c>
      <c r="T233" s="91">
        <f t="shared" ref="T233" si="179">((O233-H233)/H233)</f>
        <v>0</v>
      </c>
      <c r="U233" s="91">
        <f t="shared" ref="U233" si="180">P233-I233</f>
        <v>-1.3000000000000234E-3</v>
      </c>
      <c r="V233" s="92">
        <f t="shared" ref="V233" si="181">Q233-J233</f>
        <v>-1.3999999999999568E-3</v>
      </c>
    </row>
    <row r="234" spans="1:22" ht="14.4" customHeight="1">
      <c r="A234" s="169">
        <v>3</v>
      </c>
      <c r="B234" s="172" t="s">
        <v>289</v>
      </c>
      <c r="C234" s="171" t="s">
        <v>32</v>
      </c>
      <c r="D234" s="67">
        <v>573234910.03618002</v>
      </c>
      <c r="E234" s="62">
        <f>(D234/$D$228)</f>
        <v>7.8302014103839961E-3</v>
      </c>
      <c r="F234" s="66">
        <v>152921.741308</v>
      </c>
      <c r="G234" s="66">
        <v>152921.741308</v>
      </c>
      <c r="H234" s="63">
        <v>5</v>
      </c>
      <c r="I234" s="85">
        <v>-5.4000000000000003E-3</v>
      </c>
      <c r="J234" s="85">
        <v>7.5600000000000001E-2</v>
      </c>
      <c r="K234" s="67">
        <v>581202723.38999999</v>
      </c>
      <c r="L234" s="62">
        <f>(K234/$K$237)</f>
        <v>3.1118256517540296E-2</v>
      </c>
      <c r="M234" s="66">
        <f>108.44*W136</f>
        <v>156417.20679600001</v>
      </c>
      <c r="N234" s="66">
        <f>108.44*W136</f>
        <v>156417.20679600001</v>
      </c>
      <c r="O234" s="63">
        <v>5</v>
      </c>
      <c r="P234" s="85">
        <v>8.2000000000000007E-3</v>
      </c>
      <c r="Q234" s="85">
        <v>8.4400000000000003E-2</v>
      </c>
      <c r="R234" s="91">
        <f t="shared" ref="R234:R235" si="182">((K234-D234)/D234)</f>
        <v>1.3899735020180598E-2</v>
      </c>
      <c r="S234" s="91">
        <f t="shared" ref="S234:S235" si="183">((N234-G234)/G234)</f>
        <v>2.2857871340608082E-2</v>
      </c>
      <c r="T234" s="91">
        <f t="shared" ref="T234:T235" si="184">((O234-H234)/H234)</f>
        <v>0</v>
      </c>
      <c r="U234" s="91">
        <f t="shared" ref="U234:U235" si="185">P234-I234</f>
        <v>1.3600000000000001E-2</v>
      </c>
      <c r="V234" s="92">
        <f t="shared" ref="V234:V235" si="186">Q234-J234</f>
        <v>8.8000000000000023E-3</v>
      </c>
    </row>
    <row r="235" spans="1:22" ht="14.4" customHeight="1">
      <c r="A235" s="169">
        <v>4</v>
      </c>
      <c r="B235" s="172" t="s">
        <v>290</v>
      </c>
      <c r="C235" s="171" t="s">
        <v>42</v>
      </c>
      <c r="D235" s="67">
        <v>11993834583.98</v>
      </c>
      <c r="E235" s="62">
        <f t="shared" si="170"/>
        <v>0.16383185816346232</v>
      </c>
      <c r="F235" s="66">
        <v>1.24</v>
      </c>
      <c r="G235" s="66">
        <v>1.24</v>
      </c>
      <c r="H235" s="63">
        <v>16</v>
      </c>
      <c r="I235" s="85">
        <v>5.9999999999999995E-4</v>
      </c>
      <c r="J235" s="85">
        <v>0.22500000000000001</v>
      </c>
      <c r="K235" s="67">
        <v>12054808030.629999</v>
      </c>
      <c r="L235" s="62">
        <f>(K235/$K$237)</f>
        <v>0.645428167264681</v>
      </c>
      <c r="M235" s="66">
        <v>1.25</v>
      </c>
      <c r="N235" s="66">
        <v>1.25</v>
      </c>
      <c r="O235" s="63">
        <v>16</v>
      </c>
      <c r="P235" s="85">
        <v>4.7000000000000002E-3</v>
      </c>
      <c r="Q235" s="85">
        <v>0.22650000000000001</v>
      </c>
      <c r="R235" s="91">
        <f t="shared" si="182"/>
        <v>5.083732497982006E-3</v>
      </c>
      <c r="S235" s="91">
        <f t="shared" si="183"/>
        <v>8.0645161290322648E-3</v>
      </c>
      <c r="T235" s="91">
        <f t="shared" si="184"/>
        <v>0</v>
      </c>
      <c r="U235" s="91">
        <f t="shared" si="185"/>
        <v>4.1000000000000003E-3</v>
      </c>
      <c r="V235" s="92">
        <f t="shared" si="186"/>
        <v>1.5000000000000013E-3</v>
      </c>
    </row>
    <row r="236" spans="1:22" ht="14.4" customHeight="1">
      <c r="A236" s="169">
        <v>5</v>
      </c>
      <c r="B236" s="172" t="s">
        <v>291</v>
      </c>
      <c r="C236" s="171" t="s">
        <v>53</v>
      </c>
      <c r="D236" s="67">
        <v>165798603.31</v>
      </c>
      <c r="E236" s="62">
        <f t="shared" ref="E236" si="187">(D236/$D$228)</f>
        <v>2.2647547013417584E-3</v>
      </c>
      <c r="F236" s="66">
        <v>1.0911</v>
      </c>
      <c r="G236" s="66">
        <v>1.0911</v>
      </c>
      <c r="H236" s="63">
        <v>15</v>
      </c>
      <c r="I236" s="85">
        <v>-1.34E-2</v>
      </c>
      <c r="J236" s="85">
        <v>9.11E-2</v>
      </c>
      <c r="K236" s="67">
        <v>168032348.59</v>
      </c>
      <c r="L236" s="62">
        <f>(K236/$K$237)</f>
        <v>8.9966435397441855E-3</v>
      </c>
      <c r="M236" s="66">
        <v>1.1057999999999999</v>
      </c>
      <c r="N236" s="66">
        <v>1.1057999999999999</v>
      </c>
      <c r="O236" s="63">
        <v>15</v>
      </c>
      <c r="P236" s="85">
        <v>1.3299999999999999E-2</v>
      </c>
      <c r="Q236" s="85">
        <v>0.1062</v>
      </c>
      <c r="R236" s="91">
        <f t="shared" ref="R236:R237" si="188">((K236-D236)/D236)</f>
        <v>1.3472642322706917E-2</v>
      </c>
      <c r="S236" s="91">
        <f t="shared" ref="S236" si="189">((N236-G236)/G236)</f>
        <v>1.3472642287599611E-2</v>
      </c>
      <c r="T236" s="91">
        <f t="shared" ref="T236" si="190">((O236-H236)/H236)</f>
        <v>0</v>
      </c>
      <c r="U236" s="91">
        <f t="shared" ref="U236" si="191">P236-I236</f>
        <v>2.6700000000000002E-2</v>
      </c>
      <c r="V236" s="92">
        <f t="shared" ref="V236" si="192">Q236-J236</f>
        <v>1.5100000000000002E-2</v>
      </c>
    </row>
    <row r="237" spans="1:22" ht="14.4" customHeight="1">
      <c r="A237" s="125"/>
      <c r="B237" s="125"/>
      <c r="C237" s="125" t="s">
        <v>56</v>
      </c>
      <c r="D237" s="125">
        <f>SUM(D232:D236)</f>
        <v>18562545929.095936</v>
      </c>
      <c r="E237" s="125"/>
      <c r="F237" s="125"/>
      <c r="G237" s="125"/>
      <c r="H237" s="125">
        <f>SUM(H232:H236)</f>
        <v>94</v>
      </c>
      <c r="I237" s="125"/>
      <c r="J237" s="125"/>
      <c r="K237" s="125">
        <f>SUM(K232:K236)</f>
        <v>18677226439.803783</v>
      </c>
      <c r="L237" s="74"/>
      <c r="M237" s="125"/>
      <c r="N237" s="125"/>
      <c r="O237" s="125">
        <f>SUM(O232:O236)</f>
        <v>93</v>
      </c>
      <c r="P237" s="125"/>
      <c r="Q237" s="125"/>
      <c r="R237" s="139">
        <f t="shared" si="188"/>
        <v>6.1780593645880859E-3</v>
      </c>
      <c r="S237" s="125"/>
      <c r="T237" s="125"/>
      <c r="U237" s="125"/>
      <c r="V237" s="125"/>
    </row>
    <row r="238" spans="1:22" ht="6" customHeight="1">
      <c r="A238" s="70"/>
      <c r="B238" s="78"/>
      <c r="C238" s="106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1"/>
    </row>
    <row r="239" spans="1:22" ht="15.6">
      <c r="A239" s="179" t="s">
        <v>292</v>
      </c>
      <c r="B239" s="179"/>
      <c r="C239" s="179"/>
      <c r="D239" s="179"/>
      <c r="E239" s="179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</row>
    <row r="240" spans="1:22">
      <c r="A240" s="169">
        <v>1</v>
      </c>
      <c r="B240" s="172" t="s">
        <v>293</v>
      </c>
      <c r="C240" s="171" t="s">
        <v>294</v>
      </c>
      <c r="D240" s="67">
        <v>114390469985</v>
      </c>
      <c r="E240" s="62">
        <f>(D240/$D$242)</f>
        <v>0.88435232426969845</v>
      </c>
      <c r="F240" s="95">
        <v>108.35</v>
      </c>
      <c r="G240" s="95">
        <v>108.35</v>
      </c>
      <c r="H240" s="63">
        <v>0</v>
      </c>
      <c r="I240" s="85">
        <v>0.23899999999999999</v>
      </c>
      <c r="J240" s="85">
        <v>0.23899999999999999</v>
      </c>
      <c r="K240" s="67">
        <v>114390469985</v>
      </c>
      <c r="L240" s="62">
        <f>(K240/$K$242)</f>
        <v>0.88404163500006583</v>
      </c>
      <c r="M240" s="95">
        <v>108.35</v>
      </c>
      <c r="N240" s="95">
        <v>108.35</v>
      </c>
      <c r="O240" s="63">
        <v>0</v>
      </c>
      <c r="P240" s="85">
        <v>0.23899999999999999</v>
      </c>
      <c r="Q240" s="85">
        <v>0.23899999999999999</v>
      </c>
      <c r="R240" s="91">
        <f>((K240-D240)/D240)</f>
        <v>0</v>
      </c>
      <c r="S240" s="91">
        <f>((N240-G240)/G240)</f>
        <v>0</v>
      </c>
      <c r="T240" s="91" t="e">
        <f>((O240-H240)/H240)</f>
        <v>#DIV/0!</v>
      </c>
      <c r="U240" s="91">
        <f>P240-I240</f>
        <v>0</v>
      </c>
      <c r="V240" s="92">
        <f>Q240-J240</f>
        <v>0</v>
      </c>
    </row>
    <row r="241" spans="1:22" ht="14.4" customHeight="1">
      <c r="A241" s="169">
        <v>2</v>
      </c>
      <c r="B241" s="172" t="s">
        <v>295</v>
      </c>
      <c r="C241" s="171" t="s">
        <v>53</v>
      </c>
      <c r="D241" s="67">
        <v>14958961057.049999</v>
      </c>
      <c r="E241" s="62">
        <f>(D241/$D$242)</f>
        <v>0.11564767573030155</v>
      </c>
      <c r="F241" s="126">
        <v>1000000</v>
      </c>
      <c r="G241" s="126">
        <v>1000000</v>
      </c>
      <c r="H241" s="63">
        <v>26</v>
      </c>
      <c r="I241" s="85">
        <v>0.22170000000000001</v>
      </c>
      <c r="J241" s="85">
        <v>0.22170000000000001</v>
      </c>
      <c r="K241" s="67">
        <v>15004419866.530001</v>
      </c>
      <c r="L241" s="62">
        <f>(K241/$K$242)</f>
        <v>0.11595836499993423</v>
      </c>
      <c r="M241" s="126">
        <v>1000000</v>
      </c>
      <c r="N241" s="126">
        <v>1000000</v>
      </c>
      <c r="O241" s="63">
        <v>26</v>
      </c>
      <c r="P241" s="85">
        <v>0.2215</v>
      </c>
      <c r="Q241" s="85">
        <v>0.2215</v>
      </c>
      <c r="R241" s="91">
        <f>((K241-D241)/D241)</f>
        <v>3.0389015190715532E-3</v>
      </c>
      <c r="S241" s="91">
        <f>((N241-G241)/G241)</f>
        <v>0</v>
      </c>
      <c r="T241" s="91">
        <f>((O241-H241)/H241)</f>
        <v>0</v>
      </c>
      <c r="U241" s="91">
        <f>P241-I241</f>
        <v>-2.0000000000000573E-4</v>
      </c>
      <c r="V241" s="92">
        <f>Q241-J241</f>
        <v>-2.0000000000000573E-4</v>
      </c>
    </row>
    <row r="242" spans="1:22" ht="15" customHeight="1">
      <c r="A242" s="120"/>
      <c r="B242" s="120"/>
      <c r="C242" s="121" t="s">
        <v>296</v>
      </c>
      <c r="D242" s="125">
        <f>SUM(D240:D241)</f>
        <v>129349431042.05</v>
      </c>
      <c r="E242" s="127"/>
      <c r="F242" s="128"/>
      <c r="G242" s="128"/>
      <c r="H242" s="125">
        <f>SUM(H240:H241)</f>
        <v>26</v>
      </c>
      <c r="I242" s="136"/>
      <c r="J242" s="136"/>
      <c r="K242" s="125">
        <f>SUM(K240:K241)</f>
        <v>129394889851.53</v>
      </c>
      <c r="L242" s="127"/>
      <c r="M242" s="128"/>
      <c r="N242" s="128"/>
      <c r="O242" s="125">
        <f>SUM(O240:O241)</f>
        <v>26</v>
      </c>
      <c r="P242" s="136"/>
      <c r="Q242" s="125"/>
      <c r="R242" s="139">
        <f>((K242-D242)/D242)</f>
        <v>3.5144189745386353E-4</v>
      </c>
      <c r="S242" s="140"/>
      <c r="T242" s="140"/>
      <c r="U242" s="139"/>
      <c r="V242" s="141"/>
    </row>
    <row r="243" spans="1:22" ht="4.5" customHeight="1">
      <c r="A243" s="70"/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</row>
    <row r="244" spans="1:22" ht="15.6">
      <c r="A244" s="179" t="s">
        <v>297</v>
      </c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</row>
    <row r="245" spans="1:22">
      <c r="A245" s="169">
        <v>1</v>
      </c>
      <c r="B245" s="172" t="s">
        <v>298</v>
      </c>
      <c r="C245" s="171" t="s">
        <v>94</v>
      </c>
      <c r="D245" s="129">
        <v>1424283201.52</v>
      </c>
      <c r="E245" s="130">
        <f t="shared" ref="E245:E256" si="193">(D245/$D$257)</f>
        <v>8.1900990948299945E-2</v>
      </c>
      <c r="F245" s="126">
        <v>348.01282443999997</v>
      </c>
      <c r="G245" s="126">
        <v>348.01282443999997</v>
      </c>
      <c r="H245" s="131">
        <v>266</v>
      </c>
      <c r="I245" s="87">
        <v>-2.4899999999999999E-2</v>
      </c>
      <c r="J245" s="87">
        <v>0.42730000000000001</v>
      </c>
      <c r="K245" s="129">
        <v>1424283201.52</v>
      </c>
      <c r="L245" s="130">
        <f t="shared" ref="L245:L256" si="194">(K245/$K$257)</f>
        <v>8.2332693792074862E-2</v>
      </c>
      <c r="M245" s="126">
        <v>341.32</v>
      </c>
      <c r="N245" s="126">
        <v>341.32</v>
      </c>
      <c r="O245" s="131">
        <v>266</v>
      </c>
      <c r="P245" s="87">
        <v>-1.9099999999999999E-2</v>
      </c>
      <c r="Q245" s="87">
        <v>0.39979999999999999</v>
      </c>
      <c r="R245" s="91">
        <f>((K245-D245)/D245)</f>
        <v>0</v>
      </c>
      <c r="S245" s="91">
        <f>((N245-G245)/G245)</f>
        <v>-1.9231545420113891E-2</v>
      </c>
      <c r="T245" s="91">
        <f>((O245-H245)/H245)</f>
        <v>0</v>
      </c>
      <c r="U245" s="91">
        <f>P245-I245</f>
        <v>5.7999999999999996E-3</v>
      </c>
      <c r="V245" s="92">
        <f>Q245-J245</f>
        <v>-2.7500000000000024E-2</v>
      </c>
    </row>
    <row r="246" spans="1:22">
      <c r="A246" s="169">
        <v>2</v>
      </c>
      <c r="B246" s="172" t="s">
        <v>299</v>
      </c>
      <c r="C246" s="171" t="s">
        <v>260</v>
      </c>
      <c r="D246" s="129">
        <v>2021937480.24</v>
      </c>
      <c r="E246" s="130">
        <f t="shared" si="193"/>
        <v>0.11626808705630816</v>
      </c>
      <c r="F246" s="126">
        <v>57.51</v>
      </c>
      <c r="G246" s="126">
        <v>63.56</v>
      </c>
      <c r="H246" s="131">
        <v>359</v>
      </c>
      <c r="I246" s="87">
        <v>-3.2800000000000003E-2</v>
      </c>
      <c r="J246" s="87">
        <v>0.876</v>
      </c>
      <c r="K246" s="129">
        <v>1991500497.8</v>
      </c>
      <c r="L246" s="130">
        <f t="shared" si="194"/>
        <v>0.11512148742409332</v>
      </c>
      <c r="M246" s="126">
        <v>56.64</v>
      </c>
      <c r="N246" s="126">
        <v>62.61</v>
      </c>
      <c r="O246" s="131">
        <v>238</v>
      </c>
      <c r="P246" s="87">
        <v>-1.5100000000000001E-2</v>
      </c>
      <c r="Q246" s="87">
        <v>0.84770000000000001</v>
      </c>
      <c r="R246" s="91">
        <f t="shared" ref="R246:R257" si="195">((K246-D246)/D246)</f>
        <v>-1.5053374665366629E-2</v>
      </c>
      <c r="S246" s="91">
        <f t="shared" ref="S246:S257" si="196">((N246-G246)/G246)</f>
        <v>-1.4946507237256179E-2</v>
      </c>
      <c r="T246" s="91">
        <f t="shared" ref="T246:T257" si="197">((O246-H246)/H246)</f>
        <v>-0.3370473537604457</v>
      </c>
      <c r="U246" s="91">
        <f t="shared" ref="U246:U257" si="198">P246-I246</f>
        <v>1.77E-2</v>
      </c>
      <c r="V246" s="92">
        <f t="shared" ref="V246:V257" si="199">Q246-J246</f>
        <v>-2.8299999999999992E-2</v>
      </c>
    </row>
    <row r="247" spans="1:22">
      <c r="A247" s="169">
        <v>3</v>
      </c>
      <c r="B247" s="172" t="s">
        <v>300</v>
      </c>
      <c r="C247" s="171" t="s">
        <v>44</v>
      </c>
      <c r="D247" s="129">
        <v>477588227.67000002</v>
      </c>
      <c r="E247" s="130">
        <f t="shared" si="193"/>
        <v>2.7462901387639536E-2</v>
      </c>
      <c r="F247" s="126">
        <v>40.271411000000001</v>
      </c>
      <c r="G247" s="126">
        <v>40.482191999999998</v>
      </c>
      <c r="H247" s="131">
        <v>218</v>
      </c>
      <c r="I247" s="87">
        <v>-2.8500000000000001E-2</v>
      </c>
      <c r="J247" s="87">
        <v>0.24610000000000001</v>
      </c>
      <c r="K247" s="129">
        <v>483220001.18000001</v>
      </c>
      <c r="L247" s="130">
        <f t="shared" si="194"/>
        <v>2.7933211842209829E-2</v>
      </c>
      <c r="M247" s="126">
        <v>40.400658999999997</v>
      </c>
      <c r="N247" s="126">
        <v>40.660316999999999</v>
      </c>
      <c r="O247" s="131">
        <v>218</v>
      </c>
      <c r="P247" s="87">
        <v>1.18E-2</v>
      </c>
      <c r="Q247" s="87">
        <v>0.24610000000000001</v>
      </c>
      <c r="R247" s="91">
        <f t="shared" si="195"/>
        <v>1.1792111245027144E-2</v>
      </c>
      <c r="S247" s="91">
        <f t="shared" si="196"/>
        <v>4.4000828808875127E-3</v>
      </c>
      <c r="T247" s="91">
        <f t="shared" si="197"/>
        <v>0</v>
      </c>
      <c r="U247" s="91">
        <f t="shared" si="198"/>
        <v>4.0300000000000002E-2</v>
      </c>
      <c r="V247" s="92">
        <f t="shared" si="199"/>
        <v>0</v>
      </c>
    </row>
    <row r="248" spans="1:22">
      <c r="A248" s="169">
        <v>4</v>
      </c>
      <c r="B248" s="172" t="s">
        <v>301</v>
      </c>
      <c r="C248" s="171" t="s">
        <v>44</v>
      </c>
      <c r="D248" s="129">
        <v>935731258.41999996</v>
      </c>
      <c r="E248" s="130">
        <f t="shared" si="193"/>
        <v>5.3807639691397138E-2</v>
      </c>
      <c r="F248" s="126">
        <v>80.905598999999995</v>
      </c>
      <c r="G248" s="126">
        <v>81.154991999999993</v>
      </c>
      <c r="H248" s="131">
        <v>261</v>
      </c>
      <c r="I248" s="87">
        <v>-3.7100000000000001E-2</v>
      </c>
      <c r="J248" s="87">
        <v>5.8500000000000003E-2</v>
      </c>
      <c r="K248" s="129">
        <v>954238818.13</v>
      </c>
      <c r="L248" s="130">
        <f t="shared" si="194"/>
        <v>5.5161117068405922E-2</v>
      </c>
      <c r="M248" s="126">
        <v>81.834226000000001</v>
      </c>
      <c r="N248" s="126">
        <v>82.143728999999993</v>
      </c>
      <c r="O248" s="131">
        <v>261</v>
      </c>
      <c r="P248" s="87">
        <v>1.9699999999999999E-2</v>
      </c>
      <c r="Q248" s="87">
        <v>5.8500000000000003E-2</v>
      </c>
      <c r="R248" s="91">
        <f t="shared" si="195"/>
        <v>1.977871268429186E-2</v>
      </c>
      <c r="S248" s="91">
        <f t="shared" si="196"/>
        <v>1.2183317078017831E-2</v>
      </c>
      <c r="T248" s="91">
        <f t="shared" si="197"/>
        <v>0</v>
      </c>
      <c r="U248" s="91">
        <f t="shared" si="198"/>
        <v>5.6800000000000003E-2</v>
      </c>
      <c r="V248" s="92">
        <f t="shared" si="199"/>
        <v>0</v>
      </c>
    </row>
    <row r="249" spans="1:22">
      <c r="A249" s="169">
        <v>5</v>
      </c>
      <c r="B249" s="172" t="s">
        <v>302</v>
      </c>
      <c r="C249" s="171" t="s">
        <v>303</v>
      </c>
      <c r="D249" s="129">
        <v>1790101812.4200001</v>
      </c>
      <c r="E249" s="130">
        <f t="shared" si="193"/>
        <v>0.10293677000408477</v>
      </c>
      <c r="F249" s="126">
        <v>52880</v>
      </c>
      <c r="G249" s="126">
        <v>56300</v>
      </c>
      <c r="H249" s="131">
        <v>313</v>
      </c>
      <c r="I249" s="87">
        <v>3.0000000000000001E-3</v>
      </c>
      <c r="J249" s="87">
        <v>0.42</v>
      </c>
      <c r="K249" s="129">
        <v>1831086268.21</v>
      </c>
      <c r="L249" s="130">
        <f t="shared" si="194"/>
        <v>0.10584851725170756</v>
      </c>
      <c r="M249" s="126">
        <v>52730</v>
      </c>
      <c r="N249" s="126">
        <v>56150</v>
      </c>
      <c r="O249" s="131">
        <v>313</v>
      </c>
      <c r="P249" s="87">
        <v>2.3E-2</v>
      </c>
      <c r="Q249" s="87">
        <v>0.46</v>
      </c>
      <c r="R249" s="91">
        <f t="shared" si="195"/>
        <v>2.2895041782340836E-2</v>
      </c>
      <c r="S249" s="91">
        <f t="shared" si="196"/>
        <v>-2.6642984014209592E-3</v>
      </c>
      <c r="T249" s="91">
        <f t="shared" si="197"/>
        <v>0</v>
      </c>
      <c r="U249" s="91">
        <f t="shared" si="198"/>
        <v>0.02</v>
      </c>
      <c r="V249" s="92">
        <f t="shared" si="199"/>
        <v>4.0000000000000036E-2</v>
      </c>
    </row>
    <row r="250" spans="1:22">
      <c r="A250" s="169">
        <v>6</v>
      </c>
      <c r="B250" s="172" t="s">
        <v>304</v>
      </c>
      <c r="C250" s="171" t="s">
        <v>305</v>
      </c>
      <c r="D250" s="129">
        <v>919085124.08000004</v>
      </c>
      <c r="E250" s="130">
        <f t="shared" si="193"/>
        <v>5.2850431955990609E-2</v>
      </c>
      <c r="F250" s="126">
        <v>498</v>
      </c>
      <c r="G250" s="126">
        <v>498</v>
      </c>
      <c r="H250" s="131">
        <v>162</v>
      </c>
      <c r="I250" s="87">
        <v>-4.2200000000000001E-2</v>
      </c>
      <c r="J250" s="87">
        <v>0.4219</v>
      </c>
      <c r="K250" s="129">
        <v>920437735.07000005</v>
      </c>
      <c r="L250" s="130">
        <f t="shared" si="194"/>
        <v>5.3207197919145785E-2</v>
      </c>
      <c r="M250" s="126">
        <v>498</v>
      </c>
      <c r="N250" s="126">
        <v>498</v>
      </c>
      <c r="O250" s="131">
        <v>162</v>
      </c>
      <c r="P250" s="87">
        <v>1.5E-3</v>
      </c>
      <c r="Q250" s="87">
        <v>0.4239</v>
      </c>
      <c r="R250" s="91">
        <f t="shared" si="195"/>
        <v>1.4716928329723178E-3</v>
      </c>
      <c r="S250" s="91">
        <f t="shared" si="196"/>
        <v>0</v>
      </c>
      <c r="T250" s="91">
        <f t="shared" si="197"/>
        <v>0</v>
      </c>
      <c r="U250" s="91">
        <f t="shared" si="198"/>
        <v>4.3700000000000003E-2</v>
      </c>
      <c r="V250" s="92">
        <f t="shared" si="199"/>
        <v>2.0000000000000018E-3</v>
      </c>
    </row>
    <row r="251" spans="1:22">
      <c r="A251" s="169">
        <v>7</v>
      </c>
      <c r="B251" s="172" t="s">
        <v>306</v>
      </c>
      <c r="C251" s="171" t="s">
        <v>305</v>
      </c>
      <c r="D251" s="129">
        <v>1037803694.22</v>
      </c>
      <c r="E251" s="130">
        <f t="shared" si="193"/>
        <v>5.9677142070983652E-2</v>
      </c>
      <c r="F251" s="126">
        <v>570</v>
      </c>
      <c r="G251" s="126">
        <v>550</v>
      </c>
      <c r="H251" s="131">
        <v>1316</v>
      </c>
      <c r="I251" s="87">
        <v>-2.9499999999999998E-2</v>
      </c>
      <c r="J251" s="87">
        <v>0.43209999999999998</v>
      </c>
      <c r="K251" s="129">
        <v>1019556607.9</v>
      </c>
      <c r="L251" s="130">
        <f t="shared" si="194"/>
        <v>5.8936903778920607E-2</v>
      </c>
      <c r="M251" s="126">
        <v>750</v>
      </c>
      <c r="N251" s="126">
        <v>750</v>
      </c>
      <c r="O251" s="131">
        <v>1316</v>
      </c>
      <c r="P251" s="87">
        <v>-1.7600000000000001E-2</v>
      </c>
      <c r="Q251" s="87">
        <v>0.4073</v>
      </c>
      <c r="R251" s="91">
        <f t="shared" si="195"/>
        <v>-1.7582406404627736E-2</v>
      </c>
      <c r="S251" s="91">
        <f t="shared" si="196"/>
        <v>0.36363636363636365</v>
      </c>
      <c r="T251" s="91">
        <f t="shared" si="197"/>
        <v>0</v>
      </c>
      <c r="U251" s="91">
        <f t="shared" si="198"/>
        <v>1.1899999999999997E-2</v>
      </c>
      <c r="V251" s="92">
        <f t="shared" si="199"/>
        <v>-2.4799999999999989E-2</v>
      </c>
    </row>
    <row r="252" spans="1:22">
      <c r="A252" s="169">
        <v>8</v>
      </c>
      <c r="B252" s="172" t="s">
        <v>307</v>
      </c>
      <c r="C252" s="171" t="s">
        <v>308</v>
      </c>
      <c r="D252" s="129">
        <v>123390817.78</v>
      </c>
      <c r="E252" s="130">
        <f t="shared" si="193"/>
        <v>7.095379794775457E-3</v>
      </c>
      <c r="F252" s="126">
        <v>34.39</v>
      </c>
      <c r="G252" s="126">
        <v>34.49</v>
      </c>
      <c r="H252" s="131">
        <v>157</v>
      </c>
      <c r="I252" s="87">
        <v>4.0500000000000001E-2</v>
      </c>
      <c r="J252" s="87">
        <v>1.2383999999999999</v>
      </c>
      <c r="K252" s="129">
        <v>156115176.94999999</v>
      </c>
      <c r="L252" s="130">
        <f t="shared" si="194"/>
        <v>9.024457387690003E-3</v>
      </c>
      <c r="M252" s="126">
        <v>34.549999999999997</v>
      </c>
      <c r="N252" s="126">
        <v>34.65</v>
      </c>
      <c r="O252" s="131">
        <v>157</v>
      </c>
      <c r="P252" s="87">
        <v>-0.1532</v>
      </c>
      <c r="Q252" s="87">
        <v>0.89529999999999998</v>
      </c>
      <c r="R252" s="91">
        <f t="shared" si="195"/>
        <v>0.26520903061316908</v>
      </c>
      <c r="S252" s="91">
        <f t="shared" si="196"/>
        <v>4.6390258045809389E-3</v>
      </c>
      <c r="T252" s="91">
        <f t="shared" si="197"/>
        <v>0</v>
      </c>
      <c r="U252" s="91">
        <f t="shared" si="198"/>
        <v>-0.19370000000000001</v>
      </c>
      <c r="V252" s="92">
        <f t="shared" si="199"/>
        <v>-0.34309999999999996</v>
      </c>
    </row>
    <row r="253" spans="1:22">
      <c r="A253" s="169">
        <v>9</v>
      </c>
      <c r="B253" s="172" t="s">
        <v>309</v>
      </c>
      <c r="C253" s="171" t="s">
        <v>308</v>
      </c>
      <c r="D253" s="132">
        <v>862495555.01999998</v>
      </c>
      <c r="E253" s="130">
        <f t="shared" si="193"/>
        <v>4.9596344722212214E-2</v>
      </c>
      <c r="F253" s="126">
        <v>14.05</v>
      </c>
      <c r="G253" s="126">
        <v>14.15</v>
      </c>
      <c r="H253" s="131">
        <v>230</v>
      </c>
      <c r="I253" s="87">
        <v>0</v>
      </c>
      <c r="J253" s="87">
        <v>0.37609999999999999</v>
      </c>
      <c r="K253" s="132">
        <v>872094249.37</v>
      </c>
      <c r="L253" s="130">
        <f t="shared" si="194"/>
        <v>5.0412634730636702E-2</v>
      </c>
      <c r="M253" s="126">
        <v>14.23</v>
      </c>
      <c r="N253" s="126">
        <v>14.33</v>
      </c>
      <c r="O253" s="131">
        <v>230</v>
      </c>
      <c r="P253" s="87">
        <v>-8.6699999999999999E-2</v>
      </c>
      <c r="Q253" s="87">
        <v>0.25690000000000002</v>
      </c>
      <c r="R253" s="91">
        <f t="shared" si="195"/>
        <v>1.1128978339810046E-2</v>
      </c>
      <c r="S253" s="91">
        <f t="shared" si="196"/>
        <v>1.2720848056537082E-2</v>
      </c>
      <c r="T253" s="91">
        <f t="shared" si="197"/>
        <v>0</v>
      </c>
      <c r="U253" s="91">
        <f t="shared" si="198"/>
        <v>-8.6699999999999999E-2</v>
      </c>
      <c r="V253" s="92">
        <f t="shared" si="199"/>
        <v>-0.11919999999999997</v>
      </c>
    </row>
    <row r="254" spans="1:22" ht="15" customHeight="1">
      <c r="A254" s="169">
        <v>10</v>
      </c>
      <c r="B254" s="172" t="s">
        <v>310</v>
      </c>
      <c r="C254" s="171" t="s">
        <v>308</v>
      </c>
      <c r="D254" s="129">
        <v>149933689.24000001</v>
      </c>
      <c r="E254" s="130">
        <f t="shared" si="193"/>
        <v>8.6216826205529219E-3</v>
      </c>
      <c r="F254" s="126">
        <v>145.12</v>
      </c>
      <c r="G254" s="126">
        <v>145.12</v>
      </c>
      <c r="H254" s="131">
        <v>382</v>
      </c>
      <c r="I254" s="87">
        <v>0.1474</v>
      </c>
      <c r="J254" s="87">
        <v>6.3399999999999998E-2</v>
      </c>
      <c r="K254" s="129">
        <v>149851632.40000001</v>
      </c>
      <c r="L254" s="130">
        <f t="shared" si="194"/>
        <v>8.6623843849769067E-3</v>
      </c>
      <c r="M254" s="126">
        <v>145.04</v>
      </c>
      <c r="N254" s="126">
        <v>147.04</v>
      </c>
      <c r="O254" s="131">
        <v>382</v>
      </c>
      <c r="P254" s="87">
        <v>-1.38E-2</v>
      </c>
      <c r="Q254" s="87">
        <v>4.8800000000000003E-2</v>
      </c>
      <c r="R254" s="91">
        <f t="shared" si="195"/>
        <v>-5.4728754035161874E-4</v>
      </c>
      <c r="S254" s="91">
        <f t="shared" si="196"/>
        <v>1.3230429988974555E-2</v>
      </c>
      <c r="T254" s="91">
        <f t="shared" si="197"/>
        <v>0</v>
      </c>
      <c r="U254" s="91">
        <f t="shared" si="198"/>
        <v>-0.16120000000000001</v>
      </c>
      <c r="V254" s="92">
        <f t="shared" si="199"/>
        <v>-1.4599999999999995E-2</v>
      </c>
    </row>
    <row r="255" spans="1:22">
      <c r="A255" s="169">
        <v>11</v>
      </c>
      <c r="B255" s="172" t="s">
        <v>311</v>
      </c>
      <c r="C255" s="171" t="s">
        <v>308</v>
      </c>
      <c r="D255" s="129">
        <v>7545042553.75</v>
      </c>
      <c r="E255" s="130">
        <f t="shared" si="193"/>
        <v>0.43386488111335025</v>
      </c>
      <c r="F255" s="126">
        <v>55.06</v>
      </c>
      <c r="G255" s="126">
        <v>55.26</v>
      </c>
      <c r="H255" s="131">
        <v>600</v>
      </c>
      <c r="I255" s="87">
        <v>3.6999999999999998E-2</v>
      </c>
      <c r="J255" s="87">
        <v>0.4894</v>
      </c>
      <c r="K255" s="129">
        <v>7401250653.5299997</v>
      </c>
      <c r="L255" s="130">
        <f t="shared" si="194"/>
        <v>0.4278397042703046</v>
      </c>
      <c r="M255" s="126">
        <v>54.15</v>
      </c>
      <c r="N255" s="126">
        <v>54.35</v>
      </c>
      <c r="O255" s="131">
        <v>600</v>
      </c>
      <c r="P255" s="87">
        <v>-1.7899999999999999E-2</v>
      </c>
      <c r="Q255" s="87">
        <v>0.46279999999999999</v>
      </c>
      <c r="R255" s="91">
        <f t="shared" si="195"/>
        <v>-1.9057798441247165E-2</v>
      </c>
      <c r="S255" s="91">
        <f t="shared" si="196"/>
        <v>-1.6467607672819337E-2</v>
      </c>
      <c r="T255" s="91">
        <f t="shared" si="197"/>
        <v>0</v>
      </c>
      <c r="U255" s="91">
        <f t="shared" si="198"/>
        <v>-5.4899999999999997E-2</v>
      </c>
      <c r="V255" s="92">
        <f t="shared" si="199"/>
        <v>-2.6600000000000013E-2</v>
      </c>
    </row>
    <row r="256" spans="1:22">
      <c r="A256" s="169">
        <v>12</v>
      </c>
      <c r="B256" s="172" t="s">
        <v>312</v>
      </c>
      <c r="C256" s="171" t="s">
        <v>308</v>
      </c>
      <c r="D256" s="132">
        <v>102911452.88</v>
      </c>
      <c r="E256" s="130">
        <f t="shared" si="193"/>
        <v>5.9177486344052215E-3</v>
      </c>
      <c r="F256" s="126">
        <v>58.81</v>
      </c>
      <c r="G256" s="126">
        <v>59.01</v>
      </c>
      <c r="H256" s="131">
        <v>162</v>
      </c>
      <c r="I256" s="87">
        <v>-5.8900000000000001E-2</v>
      </c>
      <c r="J256" s="87">
        <v>0.3357</v>
      </c>
      <c r="K256" s="132">
        <v>95485785.730000004</v>
      </c>
      <c r="L256" s="130">
        <f t="shared" si="194"/>
        <v>5.5196901498338483E-3</v>
      </c>
      <c r="M256" s="126">
        <v>54.71</v>
      </c>
      <c r="N256" s="126">
        <v>54.91</v>
      </c>
      <c r="O256" s="131">
        <v>162</v>
      </c>
      <c r="P256" s="87">
        <v>7.3300000000000004E-2</v>
      </c>
      <c r="Q256" s="87">
        <v>0.43369999999999997</v>
      </c>
      <c r="R256" s="91">
        <f t="shared" si="195"/>
        <v>-7.2155886854096768E-2</v>
      </c>
      <c r="S256" s="91">
        <f t="shared" si="196"/>
        <v>-6.9479749195051718E-2</v>
      </c>
      <c r="T256" s="91">
        <f t="shared" si="197"/>
        <v>0</v>
      </c>
      <c r="U256" s="91">
        <f t="shared" si="198"/>
        <v>0.13220000000000001</v>
      </c>
      <c r="V256" s="92">
        <f t="shared" si="199"/>
        <v>9.7999999999999976E-2</v>
      </c>
    </row>
    <row r="257" spans="1:26">
      <c r="A257" s="142"/>
      <c r="B257" s="142"/>
      <c r="C257" s="143" t="s">
        <v>313</v>
      </c>
      <c r="D257" s="125">
        <f>SUM(D245:D256)</f>
        <v>17390304867.240002</v>
      </c>
      <c r="E257" s="127"/>
      <c r="F257" s="127"/>
      <c r="G257" s="128"/>
      <c r="H257" s="125">
        <f>SUM(H245:H256)</f>
        <v>4426</v>
      </c>
      <c r="I257" s="136"/>
      <c r="J257" s="136"/>
      <c r="K257" s="125">
        <f>SUM(K245:K256)</f>
        <v>17299120627.790001</v>
      </c>
      <c r="L257" s="127"/>
      <c r="M257" s="127"/>
      <c r="N257" s="128"/>
      <c r="O257" s="125">
        <f>SUM(O245:O256)</f>
        <v>4305</v>
      </c>
      <c r="P257" s="136"/>
      <c r="Q257" s="136"/>
      <c r="R257" s="91">
        <f t="shared" si="195"/>
        <v>-5.2433951069928838E-3</v>
      </c>
      <c r="S257" s="91" t="e">
        <f t="shared" si="196"/>
        <v>#DIV/0!</v>
      </c>
      <c r="T257" s="91">
        <f t="shared" si="197"/>
        <v>-2.7338454586534118E-2</v>
      </c>
      <c r="U257" s="91">
        <f t="shared" si="198"/>
        <v>0</v>
      </c>
      <c r="V257" s="92">
        <f t="shared" si="199"/>
        <v>0</v>
      </c>
      <c r="Z257" s="100"/>
    </row>
    <row r="258" spans="1:26">
      <c r="A258" s="144"/>
      <c r="B258" s="144"/>
      <c r="C258" s="145" t="s">
        <v>314</v>
      </c>
      <c r="D258" s="146">
        <f>SUM(D229,D237,D242,D257)</f>
        <v>7326705627164.6172</v>
      </c>
      <c r="E258" s="147"/>
      <c r="F258" s="147"/>
      <c r="G258" s="148"/>
      <c r="H258" s="146">
        <f>SUM(H229,H237,H242,H257)</f>
        <v>1065431</v>
      </c>
      <c r="I258" s="159"/>
      <c r="J258" s="159"/>
      <c r="K258" s="146">
        <f>SUM(K229,K237,K242,K257)</f>
        <v>7390337304131.9746</v>
      </c>
      <c r="L258" s="147"/>
      <c r="M258" s="147"/>
      <c r="N258" s="146"/>
      <c r="O258" s="146">
        <f>SUM(O229,O237,O242,O257)</f>
        <v>1072782</v>
      </c>
      <c r="P258" s="160"/>
      <c r="Q258" s="146"/>
      <c r="R258" s="164"/>
      <c r="S258" s="165"/>
      <c r="T258" s="165"/>
      <c r="U258" s="166"/>
      <c r="V258" s="166"/>
      <c r="Z258" s="100"/>
    </row>
    <row r="259" spans="1:26">
      <c r="A259" s="149" t="s">
        <v>315</v>
      </c>
      <c r="B259" s="150" t="s">
        <v>332</v>
      </c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</row>
    <row r="260" spans="1:26">
      <c r="B260" s="152"/>
    </row>
    <row r="261" spans="1:26">
      <c r="B261" s="152"/>
      <c r="C261" s="153"/>
      <c r="D261" s="154"/>
      <c r="K261" s="154"/>
    </row>
    <row r="262" spans="1:26" ht="15">
      <c r="B262" s="155"/>
      <c r="C262" s="156"/>
      <c r="D262" s="157"/>
      <c r="F262" s="158"/>
      <c r="G262" s="158"/>
      <c r="I262" s="161"/>
      <c r="J262" s="162"/>
    </row>
    <row r="263" spans="1:26">
      <c r="C263" s="152"/>
    </row>
    <row r="264" spans="1:26">
      <c r="K264" s="138"/>
    </row>
    <row r="265" spans="1:26">
      <c r="B265" s="153"/>
    </row>
    <row r="266" spans="1:26">
      <c r="K266" s="163"/>
    </row>
  </sheetData>
  <sheetProtection algorithmName="SHA-512" hashValue="JLdHe9BkK4mvShxecPPlpy/Ev8ENztGHoWmKqaRdsxGmHjW139mpnVJYwoVU0sKKnr5/sOe4A0xQkZ7SdxS7AQ==" saltValue="I54QNBHMu2Pe8QBMjsbL5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2:V72"/>
    <mergeCell ref="A73:V73"/>
    <mergeCell ref="B114:V114"/>
    <mergeCell ref="A115:V115"/>
    <mergeCell ref="A116:V116"/>
    <mergeCell ref="B134:V134"/>
    <mergeCell ref="A135:V135"/>
    <mergeCell ref="B156:V156"/>
    <mergeCell ref="A157:V157"/>
    <mergeCell ref="B165:V165"/>
    <mergeCell ref="A166:V166"/>
    <mergeCell ref="B196:V196"/>
    <mergeCell ref="A197:V197"/>
    <mergeCell ref="B201:V201"/>
    <mergeCell ref="A202:V202"/>
    <mergeCell ref="A203:V203"/>
    <mergeCell ref="A231:V231"/>
    <mergeCell ref="A239:V239"/>
    <mergeCell ref="B243:V243"/>
    <mergeCell ref="A244:V244"/>
    <mergeCell ref="B206:V206"/>
    <mergeCell ref="A207:V207"/>
    <mergeCell ref="B222:V222"/>
    <mergeCell ref="A223:V223"/>
    <mergeCell ref="B230:U230"/>
  </mergeCells>
  <pageMargins left="0.7" right="0.7" top="0.75" bottom="0.75" header="0.3" footer="0.3"/>
  <pageSetup paperSize="9" orientation="portrait" horizontalDpi="300" verticalDpi="300" r:id="rId1"/>
  <ignoredErrors>
    <ignoredError sqref="L98 E98 E78 L50 E50 L34 E34 L140 E140" formula="1"/>
    <ignoredError sqref="S164 S25 S71 S113 S155 S195 S200 S228 S257 T240:T241 R51:T51 R140 R128:T128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8" sqref="G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9" t="s">
        <v>316</v>
      </c>
      <c r="B2" s="40" t="s">
        <v>329</v>
      </c>
      <c r="C2" s="40" t="s">
        <v>333</v>
      </c>
      <c r="D2" s="41"/>
      <c r="F2" s="15"/>
      <c r="G2" s="15"/>
    </row>
    <row r="3" spans="1:7">
      <c r="A3" s="42" t="s">
        <v>18</v>
      </c>
      <c r="B3" s="43">
        <f t="shared" ref="B3:C10" si="0">B13</f>
        <v>77.622970040713497</v>
      </c>
      <c r="C3" s="43">
        <f t="shared" si="0"/>
        <v>77.1032295771154</v>
      </c>
      <c r="D3" s="41"/>
      <c r="F3" s="15"/>
      <c r="G3" s="15"/>
    </row>
    <row r="4" spans="1:7" ht="15.6" customHeight="1">
      <c r="A4" s="39" t="s">
        <v>57</v>
      </c>
      <c r="B4" s="44">
        <f t="shared" si="0"/>
        <v>4392.3786564765815</v>
      </c>
      <c r="C4" s="44">
        <f t="shared" si="0"/>
        <v>4459.5467580953064</v>
      </c>
      <c r="D4" s="41"/>
      <c r="F4" s="15"/>
      <c r="G4" s="15"/>
    </row>
    <row r="5" spans="1:7" ht="16.2" customHeight="1">
      <c r="A5" s="39" t="s">
        <v>317</v>
      </c>
      <c r="B5" s="43">
        <f t="shared" si="0"/>
        <v>243.26846350748514</v>
      </c>
      <c r="C5" s="43">
        <f t="shared" si="0"/>
        <v>244.01969400690029</v>
      </c>
      <c r="D5" s="41"/>
      <c r="F5" s="15"/>
      <c r="G5" s="15"/>
    </row>
    <row r="6" spans="1:7">
      <c r="A6" s="39" t="s">
        <v>175</v>
      </c>
      <c r="B6" s="44">
        <f t="shared" si="0"/>
        <v>1915.3574379924437</v>
      </c>
      <c r="C6" s="44">
        <f t="shared" si="0"/>
        <v>1910.3818843259755</v>
      </c>
      <c r="D6" s="41"/>
      <c r="F6" s="15"/>
      <c r="G6" s="15"/>
    </row>
    <row r="7" spans="1:7">
      <c r="A7" s="39" t="s">
        <v>318</v>
      </c>
      <c r="B7" s="43">
        <f t="shared" si="0"/>
        <v>371.32163729857228</v>
      </c>
      <c r="C7" s="43">
        <f t="shared" si="0"/>
        <v>372.26527855055269</v>
      </c>
      <c r="D7" s="41"/>
      <c r="F7" s="15"/>
      <c r="G7" s="15"/>
    </row>
    <row r="8" spans="1:7">
      <c r="A8" s="39" t="s">
        <v>221</v>
      </c>
      <c r="B8" s="45">
        <f t="shared" si="0"/>
        <v>79.917304669356696</v>
      </c>
      <c r="C8" s="45">
        <f t="shared" si="0"/>
        <v>79.959427590508113</v>
      </c>
      <c r="D8" s="41"/>
      <c r="F8" s="15"/>
      <c r="G8" s="15"/>
    </row>
    <row r="9" spans="1:7">
      <c r="A9" s="39" t="s">
        <v>253</v>
      </c>
      <c r="B9" s="43">
        <f t="shared" si="0"/>
        <v>8.3286805587600004</v>
      </c>
      <c r="C9" s="43">
        <f t="shared" si="0"/>
        <v>8.3176949666799995</v>
      </c>
      <c r="D9" s="41"/>
      <c r="F9" s="15"/>
      <c r="G9" s="15"/>
    </row>
    <row r="10" spans="1:7">
      <c r="A10" s="39" t="s">
        <v>319</v>
      </c>
      <c r="B10" s="43">
        <f t="shared" si="0"/>
        <v>73.208194782318941</v>
      </c>
      <c r="C10" s="43">
        <f t="shared" si="0"/>
        <v>73.372100099812556</v>
      </c>
      <c r="D10" s="41"/>
      <c r="F10" s="15"/>
      <c r="G10" s="15"/>
    </row>
    <row r="11" spans="1:7">
      <c r="A11" s="39"/>
      <c r="B11" s="43"/>
      <c r="C11" s="43"/>
      <c r="D11" s="41"/>
      <c r="F11" s="15"/>
      <c r="G11" s="15"/>
    </row>
    <row r="12" spans="1:7">
      <c r="F12" s="15"/>
      <c r="G12" s="15"/>
    </row>
    <row r="13" spans="1:7">
      <c r="A13" s="46" t="s">
        <v>18</v>
      </c>
      <c r="B13" s="47">
        <f>'Weekly Valuation'!D25/1000000000</f>
        <v>77.622970040713497</v>
      </c>
      <c r="C13" s="48">
        <f>'Weekly Valuation'!K25/1000000000</f>
        <v>77.1032295771154</v>
      </c>
      <c r="F13" s="15"/>
      <c r="G13" s="15"/>
    </row>
    <row r="14" spans="1:7">
      <c r="A14" s="49" t="s">
        <v>57</v>
      </c>
      <c r="B14" s="47">
        <f>'Weekly Valuation'!D71/1000000000</f>
        <v>4392.3786564765815</v>
      </c>
      <c r="C14" s="50">
        <f>'Weekly Valuation'!K71/1000000000</f>
        <v>4459.5467580953064</v>
      </c>
      <c r="F14" s="15"/>
      <c r="G14" s="15"/>
    </row>
    <row r="15" spans="1:7">
      <c r="A15" s="49" t="s">
        <v>317</v>
      </c>
      <c r="B15" s="47">
        <f>'Weekly Valuation'!D113/1000000000</f>
        <v>243.26846350748514</v>
      </c>
      <c r="C15" s="48">
        <f>'Weekly Valuation'!K113/1000000000</f>
        <v>244.01969400690029</v>
      </c>
      <c r="F15" s="15"/>
      <c r="G15" s="15"/>
    </row>
    <row r="16" spans="1:7">
      <c r="A16" s="49" t="s">
        <v>175</v>
      </c>
      <c r="B16" s="47">
        <f>'Weekly Valuation'!D155/1000000000</f>
        <v>1915.3574379924437</v>
      </c>
      <c r="C16" s="50">
        <f>'Weekly Valuation'!K155/1000000000</f>
        <v>1910.3818843259755</v>
      </c>
      <c r="F16" s="15"/>
      <c r="G16" s="15"/>
    </row>
    <row r="17" spans="1:7">
      <c r="A17" s="49" t="s">
        <v>318</v>
      </c>
      <c r="B17" s="47">
        <f>'Weekly Valuation'!D164/1000000000</f>
        <v>371.32163729857228</v>
      </c>
      <c r="C17" s="48">
        <f>'Weekly Valuation'!K164/1000000000</f>
        <v>372.26527855055269</v>
      </c>
      <c r="F17" s="15"/>
      <c r="G17" s="15"/>
    </row>
    <row r="18" spans="1:7">
      <c r="A18" s="49" t="s">
        <v>221</v>
      </c>
      <c r="B18" s="47">
        <f>'Weekly Valuation'!D195/1000000000</f>
        <v>79.917304669356696</v>
      </c>
      <c r="C18" s="51">
        <f>'Weekly Valuation'!K195/1000000000</f>
        <v>79.959427590508113</v>
      </c>
      <c r="F18" s="15"/>
      <c r="G18" s="15"/>
    </row>
    <row r="19" spans="1:7">
      <c r="A19" s="49" t="s">
        <v>253</v>
      </c>
      <c r="B19" s="47">
        <f>'Weekly Valuation'!D200/1000000000</f>
        <v>8.3286805587600004</v>
      </c>
      <c r="C19" s="48">
        <f>'Weekly Valuation'!K200/1000000000</f>
        <v>8.3176949666799995</v>
      </c>
      <c r="F19" s="15"/>
      <c r="G19" s="15"/>
    </row>
    <row r="20" spans="1:7">
      <c r="A20" s="49" t="s">
        <v>319</v>
      </c>
      <c r="B20" s="47">
        <f>'Weekly Valuation'!D228/1000000000</f>
        <v>73.208194782318941</v>
      </c>
      <c r="C20" s="48">
        <f>'Weekly Valuation'!K228/1000000000</f>
        <v>73.372100099812556</v>
      </c>
      <c r="F20" s="15"/>
      <c r="G20" s="15"/>
    </row>
    <row r="21" spans="1:7">
      <c r="A21" s="34"/>
      <c r="C21" s="32"/>
      <c r="F21" s="15"/>
      <c r="G21" s="15"/>
    </row>
    <row r="22" spans="1:7">
      <c r="A22" s="34"/>
      <c r="C22" s="30"/>
      <c r="F22" s="15"/>
      <c r="G22" s="15"/>
    </row>
    <row r="23" spans="1:7">
      <c r="A23" s="34"/>
      <c r="B23" s="30"/>
      <c r="C23" s="31"/>
      <c r="F23" s="15"/>
      <c r="G23" s="15"/>
    </row>
    <row r="24" spans="1:7">
      <c r="A24" s="34"/>
      <c r="B24" s="30"/>
      <c r="C24" s="30"/>
      <c r="F24" s="15"/>
      <c r="G24" s="15"/>
    </row>
    <row r="25" spans="1:7">
      <c r="A25" s="34"/>
      <c r="B25" s="30"/>
      <c r="C25" s="30"/>
      <c r="F25" s="15"/>
      <c r="G25" s="15"/>
    </row>
    <row r="26" spans="1:7">
      <c r="A26" s="34"/>
      <c r="B26" s="30"/>
      <c r="C26" s="30"/>
      <c r="F26" s="15"/>
      <c r="G26" s="15"/>
    </row>
    <row r="27" spans="1:7">
      <c r="A27" s="34"/>
      <c r="B27" s="30"/>
      <c r="C27" s="30"/>
      <c r="F27" s="15"/>
      <c r="G27" s="15"/>
    </row>
    <row r="28" spans="1:7">
      <c r="F28" s="15"/>
      <c r="G28" s="15"/>
    </row>
    <row r="29" spans="1:7">
      <c r="F29" s="15"/>
      <c r="G29" s="15"/>
    </row>
  </sheetData>
  <sheetProtection algorithmName="SHA-512" hashValue="KKVoki95amhwwr6B0mWxIaaWFAY9JdJLILKx/TPRVEbQTw66oy4zlBeNKBoBOgb+ypTBAzfhqMpeWGp4nXqmPQ==" saltValue="hi7Kedyh/iNO9HXGoOdGP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12" sqref="G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6" t="s">
        <v>316</v>
      </c>
      <c r="B1" s="27">
        <v>45975</v>
      </c>
      <c r="C1" s="28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253</v>
      </c>
      <c r="B2" s="30">
        <f>'Weekly Valuation'!K200</f>
        <v>8317694966.6799994</v>
      </c>
      <c r="C2" s="28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18</v>
      </c>
      <c r="B3" s="30">
        <f>'Weekly Valuation'!K25</f>
        <v>77103229577.115402</v>
      </c>
      <c r="C3" s="28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319</v>
      </c>
      <c r="B4" s="31">
        <f>'Weekly Valuation'!K228</f>
        <v>73372100099.812561</v>
      </c>
      <c r="C4" s="28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221</v>
      </c>
      <c r="B5" s="30">
        <f>'Weekly Valuation'!K195</f>
        <v>79959427590.508118</v>
      </c>
      <c r="C5" s="28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318</v>
      </c>
      <c r="B6" s="30">
        <f>'Weekly Valuation'!K164</f>
        <v>372265278550.55267</v>
      </c>
      <c r="C6" s="28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317</v>
      </c>
      <c r="B7" s="30">
        <f>'Weekly Valuation'!K113</f>
        <v>244019694006.9003</v>
      </c>
      <c r="C7" s="28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175</v>
      </c>
      <c r="B8" s="32">
        <f>'Weekly Valuation'!K155</f>
        <v>1910381884325.9756</v>
      </c>
      <c r="C8" s="28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57</v>
      </c>
      <c r="B9" s="32">
        <f>'Weekly Valuation'!K71</f>
        <v>4459546758095.3066</v>
      </c>
      <c r="C9" s="28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28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28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9"/>
      <c r="B12" s="28"/>
      <c r="C12" s="28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30"/>
      <c r="B13" s="30"/>
      <c r="C13" s="28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30"/>
      <c r="B14" s="30"/>
      <c r="C14" s="20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34"/>
      <c r="B15" s="3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0"/>
      <c r="B16" s="30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30"/>
      <c r="B17" s="30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35"/>
      <c r="B18" s="3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35"/>
      <c r="B19" s="3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35"/>
      <c r="B20" s="3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37"/>
      <c r="B21" s="3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38"/>
    </row>
    <row r="33" spans="1:17" ht="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38"/>
    </row>
  </sheetData>
  <sheetProtection algorithmName="SHA-512" hashValue="NnCZTkldVr+eh3RyPhhGqOoLnqFW6Ub1SAJiCq8JcBziiWuTONFsXxSz8/xPx6y/bSZaCPi2/ByD7RKyP/9rnQ==" saltValue="+aK1/u7OVEIfgEqeUo0qp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</row>
    <row r="2" spans="1:14">
      <c r="A2" s="21" t="s">
        <v>320</v>
      </c>
      <c r="B2" s="22">
        <v>45926</v>
      </c>
      <c r="C2" s="22">
        <v>45933</v>
      </c>
      <c r="D2" s="22">
        <v>45940</v>
      </c>
      <c r="E2" s="22">
        <v>45947</v>
      </c>
      <c r="F2" s="22">
        <v>45954</v>
      </c>
      <c r="G2" s="22">
        <v>45961</v>
      </c>
      <c r="H2" s="22">
        <v>45968</v>
      </c>
      <c r="I2" s="22">
        <v>45975</v>
      </c>
      <c r="J2" s="20"/>
      <c r="K2" s="20"/>
      <c r="L2" s="15"/>
      <c r="M2" s="15"/>
      <c r="N2" s="15"/>
    </row>
    <row r="3" spans="1:14">
      <c r="A3" s="21" t="s">
        <v>321</v>
      </c>
      <c r="B3" s="23">
        <f t="shared" ref="B3:I3" si="0">B4</f>
        <v>6745.4768805021858</v>
      </c>
      <c r="C3" s="23">
        <f t="shared" si="0"/>
        <v>6812.2098133156469</v>
      </c>
      <c r="D3" s="23">
        <f t="shared" si="0"/>
        <v>6925.6615260417648</v>
      </c>
      <c r="E3" s="23">
        <f t="shared" si="0"/>
        <v>7020.2119881351573</v>
      </c>
      <c r="F3" s="23">
        <f t="shared" si="0"/>
        <v>7084.74766079442</v>
      </c>
      <c r="G3" s="23">
        <f t="shared" si="0"/>
        <v>7104.7215850315024</v>
      </c>
      <c r="H3" s="23">
        <f t="shared" si="0"/>
        <v>7157.322477516268</v>
      </c>
      <c r="I3" s="23">
        <f t="shared" si="0"/>
        <v>7224.9660672128502</v>
      </c>
      <c r="J3" s="20"/>
      <c r="K3" s="20"/>
      <c r="L3" s="15"/>
      <c r="M3" s="15"/>
      <c r="N3" s="15"/>
    </row>
    <row r="4" spans="1:14">
      <c r="A4" s="20"/>
      <c r="B4" s="24">
        <f>'NAV Trend'!C10/1000000000</f>
        <v>6745.4768805021858</v>
      </c>
      <c r="C4" s="24">
        <f>'NAV Trend'!D10/1000000000</f>
        <v>6812.2098133156469</v>
      </c>
      <c r="D4" s="24">
        <f>'NAV Trend'!E10/1000000000</f>
        <v>6925.6615260417648</v>
      </c>
      <c r="E4" s="24">
        <f>'NAV Trend'!F10/1000000000</f>
        <v>7020.2119881351573</v>
      </c>
      <c r="F4" s="24">
        <f>'NAV Trend'!G10/1000000000</f>
        <v>7084.74766079442</v>
      </c>
      <c r="G4" s="24">
        <f>'NAV Trend'!H10/1000000000</f>
        <v>7104.7215850315024</v>
      </c>
      <c r="H4" s="25">
        <f>'NAV Trend'!I10/1000000000</f>
        <v>7157.322477516268</v>
      </c>
      <c r="I4" s="25">
        <f>'NAV Trend'!J10/1000000000</f>
        <v>7224.9660672128502</v>
      </c>
      <c r="J4" s="20"/>
      <c r="K4" s="20"/>
      <c r="L4" s="15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dOsW+Di99LHwuWrpTyWD3TviAek1wQXYTJMmYSXq8KrnRVx00Ch3iXwVEx0ZXElt+CMhWh1lYoT39V/1vCwwLQ==" saltValue="Qhg5nihYflbF/sjKonPWk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O20"/>
  <sheetViews>
    <sheetView workbookViewId="0">
      <selection activeCell="H8" sqref="H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168"/>
    </row>
    <row r="2" spans="1:15">
      <c r="A2" s="21" t="s">
        <v>320</v>
      </c>
      <c r="B2" s="22">
        <v>45926</v>
      </c>
      <c r="C2" s="22">
        <v>45933</v>
      </c>
      <c r="D2" s="22">
        <v>45940</v>
      </c>
      <c r="E2" s="22">
        <v>45947</v>
      </c>
      <c r="F2" s="22">
        <v>45954</v>
      </c>
      <c r="G2" s="22">
        <v>45961</v>
      </c>
      <c r="H2" s="22">
        <v>45968</v>
      </c>
      <c r="I2" s="22">
        <v>45975</v>
      </c>
      <c r="J2" s="20"/>
      <c r="K2" s="20"/>
      <c r="L2" s="20"/>
      <c r="M2" s="15"/>
      <c r="N2" s="15"/>
      <c r="O2" s="168"/>
    </row>
    <row r="3" spans="1:15">
      <c r="A3" s="21" t="s">
        <v>322</v>
      </c>
      <c r="B3" s="23">
        <f t="shared" ref="B3:I3" si="0">B4</f>
        <v>17.03010698616</v>
      </c>
      <c r="C3" s="23">
        <f t="shared" si="0"/>
        <v>17.235315862970001</v>
      </c>
      <c r="D3" s="23">
        <f t="shared" si="0"/>
        <v>17.54959499956</v>
      </c>
      <c r="E3" s="23">
        <f t="shared" si="0"/>
        <v>17.680301749159998</v>
      </c>
      <c r="F3" s="23">
        <f t="shared" si="0"/>
        <v>18.29339423531</v>
      </c>
      <c r="G3" s="23">
        <f t="shared" si="0"/>
        <v>17.97007204989</v>
      </c>
      <c r="H3" s="23">
        <f t="shared" si="0"/>
        <v>17.390304867240001</v>
      </c>
      <c r="I3" s="23">
        <f t="shared" si="0"/>
        <v>17.29912062779</v>
      </c>
      <c r="J3" s="20"/>
      <c r="K3" s="20"/>
      <c r="L3" s="20"/>
      <c r="M3" s="15"/>
      <c r="N3" s="15"/>
      <c r="O3" s="168"/>
    </row>
    <row r="4" spans="1:15">
      <c r="A4" s="20"/>
      <c r="B4" s="24">
        <f>'NAV Trend'!C16/1000000000</f>
        <v>17.03010698616</v>
      </c>
      <c r="C4" s="24">
        <f>'NAV Trend'!D16/1000000000</f>
        <v>17.235315862970001</v>
      </c>
      <c r="D4" s="24">
        <f>'NAV Trend'!E16/1000000000</f>
        <v>17.54959499956</v>
      </c>
      <c r="E4" s="24">
        <f>'NAV Trend'!F16/1000000000</f>
        <v>17.680301749159998</v>
      </c>
      <c r="F4" s="24">
        <f>'NAV Trend'!G16/1000000000</f>
        <v>18.29339423531</v>
      </c>
      <c r="G4" s="24">
        <f>'NAV Trend'!H16/1000000000</f>
        <v>17.97007204989</v>
      </c>
      <c r="H4" s="24">
        <f>'NAV Trend'!I16/1000000000</f>
        <v>17.390304867240001</v>
      </c>
      <c r="I4" s="25">
        <f>'NAV Trend'!J16/1000000000</f>
        <v>17.29912062779</v>
      </c>
      <c r="J4" s="20"/>
      <c r="K4" s="20"/>
      <c r="L4" s="20"/>
      <c r="M4" s="15"/>
      <c r="N4" s="15"/>
      <c r="O4" s="168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168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168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  <c r="O7" s="168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5"/>
      <c r="O8" s="16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68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68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168"/>
    </row>
    <row r="12" spans="1: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/>
      <c r="M12" s="15"/>
      <c r="N12" s="15"/>
      <c r="O12" s="168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8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8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8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8"/>
    </row>
    <row r="18" spans="1:1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</row>
    <row r="19" spans="1:1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</row>
    <row r="20" spans="1:15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</row>
  </sheetData>
  <sheetProtection algorithmName="SHA-512" hashValue="40gQAi6UP3jxi+mup8LUYhe2CwIgvevUCts28YSMYJRmOeDTjpyYBpw4bWJlZ2RZK1oJPQj2evGzUrDPGSsYcA==" saltValue="YUj/MTlaNQSySlwsrEaB1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316</v>
      </c>
      <c r="B1" s="2">
        <v>45919</v>
      </c>
      <c r="C1" s="2">
        <v>45926</v>
      </c>
      <c r="D1" s="2">
        <v>45933</v>
      </c>
      <c r="E1" s="2">
        <v>45940</v>
      </c>
      <c r="F1" s="2">
        <v>45947</v>
      </c>
      <c r="G1" s="2">
        <v>45954</v>
      </c>
      <c r="H1" s="2">
        <v>45961</v>
      </c>
      <c r="I1" s="2">
        <v>45968</v>
      </c>
      <c r="J1" s="2">
        <v>45975</v>
      </c>
    </row>
    <row r="2" spans="1:11">
      <c r="A2" s="3" t="s">
        <v>18</v>
      </c>
      <c r="B2" s="4">
        <v>67012799943.2817</v>
      </c>
      <c r="C2" s="4">
        <v>70670721283.488907</v>
      </c>
      <c r="D2" s="4">
        <v>72157008607.625702</v>
      </c>
      <c r="E2" s="4">
        <v>73550112013.645493</v>
      </c>
      <c r="F2" s="4">
        <v>75813884318.519104</v>
      </c>
      <c r="G2" s="4">
        <v>80081718489.454102</v>
      </c>
      <c r="H2" s="4">
        <v>79941489021.128601</v>
      </c>
      <c r="I2" s="4">
        <v>77622970040.713501</v>
      </c>
      <c r="J2" s="4">
        <v>77103229577.115402</v>
      </c>
    </row>
    <row r="3" spans="1:11">
      <c r="A3" s="3" t="s">
        <v>57</v>
      </c>
      <c r="B3" s="4">
        <v>3906285455615.1201</v>
      </c>
      <c r="C3" s="4">
        <v>3980593293535.2598</v>
      </c>
      <c r="D3" s="4">
        <v>4086864116266.48</v>
      </c>
      <c r="E3" s="4">
        <v>4172759122177.9399</v>
      </c>
      <c r="F3" s="4">
        <v>4226381970103.9399</v>
      </c>
      <c r="G3" s="4">
        <v>4294338110534.8901</v>
      </c>
      <c r="H3" s="4">
        <v>4345978196238.9199</v>
      </c>
      <c r="I3" s="4">
        <v>4392378656476.5811</v>
      </c>
      <c r="J3" s="4">
        <v>4459546758095.3066</v>
      </c>
    </row>
    <row r="4" spans="1:11">
      <c r="A4" s="3" t="s">
        <v>317</v>
      </c>
      <c r="B4" s="5">
        <v>231416262791.29901</v>
      </c>
      <c r="C4" s="5">
        <v>229355365570.742</v>
      </c>
      <c r="D4" s="5">
        <v>236138171866.332</v>
      </c>
      <c r="E4" s="5">
        <v>239780265974</v>
      </c>
      <c r="F4" s="5">
        <v>240267484599.51099</v>
      </c>
      <c r="G4" s="5">
        <v>241861922293.56699</v>
      </c>
      <c r="H4" s="5">
        <v>242068020164.47501</v>
      </c>
      <c r="I4" s="5">
        <v>243268463507.48514</v>
      </c>
      <c r="J4" s="5">
        <v>244019694006.9003</v>
      </c>
    </row>
    <row r="5" spans="1:11">
      <c r="A5" s="3" t="s">
        <v>175</v>
      </c>
      <c r="B5" s="4">
        <v>1968484717559.7</v>
      </c>
      <c r="C5" s="4">
        <v>1946024427071.95</v>
      </c>
      <c r="D5" s="4">
        <v>1897887333536.4199</v>
      </c>
      <c r="E5" s="4">
        <v>1916747972369.52</v>
      </c>
      <c r="F5" s="4">
        <v>1951335729434.6101</v>
      </c>
      <c r="G5" s="4">
        <v>1937928770896.0901</v>
      </c>
      <c r="H5" s="4">
        <v>1904125830062.55</v>
      </c>
      <c r="I5" s="4">
        <v>1911276570182.48</v>
      </c>
      <c r="J5" s="4">
        <v>1910381884325.9756</v>
      </c>
    </row>
    <row r="6" spans="1:11">
      <c r="A6" s="3" t="s">
        <v>318</v>
      </c>
      <c r="B6" s="6">
        <v>366110435001.72998</v>
      </c>
      <c r="C6" s="6">
        <v>366811558700.98102</v>
      </c>
      <c r="D6" s="6">
        <v>367818478282.37299</v>
      </c>
      <c r="E6" s="6">
        <v>367969019601.867</v>
      </c>
      <c r="F6" s="6">
        <v>368375144772.14203</v>
      </c>
      <c r="G6" s="6">
        <v>368809278173.31897</v>
      </c>
      <c r="H6" s="5">
        <v>370267322852.34497</v>
      </c>
      <c r="I6" s="5">
        <v>371321637298.57227</v>
      </c>
      <c r="J6" s="5">
        <v>372265278550.55267</v>
      </c>
    </row>
    <row r="7" spans="1:11">
      <c r="A7" s="3" t="s">
        <v>221</v>
      </c>
      <c r="B7" s="7">
        <v>79408928723.084198</v>
      </c>
      <c r="C7" s="7">
        <v>76321020907.454193</v>
      </c>
      <c r="D7" s="7">
        <v>77203925561.305695</v>
      </c>
      <c r="E7" s="7">
        <v>77988718310.700806</v>
      </c>
      <c r="F7" s="7">
        <v>79052496329.9478</v>
      </c>
      <c r="G7" s="7">
        <v>81009282305.293594</v>
      </c>
      <c r="H7" s="7">
        <v>80975307014.121796</v>
      </c>
      <c r="I7" s="7">
        <v>79917304669.356689</v>
      </c>
      <c r="J7" s="7">
        <v>79959427590.508118</v>
      </c>
    </row>
    <row r="8" spans="1:11">
      <c r="A8" s="3" t="s">
        <v>253</v>
      </c>
      <c r="B8" s="6">
        <v>8077825131.0200005</v>
      </c>
      <c r="C8" s="6">
        <v>8144939845.2200003</v>
      </c>
      <c r="D8" s="6">
        <v>8220876623.29</v>
      </c>
      <c r="E8" s="6">
        <v>8300396287.1099997</v>
      </c>
      <c r="F8" s="6">
        <v>8424376747.5200005</v>
      </c>
      <c r="G8" s="6">
        <v>8704335367.2000008</v>
      </c>
      <c r="H8" s="6">
        <v>8593567206.5699997</v>
      </c>
      <c r="I8" s="6">
        <v>8328680558.7600002</v>
      </c>
      <c r="J8" s="6">
        <v>8317694966.6799994</v>
      </c>
    </row>
    <row r="9" spans="1:11">
      <c r="A9" s="3" t="s">
        <v>319</v>
      </c>
      <c r="B9" s="6">
        <v>66990830548.07</v>
      </c>
      <c r="C9" s="6">
        <v>67555553587.089996</v>
      </c>
      <c r="D9" s="6">
        <v>65919902571.82</v>
      </c>
      <c r="E9" s="6">
        <v>68565919306.980003</v>
      </c>
      <c r="F9" s="6">
        <v>70560901828.968002</v>
      </c>
      <c r="G9" s="6">
        <v>72014242734.605301</v>
      </c>
      <c r="H9" s="6">
        <v>72771852471.391907</v>
      </c>
      <c r="I9" s="6">
        <v>73208194782.318939</v>
      </c>
      <c r="J9" s="6">
        <v>73372100099.812561</v>
      </c>
    </row>
    <row r="10" spans="1:11" ht="15.6">
      <c r="A10" s="8" t="s">
        <v>323</v>
      </c>
      <c r="B10" s="9">
        <f t="shared" ref="B10:J10" si="0">SUM(B2:B9)</f>
        <v>6693787255313.3047</v>
      </c>
      <c r="C10" s="9">
        <f t="shared" si="0"/>
        <v>6745476880502.1855</v>
      </c>
      <c r="D10" s="9">
        <f t="shared" si="0"/>
        <v>6812209813315.6465</v>
      </c>
      <c r="E10" s="9">
        <f t="shared" si="0"/>
        <v>6925661526041.7646</v>
      </c>
      <c r="F10" s="9">
        <f t="shared" si="0"/>
        <v>7020211988135.1572</v>
      </c>
      <c r="G10" s="9">
        <f t="shared" si="0"/>
        <v>7084747660794.4199</v>
      </c>
      <c r="H10" s="9">
        <f t="shared" si="0"/>
        <v>7104721585031.502</v>
      </c>
      <c r="I10" s="9">
        <f t="shared" si="0"/>
        <v>7157322477516.2676</v>
      </c>
      <c r="J10" s="9">
        <f t="shared" si="0"/>
        <v>7224966067212.8506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324</v>
      </c>
      <c r="B12" s="167" t="s">
        <v>325</v>
      </c>
      <c r="C12" s="13">
        <f>(B10+C10)/2</f>
        <v>6719632067907.7451</v>
      </c>
      <c r="D12" s="14">
        <f t="shared" ref="D12:J12" si="1">(C10+D10)/2</f>
        <v>6778843346908.916</v>
      </c>
      <c r="E12" s="14">
        <f t="shared" si="1"/>
        <v>6868935669678.7051</v>
      </c>
      <c r="F12" s="14">
        <f t="shared" si="1"/>
        <v>6972936757088.4609</v>
      </c>
      <c r="G12" s="14">
        <f t="shared" si="1"/>
        <v>7052479824464.7891</v>
      </c>
      <c r="H12" s="14">
        <f t="shared" si="1"/>
        <v>7094734622912.9609</v>
      </c>
      <c r="I12" s="14">
        <f t="shared" si="1"/>
        <v>7131022031273.8848</v>
      </c>
      <c r="J12" s="14">
        <f t="shared" si="1"/>
        <v>7191144272364.5586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45919</v>
      </c>
      <c r="C15" s="2">
        <v>45926</v>
      </c>
      <c r="D15" s="2">
        <v>45933</v>
      </c>
      <c r="E15" s="2">
        <v>45940</v>
      </c>
      <c r="F15" s="2">
        <v>45947</v>
      </c>
      <c r="G15" s="2">
        <v>45954</v>
      </c>
      <c r="H15" s="2">
        <v>45961</v>
      </c>
      <c r="I15" s="2">
        <v>45968</v>
      </c>
      <c r="J15" s="2">
        <v>45975</v>
      </c>
      <c r="K15" s="15"/>
    </row>
    <row r="16" spans="1:11">
      <c r="A16" s="16" t="s">
        <v>326</v>
      </c>
      <c r="B16" s="17">
        <v>16933585980.110001</v>
      </c>
      <c r="C16" s="17">
        <v>17030106986.16</v>
      </c>
      <c r="D16" s="17">
        <v>17235315862.970001</v>
      </c>
      <c r="E16" s="17">
        <v>17549594999.560001</v>
      </c>
      <c r="F16" s="17">
        <v>17680301749.16</v>
      </c>
      <c r="G16" s="17">
        <v>18293394235.310001</v>
      </c>
      <c r="H16" s="17">
        <v>17970072049.889999</v>
      </c>
      <c r="I16" s="17">
        <v>17390304867.240002</v>
      </c>
      <c r="J16" s="17">
        <v>17299120627.790001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ndXXKyEx9slBwGP1dC/PPKNXcEPRx2XLjDJ9efgBZWPiZWtAtTomZxP2XeDaIBxQ4LFw+VmUQpPEa4ZZ0PiCog==" saltValue="+3TlnXqeB70RUbLzpisyU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2025-11-20T13:38:49Z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