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1496" windowHeight="9048" tabRatio="604"/>
  </bookViews>
  <sheets>
    <sheet name="July" sheetId="7" r:id="rId1"/>
    <sheet name="NAV Comparison" sheetId="2" r:id="rId2"/>
    <sheet name="Market Share" sheetId="3" r:id="rId3"/>
    <sheet name="Unitholders" sheetId="6" r:id="rId4"/>
  </sheets>
  <definedNames>
    <definedName name="_Hlk34300669" localSheetId="0">July!$K$62</definedName>
    <definedName name="Component">"Group"</definedName>
    <definedName name="FX_RATE">July!$C$230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6" l="1"/>
  <c r="B3" i="3"/>
  <c r="C13" i="2" l="1"/>
  <c r="B13" i="2"/>
  <c r="B5" i="3" l="1"/>
  <c r="B4" i="3"/>
  <c r="S116" i="7" l="1"/>
  <c r="R116" i="7"/>
  <c r="K116" i="7"/>
  <c r="G116" i="7"/>
  <c r="E116" i="7"/>
  <c r="D116" i="7"/>
  <c r="M228" i="7"/>
  <c r="M224" i="7"/>
  <c r="N224" i="7"/>
  <c r="O224" i="7"/>
  <c r="P224" i="7"/>
  <c r="Q224" i="7"/>
  <c r="M225" i="7"/>
  <c r="N225" i="7"/>
  <c r="O225" i="7"/>
  <c r="P225" i="7"/>
  <c r="Q225" i="7"/>
  <c r="M226" i="7"/>
  <c r="N226" i="7"/>
  <c r="O226" i="7"/>
  <c r="P226" i="7"/>
  <c r="Q226" i="7"/>
  <c r="M227" i="7"/>
  <c r="N227" i="7"/>
  <c r="O227" i="7"/>
  <c r="P227" i="7"/>
  <c r="Q227" i="7"/>
  <c r="Q223" i="7"/>
  <c r="P223" i="7"/>
  <c r="O223" i="7"/>
  <c r="N223" i="7"/>
  <c r="M223" i="7"/>
  <c r="J224" i="7"/>
  <c r="J225" i="7"/>
  <c r="J226" i="7"/>
  <c r="J227" i="7"/>
  <c r="L224" i="7"/>
  <c r="L225" i="7"/>
  <c r="L226" i="7"/>
  <c r="L227" i="7"/>
  <c r="L223" i="7"/>
  <c r="J223" i="7"/>
  <c r="L217" i="7"/>
  <c r="L218" i="7"/>
  <c r="L216" i="7"/>
  <c r="J217" i="7"/>
  <c r="J218" i="7"/>
  <c r="J216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198" i="7"/>
  <c r="L192" i="7"/>
  <c r="M192" i="7"/>
  <c r="N192" i="7"/>
  <c r="O192" i="7"/>
  <c r="P192" i="7"/>
  <c r="Q192" i="7"/>
  <c r="J192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56" i="7"/>
  <c r="M156" i="7"/>
  <c r="N156" i="7"/>
  <c r="O156" i="7"/>
  <c r="P156" i="7"/>
  <c r="Q156" i="7"/>
  <c r="J152" i="7"/>
  <c r="J153" i="7"/>
  <c r="J154" i="7"/>
  <c r="J155" i="7"/>
  <c r="J156" i="7"/>
  <c r="M132" i="7"/>
  <c r="N132" i="7"/>
  <c r="O132" i="7"/>
  <c r="P132" i="7"/>
  <c r="Q132" i="7"/>
  <c r="M133" i="7"/>
  <c r="N133" i="7"/>
  <c r="O133" i="7"/>
  <c r="P133" i="7"/>
  <c r="Q133" i="7"/>
  <c r="M134" i="7"/>
  <c r="N134" i="7"/>
  <c r="O134" i="7"/>
  <c r="P134" i="7"/>
  <c r="Q134" i="7"/>
  <c r="M135" i="7"/>
  <c r="N135" i="7"/>
  <c r="O135" i="7"/>
  <c r="P135" i="7"/>
  <c r="Q135" i="7"/>
  <c r="M136" i="7"/>
  <c r="N136" i="7"/>
  <c r="O136" i="7"/>
  <c r="P136" i="7"/>
  <c r="Q136" i="7"/>
  <c r="M137" i="7"/>
  <c r="N137" i="7"/>
  <c r="O137" i="7"/>
  <c r="P137" i="7"/>
  <c r="Q137" i="7"/>
  <c r="M138" i="7"/>
  <c r="N138" i="7"/>
  <c r="O138" i="7"/>
  <c r="P138" i="7"/>
  <c r="Q138" i="7"/>
  <c r="M139" i="7"/>
  <c r="N139" i="7"/>
  <c r="O139" i="7"/>
  <c r="P139" i="7"/>
  <c r="Q139" i="7"/>
  <c r="M140" i="7"/>
  <c r="N140" i="7"/>
  <c r="O140" i="7"/>
  <c r="P140" i="7"/>
  <c r="Q140" i="7"/>
  <c r="M141" i="7"/>
  <c r="N141" i="7"/>
  <c r="O141" i="7"/>
  <c r="P141" i="7"/>
  <c r="Q141" i="7"/>
  <c r="M142" i="7"/>
  <c r="N142" i="7"/>
  <c r="O142" i="7"/>
  <c r="P142" i="7"/>
  <c r="Q142" i="7"/>
  <c r="M143" i="7"/>
  <c r="N143" i="7"/>
  <c r="O143" i="7"/>
  <c r="P143" i="7"/>
  <c r="Q143" i="7"/>
  <c r="M144" i="7"/>
  <c r="N144" i="7"/>
  <c r="O144" i="7"/>
  <c r="P144" i="7"/>
  <c r="Q144" i="7"/>
  <c r="M145" i="7"/>
  <c r="N145" i="7"/>
  <c r="O145" i="7"/>
  <c r="P145" i="7"/>
  <c r="Q145" i="7"/>
  <c r="M146" i="7"/>
  <c r="N146" i="7"/>
  <c r="O146" i="7"/>
  <c r="P146" i="7"/>
  <c r="Q146" i="7"/>
  <c r="M147" i="7"/>
  <c r="N147" i="7"/>
  <c r="O147" i="7"/>
  <c r="P147" i="7"/>
  <c r="Q147" i="7"/>
  <c r="L72" i="7"/>
  <c r="M72" i="7"/>
  <c r="N72" i="7"/>
  <c r="O72" i="7"/>
  <c r="P72" i="7"/>
  <c r="Q72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T229" i="7"/>
  <c r="T228" i="7"/>
  <c r="K228" i="7"/>
  <c r="I228" i="7"/>
  <c r="R225" i="7"/>
  <c r="S225" i="7"/>
  <c r="S223" i="7" l="1"/>
  <c r="R223" i="7"/>
  <c r="K223" i="7"/>
  <c r="H227" i="7"/>
  <c r="H226" i="7"/>
  <c r="H225" i="7"/>
  <c r="H224" i="7"/>
  <c r="H223" i="7"/>
  <c r="G223" i="7"/>
  <c r="E223" i="7"/>
  <c r="D223" i="7"/>
  <c r="D218" i="7"/>
  <c r="S146" i="7"/>
  <c r="R146" i="7"/>
  <c r="K146" i="7"/>
  <c r="G146" i="7"/>
  <c r="F146" i="7"/>
  <c r="E146" i="7"/>
  <c r="H146" i="7" s="1"/>
  <c r="D146" i="7"/>
  <c r="P217" i="7"/>
  <c r="N217" i="7"/>
  <c r="M217" i="7"/>
  <c r="H217" i="7"/>
  <c r="Q217" i="7" s="1"/>
  <c r="O217" i="7" l="1"/>
  <c r="K137" i="7" l="1"/>
  <c r="T37" i="7"/>
  <c r="T53" i="7"/>
  <c r="T211" i="7"/>
  <c r="K127" i="7"/>
  <c r="K47" i="7" l="1"/>
  <c r="U35" i="7"/>
  <c r="K117" i="7"/>
  <c r="G117" i="7"/>
  <c r="E117" i="7"/>
  <c r="D117" i="7"/>
  <c r="S143" i="7"/>
  <c r="R143" i="7"/>
  <c r="K143" i="7"/>
  <c r="G143" i="7"/>
  <c r="E143" i="7"/>
  <c r="D143" i="7"/>
  <c r="K113" i="7"/>
  <c r="G113" i="7"/>
  <c r="E113" i="7"/>
  <c r="D113" i="7"/>
  <c r="S127" i="7" l="1"/>
  <c r="R127" i="7"/>
  <c r="G127" i="7"/>
  <c r="F127" i="7"/>
  <c r="E127" i="7"/>
  <c r="E128" i="7"/>
  <c r="D127" i="7"/>
  <c r="S114" i="7"/>
  <c r="R114" i="7"/>
  <c r="K114" i="7"/>
  <c r="G114" i="7"/>
  <c r="F114" i="7"/>
  <c r="E114" i="7"/>
  <c r="D114" i="7"/>
  <c r="S115" i="7"/>
  <c r="R115" i="7"/>
  <c r="K115" i="7"/>
  <c r="G115" i="7"/>
  <c r="E115" i="7"/>
  <c r="D115" i="7"/>
  <c r="T42" i="7" l="1"/>
  <c r="K123" i="7"/>
  <c r="G123" i="7"/>
  <c r="E123" i="7"/>
  <c r="D123" i="7"/>
  <c r="D142" i="7"/>
  <c r="E142" i="7"/>
  <c r="G142" i="7"/>
  <c r="S142" i="7"/>
  <c r="R142" i="7"/>
  <c r="K142" i="7"/>
  <c r="S145" i="7" l="1"/>
  <c r="R145" i="7"/>
  <c r="K145" i="7"/>
  <c r="G145" i="7"/>
  <c r="E145" i="7"/>
  <c r="D145" i="7"/>
  <c r="S135" i="7" l="1"/>
  <c r="R135" i="7"/>
  <c r="K135" i="7"/>
  <c r="G135" i="7"/>
  <c r="E135" i="7"/>
  <c r="D135" i="7"/>
  <c r="S126" i="7" l="1"/>
  <c r="R126" i="7"/>
  <c r="K126" i="7"/>
  <c r="G126" i="7"/>
  <c r="E126" i="7"/>
  <c r="D126" i="7"/>
  <c r="S144" i="7" l="1"/>
  <c r="R144" i="7"/>
  <c r="K144" i="7"/>
  <c r="G144" i="7"/>
  <c r="E144" i="7"/>
  <c r="D144" i="7"/>
  <c r="H56" i="7" l="1"/>
  <c r="S141" i="7"/>
  <c r="R141" i="7"/>
  <c r="K141" i="7"/>
  <c r="E141" i="7"/>
  <c r="D141" i="7"/>
  <c r="S128" i="7"/>
  <c r="R128" i="7"/>
  <c r="K128" i="7"/>
  <c r="G128" i="7"/>
  <c r="D128" i="7"/>
  <c r="S137" i="7"/>
  <c r="R137" i="7"/>
  <c r="G137" i="7"/>
  <c r="E137" i="7"/>
  <c r="D137" i="7"/>
  <c r="K119" i="7"/>
  <c r="G119" i="7"/>
  <c r="E119" i="7"/>
  <c r="D119" i="7"/>
  <c r="S147" i="7"/>
  <c r="R147" i="7"/>
  <c r="K147" i="7"/>
  <c r="G147" i="7"/>
  <c r="E147" i="7"/>
  <c r="D147" i="7"/>
  <c r="T133" i="7"/>
  <c r="S133" i="7"/>
  <c r="R133" i="7"/>
  <c r="K133" i="7"/>
  <c r="G133" i="7"/>
  <c r="E133" i="7"/>
  <c r="D133" i="7"/>
  <c r="H208" i="7"/>
  <c r="S124" i="7"/>
  <c r="R124" i="7"/>
  <c r="K124" i="7"/>
  <c r="G124" i="7"/>
  <c r="D124" i="7"/>
  <c r="S138" i="7"/>
  <c r="R138" i="7"/>
  <c r="K138" i="7"/>
  <c r="G138" i="7"/>
  <c r="E138" i="7"/>
  <c r="D138" i="7"/>
  <c r="S132" i="7"/>
  <c r="R132" i="7"/>
  <c r="K132" i="7"/>
  <c r="G132" i="7"/>
  <c r="E132" i="7"/>
  <c r="D132" i="7"/>
  <c r="S112" i="7"/>
  <c r="R112" i="7"/>
  <c r="K112" i="7"/>
  <c r="G112" i="7"/>
  <c r="F112" i="7"/>
  <c r="E112" i="7"/>
  <c r="D112" i="7"/>
  <c r="H209" i="7"/>
  <c r="S121" i="7"/>
  <c r="R121" i="7"/>
  <c r="M122" i="7"/>
  <c r="S122" i="7"/>
  <c r="R122" i="7"/>
  <c r="H83" i="7"/>
  <c r="D83" i="7"/>
  <c r="K136" i="7"/>
  <c r="G136" i="7"/>
  <c r="E136" i="7"/>
  <c r="D136" i="7"/>
  <c r="S118" i="7"/>
  <c r="R118" i="7"/>
  <c r="K118" i="7"/>
  <c r="G118" i="7"/>
  <c r="E118" i="7"/>
  <c r="D118" i="7"/>
  <c r="S131" i="7"/>
  <c r="R131" i="7"/>
  <c r="K131" i="7"/>
  <c r="G131" i="7"/>
  <c r="E131" i="7"/>
  <c r="D131" i="7"/>
  <c r="H177" i="7"/>
  <c r="D125" i="7"/>
  <c r="E125" i="7"/>
  <c r="G125" i="7"/>
  <c r="K125" i="7"/>
  <c r="S125" i="7"/>
  <c r="R125" i="7"/>
  <c r="K120" i="7"/>
  <c r="G120" i="7"/>
  <c r="E120" i="7"/>
  <c r="D120" i="7"/>
  <c r="S139" i="7"/>
  <c r="R139" i="7"/>
  <c r="K139" i="7"/>
  <c r="G139" i="7"/>
  <c r="F139" i="7"/>
  <c r="E139" i="7"/>
  <c r="D139" i="7"/>
  <c r="S140" i="7"/>
  <c r="R140" i="7"/>
  <c r="K140" i="7"/>
  <c r="G140" i="7"/>
  <c r="F140" i="7"/>
  <c r="E140" i="7"/>
  <c r="D140" i="7"/>
  <c r="D59" i="7"/>
  <c r="H8" i="7"/>
  <c r="H9" i="7"/>
  <c r="H32" i="7"/>
  <c r="H62" i="7"/>
  <c r="M202" i="7"/>
  <c r="N202" i="7"/>
  <c r="P202" i="7"/>
  <c r="M203" i="7"/>
  <c r="N203" i="7"/>
  <c r="P203" i="7"/>
  <c r="M204" i="7"/>
  <c r="N204" i="7"/>
  <c r="P204" i="7"/>
  <c r="M205" i="7"/>
  <c r="N205" i="7"/>
  <c r="P205" i="7"/>
  <c r="M206" i="7"/>
  <c r="N206" i="7"/>
  <c r="P206" i="7"/>
  <c r="M207" i="7"/>
  <c r="N207" i="7"/>
  <c r="P207" i="7"/>
  <c r="M208" i="7"/>
  <c r="N208" i="7"/>
  <c r="P208" i="7"/>
  <c r="M209" i="7"/>
  <c r="N209" i="7"/>
  <c r="P209" i="7"/>
  <c r="M210" i="7"/>
  <c r="N210" i="7"/>
  <c r="P210" i="7"/>
  <c r="M211" i="7"/>
  <c r="N211" i="7"/>
  <c r="P211" i="7"/>
  <c r="M212" i="7"/>
  <c r="N212" i="7"/>
  <c r="P212" i="7"/>
  <c r="M213" i="7"/>
  <c r="N213" i="7"/>
  <c r="P213" i="7"/>
  <c r="M198" i="7"/>
  <c r="N198" i="7"/>
  <c r="P198" i="7"/>
  <c r="M191" i="7"/>
  <c r="N191" i="7"/>
  <c r="P191" i="7"/>
  <c r="M121" i="7"/>
  <c r="N121" i="7"/>
  <c r="P121" i="7"/>
  <c r="M127" i="7"/>
  <c r="N127" i="7"/>
  <c r="P127" i="7"/>
  <c r="P122" i="7" l="1"/>
  <c r="N122" i="7"/>
  <c r="K219" i="7"/>
  <c r="I219" i="7"/>
  <c r="I148" i="7"/>
  <c r="J134" i="7" l="1"/>
  <c r="J146" i="7"/>
  <c r="J139" i="7"/>
  <c r="J142" i="7"/>
  <c r="J135" i="7"/>
  <c r="J147" i="7"/>
  <c r="J136" i="7"/>
  <c r="J137" i="7"/>
  <c r="J138" i="7"/>
  <c r="J140" i="7"/>
  <c r="J141" i="7"/>
  <c r="J143" i="7"/>
  <c r="J132" i="7"/>
  <c r="J144" i="7"/>
  <c r="J133" i="7"/>
  <c r="J145" i="7"/>
  <c r="L205" i="7"/>
  <c r="L209" i="7"/>
  <c r="L213" i="7"/>
  <c r="L203" i="7"/>
  <c r="L207" i="7"/>
  <c r="L211" i="7"/>
  <c r="L198" i="7"/>
  <c r="L204" i="7"/>
  <c r="L212" i="7"/>
  <c r="L206" i="7"/>
  <c r="L208" i="7"/>
  <c r="L202" i="7"/>
  <c r="L210" i="7"/>
  <c r="N113" i="7" l="1"/>
  <c r="P113" i="7"/>
  <c r="M113" i="7"/>
  <c r="S123" i="7"/>
  <c r="R123" i="7"/>
  <c r="N123" i="7" l="1"/>
  <c r="M123" i="7"/>
  <c r="P123" i="7"/>
  <c r="N128" i="7" l="1"/>
  <c r="M128" i="7"/>
  <c r="P128" i="7"/>
  <c r="H182" i="7" l="1"/>
  <c r="H61" i="7"/>
  <c r="H143" i="7"/>
  <c r="H106" i="7"/>
  <c r="H66" i="7"/>
  <c r="H147" i="7" l="1"/>
  <c r="H152" i="7"/>
  <c r="N114" i="7"/>
  <c r="N124" i="7" l="1"/>
  <c r="M114" i="7"/>
  <c r="P114" i="7"/>
  <c r="P124" i="7"/>
  <c r="M124" i="7"/>
  <c r="N115" i="7"/>
  <c r="M126" i="7"/>
  <c r="P126" i="7"/>
  <c r="M115" i="7"/>
  <c r="P115" i="7"/>
  <c r="N126" i="7"/>
  <c r="S119" i="7"/>
  <c r="R119" i="7"/>
  <c r="N119" i="7"/>
  <c r="H40" i="7"/>
  <c r="P119" i="7" l="1"/>
  <c r="M119" i="7"/>
  <c r="H57" i="7"/>
  <c r="H77" i="7"/>
  <c r="S117" i="7"/>
  <c r="N117" i="7"/>
  <c r="N120" i="7"/>
  <c r="N125" i="7"/>
  <c r="P120" i="7" l="1"/>
  <c r="M120" i="7"/>
  <c r="P125" i="7"/>
  <c r="M125" i="7"/>
  <c r="P117" i="7"/>
  <c r="M117" i="7"/>
  <c r="H141" i="7"/>
  <c r="S136" i="7"/>
  <c r="R136" i="7"/>
  <c r="N116" i="7"/>
  <c r="N118" i="7"/>
  <c r="P118" i="7" l="1"/>
  <c r="M118" i="7"/>
  <c r="M116" i="7"/>
  <c r="P116" i="7"/>
  <c r="K148" i="7"/>
  <c r="H162" i="7"/>
  <c r="H163" i="7"/>
  <c r="H164" i="7"/>
  <c r="H165" i="7"/>
  <c r="H166" i="7"/>
  <c r="H167" i="7"/>
  <c r="H168" i="7"/>
  <c r="H169" i="7"/>
  <c r="H170" i="7"/>
  <c r="L137" i="7" l="1"/>
  <c r="L141" i="7"/>
  <c r="L145" i="7"/>
  <c r="L135" i="7"/>
  <c r="L133" i="7"/>
  <c r="L139" i="7"/>
  <c r="L143" i="7"/>
  <c r="L147" i="7"/>
  <c r="L132" i="7"/>
  <c r="L134" i="7"/>
  <c r="L136" i="7"/>
  <c r="L138" i="7"/>
  <c r="L140" i="7"/>
  <c r="L142" i="7"/>
  <c r="L144" i="7"/>
  <c r="L146" i="7"/>
  <c r="L121" i="7"/>
  <c r="L122" i="7"/>
  <c r="L127" i="7"/>
  <c r="L113" i="7"/>
  <c r="L123" i="7"/>
  <c r="L128" i="7"/>
  <c r="L114" i="7"/>
  <c r="L124" i="7"/>
  <c r="L115" i="7"/>
  <c r="L126" i="7"/>
  <c r="L119" i="7"/>
  <c r="L125" i="7"/>
  <c r="L117" i="7"/>
  <c r="L120" i="7"/>
  <c r="L116" i="7"/>
  <c r="L118" i="7"/>
  <c r="F138" i="7"/>
  <c r="S113" i="7" l="1"/>
  <c r="R113" i="7"/>
  <c r="H51" i="7" l="1"/>
  <c r="R117" i="7" l="1"/>
  <c r="H123" i="7" l="1"/>
  <c r="O123" i="7" l="1"/>
  <c r="Q123" i="7"/>
  <c r="H202" i="7"/>
  <c r="H115" i="7"/>
  <c r="O202" i="7" l="1"/>
  <c r="Q202" i="7"/>
  <c r="Q115" i="7"/>
  <c r="O115" i="7"/>
  <c r="H33" i="7"/>
  <c r="H31" i="7" l="1"/>
  <c r="H136" i="7" l="1"/>
  <c r="H48" i="7" l="1"/>
  <c r="H43" i="7" l="1"/>
  <c r="H151" i="7" l="1"/>
  <c r="H96" i="7" l="1"/>
  <c r="H104" i="7" l="1"/>
  <c r="T157" i="7" l="1"/>
  <c r="B10" i="6" s="1"/>
  <c r="K157" i="7"/>
  <c r="P218" i="7"/>
  <c r="N218" i="7"/>
  <c r="P201" i="7"/>
  <c r="N201" i="7"/>
  <c r="M201" i="7"/>
  <c r="I157" i="7"/>
  <c r="B8" i="3" l="1"/>
  <c r="M157" i="7"/>
  <c r="C9" i="2"/>
  <c r="H205" i="7"/>
  <c r="Q205" i="7" l="1"/>
  <c r="O205" i="7"/>
  <c r="H15" i="7"/>
  <c r="H134" i="7" l="1"/>
  <c r="H81" i="7"/>
  <c r="H176" i="7"/>
  <c r="H22" i="7"/>
  <c r="H161" i="7" l="1"/>
  <c r="H171" i="7"/>
  <c r="H172" i="7"/>
  <c r="H173" i="7"/>
  <c r="H175" i="7"/>
  <c r="H174" i="7"/>
  <c r="H178" i="7"/>
  <c r="H179" i="7"/>
  <c r="H180" i="7"/>
  <c r="H181" i="7"/>
  <c r="H183" i="7"/>
  <c r="H184" i="7"/>
  <c r="H185" i="7"/>
  <c r="H186" i="7"/>
  <c r="H187" i="7"/>
  <c r="H160" i="7"/>
  <c r="H218" i="7"/>
  <c r="Q218" i="7" l="1"/>
  <c r="O218" i="7"/>
  <c r="P151" i="7" l="1"/>
  <c r="N151" i="7"/>
  <c r="M151" i="7"/>
  <c r="H203" i="7" l="1"/>
  <c r="H204" i="7"/>
  <c r="H206" i="7"/>
  <c r="H207" i="7"/>
  <c r="H210" i="7"/>
  <c r="H211" i="7"/>
  <c r="H212" i="7"/>
  <c r="H213" i="7"/>
  <c r="O206" i="7" l="1"/>
  <c r="Q206" i="7"/>
  <c r="O211" i="7"/>
  <c r="Q211" i="7"/>
  <c r="O207" i="7"/>
  <c r="Q207" i="7"/>
  <c r="O210" i="7"/>
  <c r="Q210" i="7"/>
  <c r="Q213" i="7"/>
  <c r="O213" i="7"/>
  <c r="Q209" i="7"/>
  <c r="O209" i="7"/>
  <c r="O204" i="7"/>
  <c r="Q204" i="7"/>
  <c r="O212" i="7"/>
  <c r="Q212" i="7"/>
  <c r="O208" i="7"/>
  <c r="Q208" i="7"/>
  <c r="O203" i="7"/>
  <c r="Q203" i="7"/>
  <c r="H201" i="7"/>
  <c r="H198" i="7"/>
  <c r="H197" i="7"/>
  <c r="H191" i="7"/>
  <c r="H192" i="7"/>
  <c r="H153" i="7"/>
  <c r="H154" i="7"/>
  <c r="H155" i="7"/>
  <c r="H156" i="7"/>
  <c r="H132" i="7"/>
  <c r="H133" i="7"/>
  <c r="H135" i="7"/>
  <c r="H137" i="7"/>
  <c r="H138" i="7"/>
  <c r="H139" i="7"/>
  <c r="H140" i="7"/>
  <c r="H142" i="7"/>
  <c r="H144" i="7"/>
  <c r="H145" i="7"/>
  <c r="H131" i="7"/>
  <c r="H113" i="7"/>
  <c r="H114" i="7"/>
  <c r="H116" i="7"/>
  <c r="H117" i="7"/>
  <c r="H118" i="7"/>
  <c r="H119" i="7"/>
  <c r="H120" i="7"/>
  <c r="H121" i="7"/>
  <c r="H122" i="7"/>
  <c r="H124" i="7"/>
  <c r="H125" i="7"/>
  <c r="H126" i="7"/>
  <c r="H127" i="7"/>
  <c r="H128" i="7"/>
  <c r="Q121" i="7" l="1"/>
  <c r="O121" i="7"/>
  <c r="O191" i="7"/>
  <c r="Q191" i="7"/>
  <c r="Q198" i="7"/>
  <c r="O198" i="7"/>
  <c r="Q127" i="7"/>
  <c r="O127" i="7"/>
  <c r="O122" i="7"/>
  <c r="Q122" i="7"/>
  <c r="O117" i="7"/>
  <c r="Q117" i="7"/>
  <c r="O116" i="7"/>
  <c r="Q116" i="7"/>
  <c r="O125" i="7"/>
  <c r="Q125" i="7"/>
  <c r="O126" i="7"/>
  <c r="Q126" i="7"/>
  <c r="O128" i="7"/>
  <c r="Q128" i="7"/>
  <c r="Q114" i="7"/>
  <c r="O114" i="7"/>
  <c r="O113" i="7"/>
  <c r="Q113" i="7"/>
  <c r="O124" i="7"/>
  <c r="Q124" i="7"/>
  <c r="Q120" i="7"/>
  <c r="O120" i="7"/>
  <c r="O119" i="7"/>
  <c r="Q119" i="7"/>
  <c r="O118" i="7"/>
  <c r="Q118" i="7"/>
  <c r="Q201" i="7"/>
  <c r="O201" i="7"/>
  <c r="Q151" i="7"/>
  <c r="O151" i="7"/>
  <c r="H72" i="7"/>
  <c r="H73" i="7"/>
  <c r="H74" i="7"/>
  <c r="H75" i="7"/>
  <c r="H76" i="7"/>
  <c r="H78" i="7"/>
  <c r="H79" i="7"/>
  <c r="H80" i="7"/>
  <c r="H82" i="7"/>
  <c r="H84" i="7"/>
  <c r="H85" i="7"/>
  <c r="H86" i="7"/>
  <c r="H87" i="7"/>
  <c r="H88" i="7"/>
  <c r="H89" i="7"/>
  <c r="H90" i="7"/>
  <c r="H91" i="7"/>
  <c r="H92" i="7"/>
  <c r="H93" i="7"/>
  <c r="H94" i="7"/>
  <c r="H95" i="7"/>
  <c r="H97" i="7"/>
  <c r="H98" i="7"/>
  <c r="H99" i="7"/>
  <c r="H100" i="7"/>
  <c r="H101" i="7"/>
  <c r="H102" i="7"/>
  <c r="H103" i="7"/>
  <c r="H107" i="7"/>
  <c r="H71" i="7"/>
  <c r="H10" i="7"/>
  <c r="H11" i="7"/>
  <c r="H12" i="7"/>
  <c r="H13" i="7"/>
  <c r="H14" i="7"/>
  <c r="H16" i="7"/>
  <c r="H17" i="7"/>
  <c r="H18" i="7"/>
  <c r="H19" i="7"/>
  <c r="H20" i="7"/>
  <c r="H21" i="7"/>
  <c r="H23" i="7"/>
  <c r="H6" i="7"/>
  <c r="H7" i="7"/>
  <c r="H5" i="7"/>
  <c r="H112" i="7" l="1"/>
  <c r="H28" i="7"/>
  <c r="H29" i="7"/>
  <c r="H30" i="7"/>
  <c r="H34" i="7"/>
  <c r="H35" i="7"/>
  <c r="H36" i="7"/>
  <c r="H37" i="7"/>
  <c r="H38" i="7"/>
  <c r="H39" i="7"/>
  <c r="H41" i="7"/>
  <c r="H42" i="7"/>
  <c r="H44" i="7"/>
  <c r="H45" i="7"/>
  <c r="H46" i="7"/>
  <c r="H47" i="7"/>
  <c r="H49" i="7"/>
  <c r="H50" i="7"/>
  <c r="H52" i="7"/>
  <c r="H53" i="7"/>
  <c r="H54" i="7"/>
  <c r="H55" i="7"/>
  <c r="H58" i="7"/>
  <c r="H59" i="7"/>
  <c r="H60" i="7"/>
  <c r="H63" i="7"/>
  <c r="H64" i="7"/>
  <c r="H65" i="7"/>
  <c r="H67" i="7"/>
  <c r="M218" i="7" l="1"/>
  <c r="T219" i="7" l="1"/>
  <c r="B13" i="6" s="1"/>
  <c r="Q197" i="7"/>
  <c r="P197" i="7"/>
  <c r="O197" i="7"/>
  <c r="N197" i="7"/>
  <c r="M197" i="7"/>
  <c r="T193" i="7"/>
  <c r="B12" i="6" s="1"/>
  <c r="K193" i="7"/>
  <c r="I193" i="7"/>
  <c r="P216" i="7"/>
  <c r="N216" i="7"/>
  <c r="M216" i="7"/>
  <c r="H216" i="7"/>
  <c r="K188" i="7"/>
  <c r="I188" i="7"/>
  <c r="T188" i="7"/>
  <c r="B11" i="6" s="1"/>
  <c r="P160" i="7"/>
  <c r="N160" i="7"/>
  <c r="M160" i="7"/>
  <c r="Q160" i="7"/>
  <c r="L151" i="7"/>
  <c r="T148" i="7"/>
  <c r="B9" i="6" s="1"/>
  <c r="P112" i="7"/>
  <c r="N112" i="7"/>
  <c r="M112" i="7"/>
  <c r="Q112" i="7"/>
  <c r="T108" i="7"/>
  <c r="B8" i="6" s="1"/>
  <c r="K108" i="7"/>
  <c r="I108" i="7"/>
  <c r="P71" i="7"/>
  <c r="N71" i="7"/>
  <c r="M71" i="7"/>
  <c r="T68" i="7"/>
  <c r="B7" i="6" s="1"/>
  <c r="K68" i="7"/>
  <c r="I68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B7" i="3" l="1"/>
  <c r="L191" i="7"/>
  <c r="B2" i="3"/>
  <c r="J191" i="7"/>
  <c r="B10" i="3"/>
  <c r="B6" i="3"/>
  <c r="C11" i="2"/>
  <c r="M193" i="7"/>
  <c r="L201" i="7"/>
  <c r="C12" i="2"/>
  <c r="J201" i="7"/>
  <c r="C10" i="2"/>
  <c r="C7" i="2"/>
  <c r="C5" i="2"/>
  <c r="M24" i="7"/>
  <c r="C6" i="2"/>
  <c r="M68" i="7"/>
  <c r="M108" i="7"/>
  <c r="M188" i="7"/>
  <c r="J151" i="7"/>
  <c r="Q131" i="7"/>
  <c r="N131" i="7"/>
  <c r="J71" i="7"/>
  <c r="L197" i="7"/>
  <c r="O112" i="7"/>
  <c r="J160" i="7"/>
  <c r="L27" i="7"/>
  <c r="J197" i="7"/>
  <c r="M219" i="7"/>
  <c r="T220" i="7"/>
  <c r="L71" i="7"/>
  <c r="M131" i="7"/>
  <c r="P131" i="7"/>
  <c r="O160" i="7"/>
  <c r="L5" i="7"/>
  <c r="Q71" i="7"/>
  <c r="O71" i="7"/>
  <c r="Q216" i="7"/>
  <c r="O216" i="7"/>
  <c r="J5" i="7"/>
  <c r="O5" i="7"/>
  <c r="J27" i="7"/>
  <c r="O27" i="7"/>
  <c r="L160" i="7"/>
  <c r="J115" i="7" l="1"/>
  <c r="J123" i="7"/>
  <c r="J127" i="7"/>
  <c r="J122" i="7"/>
  <c r="J121" i="7"/>
  <c r="J124" i="7"/>
  <c r="J125" i="7"/>
  <c r="J126" i="7"/>
  <c r="J128" i="7"/>
  <c r="J118" i="7"/>
  <c r="J116" i="7"/>
  <c r="J113" i="7"/>
  <c r="J114" i="7"/>
  <c r="J117" i="7"/>
  <c r="J119" i="7"/>
  <c r="J120" i="7"/>
  <c r="B9" i="3"/>
  <c r="C8" i="2"/>
  <c r="M148" i="7"/>
  <c r="O131" i="7"/>
  <c r="K220" i="7"/>
  <c r="J112" i="7"/>
  <c r="J131" i="7"/>
  <c r="L112" i="7"/>
  <c r="L131" i="7"/>
  <c r="I220" i="7"/>
  <c r="I229" i="7" s="1"/>
  <c r="J157" i="7" l="1"/>
  <c r="J108" i="7"/>
  <c r="J68" i="7"/>
  <c r="J24" i="7"/>
  <c r="J193" i="7"/>
  <c r="J228" i="7"/>
  <c r="J219" i="7"/>
  <c r="J188" i="7"/>
  <c r="J148" i="7"/>
  <c r="M220" i="7"/>
  <c r="K229" i="7"/>
  <c r="L188" i="7" l="1"/>
  <c r="M229" i="7"/>
  <c r="L157" i="7"/>
  <c r="L228" i="7"/>
  <c r="L108" i="7"/>
  <c r="L219" i="7"/>
  <c r="L68" i="7"/>
  <c r="L193" i="7"/>
  <c r="L24" i="7"/>
  <c r="L148" i="7"/>
</calcChain>
</file>

<file path=xl/sharedStrings.xml><?xml version="1.0" encoding="utf-8"?>
<sst xmlns="http://schemas.openxmlformats.org/spreadsheetml/2006/main" count="465" uniqueCount="313">
  <si>
    <t>S/N</t>
  </si>
  <si>
    <t>FUND</t>
  </si>
  <si>
    <t>FUND MANAGER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</si>
  <si>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</si>
  <si>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</si>
  <si>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</si>
  <si>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</si>
  <si>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</si>
  <si>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</si>
  <si>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</si>
  <si>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</si>
  <si>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</si>
  <si>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</si>
  <si>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</si>
  <si>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</si>
  <si>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</si>
  <si>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</si>
  <si>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</si>
  <si>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</si>
  <si>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</si>
  <si>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</si>
  <si>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</si>
  <si>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</si>
  <si>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</si>
  <si>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</si>
  <si>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</si>
  <si>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</si>
  <si>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</si>
  <si>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</si>
  <si>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</si>
  <si>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</si>
  <si>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</si>
  <si>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</si>
  <si>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</si>
  <si>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</si>
  <si>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</si>
  <si>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</si>
  <si>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</si>
  <si>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</si>
  <si>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</si>
  <si>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</si>
  <si>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</si>
  <si>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</si>
  <si>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</si>
  <si>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</si>
  <si>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</si>
  <si>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</si>
  <si>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</si>
  <si>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</si>
  <si>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</si>
  <si>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</si>
  <si>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</si>
  <si>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</si>
  <si>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</si>
  <si>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</si>
  <si>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</si>
  <si>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</si>
  <si>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</si>
  <si>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</si>
  <si>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</si>
  <si>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</si>
  <si>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</si>
  <si>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</si>
  <si>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</si>
  <si>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</si>
  <si>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</si>
  <si>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</si>
  <si>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</si>
  <si>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</si>
  <si>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</si>
  <si>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</si>
  <si>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</si>
  <si>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</si>
  <si>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</si>
  <si>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</si>
  <si>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</si>
  <si>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</si>
  <si>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</si>
  <si>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</si>
  <si>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</si>
  <si>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</si>
  <si>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</si>
  <si>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</si>
  <si>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</si>
  <si>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</si>
  <si>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</si>
  <si>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</si>
  <si>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</si>
  <si>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</si>
  <si>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</si>
  <si>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</si>
  <si>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</si>
  <si>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</si>
  <si>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</si>
  <si>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</si>
  <si>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</si>
  <si>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</si>
  <si>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</si>
  <si>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</si>
  <si>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</si>
  <si>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</si>
  <si>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</si>
  <si>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</si>
  <si>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</si>
  <si>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</si>
  <si>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</si>
  <si>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</si>
  <si>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</si>
  <si>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</si>
  <si>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</si>
  <si>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</si>
  <si>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</si>
  <si>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</si>
  <si>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</si>
  <si>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</si>
  <si>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</si>
  <si>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</si>
  <si>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</si>
  <si>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</si>
  <si>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</si>
  <si>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</si>
  <si>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</si>
  <si>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</si>
  <si>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</si>
  <si>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</si>
  <si>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</si>
  <si>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</si>
  <si>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</si>
  <si>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</si>
  <si>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</si>
  <si>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</si>
  <si>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</si>
  <si>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</si>
  <si>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</si>
  <si>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</si>
  <si>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</si>
  <si>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</si>
  <si>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</si>
  <si>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</si>
  <si>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</si>
  <si>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</si>
  <si>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</si>
  <si>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</si>
  <si>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</si>
  <si>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</si>
  <si>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</si>
  <si>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</si>
  <si>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</si>
  <si>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</si>
  <si>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</si>
  <si>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</si>
  <si>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</si>
  <si>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</si>
  <si>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</si>
  <si>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</si>
  <si>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</si>
  <si>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</si>
  <si>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</si>
  <si>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</si>
  <si>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</si>
  <si>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</si>
  <si>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</si>
  <si>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</si>
  <si>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</si>
  <si>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</si>
  <si>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</si>
  <si>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</si>
  <si>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</si>
  <si>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</si>
  <si>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</si>
  <si>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</si>
  <si>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</si>
  <si>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</si>
  <si>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</si>
  <si>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</si>
  <si>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</si>
  <si>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</si>
  <si>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</si>
  <si>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</si>
  <si>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</si>
  <si>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</si>
  <si>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</si>
  <si>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</si>
  <si>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</si>
  <si>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</si>
  <si>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</si>
  <si>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</si>
  <si>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</si>
  <si>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</si>
  <si>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</si>
  <si>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</si>
  <si>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</si>
  <si>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</si>
  <si>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</si>
  <si>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</si>
  <si>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</si>
  <si>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</si>
  <si>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</si>
  <si>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</si>
  <si>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</si>
  <si>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</si>
  <si>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</si>
  <si>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</si>
  <si>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</si>
  <si>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</si>
  <si>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</si>
  <si>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</si>
  <si>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</si>
  <si>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</si>
  <si>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</si>
  <si>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</si>
  <si>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</si>
  <si>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</si>
  <si>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</si>
  <si>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</si>
  <si>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</si>
  <si>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</si>
  <si>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</si>
  <si>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</si>
  <si>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</si>
  <si>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</si>
  <si>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</si>
  <si>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</si>
  <si>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</si>
  <si>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</si>
  <si>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</si>
  <si>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</si>
  <si>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</si>
  <si>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</si>
  <si>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</si>
  <si>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</si>
  <si>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</si>
  <si>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</si>
  <si>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</si>
  <si>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</si>
  <si>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</si>
  <si>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</si>
  <si>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</si>
  <si>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</si>
  <si>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</si>
  <si>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</si>
  <si>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</si>
  <si>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</si>
  <si>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</si>
  <si>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</si>
  <si>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</si>
  <si>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</si>
  <si>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</si>
  <si>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</si>
  <si>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</si>
  <si>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</si>
  <si>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</si>
  <si>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</si>
  <si>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</si>
  <si>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</si>
  <si>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</si>
  <si>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</si>
  <si>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</si>
  <si>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</si>
  <si>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</si>
  <si>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</si>
  <si>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</si>
  <si>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</si>
  <si>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</si>
  <si>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</si>
  <si>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</si>
  <si>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</si>
  <si>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</si>
  <si>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</si>
  <si>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</si>
  <si>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</si>
  <si>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</si>
  <si>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</si>
  <si>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</si>
  <si>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</si>
  <si>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</si>
  <si>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</si>
  <si>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Asset Management Limited</t>
  </si>
  <si>
    <t>CardinalStone Balanced Fund</t>
  </si>
  <si>
    <t xml:space="preserve">Greenwich Asset Management Ltd </t>
  </si>
  <si>
    <t>Parthian Dollar Fixed Income Fund</t>
  </si>
  <si>
    <t>Parthian Capital Ltd.</t>
  </si>
  <si>
    <t>Parthian Money Market Fund</t>
  </si>
  <si>
    <t>MOFI Real Estate Investment Fund</t>
  </si>
  <si>
    <t>Zedcrest Money Market Fund</t>
  </si>
  <si>
    <t>Zedcrest Investment Managers Limited</t>
  </si>
  <si>
    <t>Zedcrest Dollar Fund</t>
  </si>
  <si>
    <t>Zedcrest Fixed Income Fund</t>
  </si>
  <si>
    <t>STL Dollar Fund</t>
  </si>
  <si>
    <t>STL Asset Mgt. Limited</t>
  </si>
  <si>
    <t>STL Money Market Fund</t>
  </si>
  <si>
    <t>STL Balanced Fund</t>
  </si>
  <si>
    <t>MONTHLY UPDATE ON REGISTERED MUTUAL FUNDS AS AT 31ST JULY, 2025</t>
  </si>
  <si>
    <t>NET ASSET VALUE (N) PREVIOUS - JUNE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</si>
  <si>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July, 2025 = N1533.5540</t>
    </r>
  </si>
  <si>
    <t xml:space="preserve">                                           -</t>
  </si>
  <si>
    <t>TOTAL VALUE OF INVESTMENT</t>
  </si>
  <si>
    <t>Vetiva USD Fixed Income Fund</t>
  </si>
  <si>
    <t>Vetiva Fund Managers</t>
  </si>
  <si>
    <t>ARM Halal Balanced Fund</t>
  </si>
  <si>
    <t>One17 Halal Fund</t>
  </si>
  <si>
    <t>One17 Capital Limited</t>
  </si>
  <si>
    <t>Clean Energy Fund</t>
  </si>
  <si>
    <t>FBN Blended Dollar Fund</t>
  </si>
  <si>
    <t>First Asset Management Limited</t>
  </si>
  <si>
    <t>FCMB-TLG Private Debt Fund</t>
  </si>
  <si>
    <t>FCMB Asset Management Ltd.</t>
  </si>
  <si>
    <t>United Capital Children Investment Fund</t>
  </si>
  <si>
    <t>SPECIALISED FUNDS</t>
  </si>
  <si>
    <t>ARM Specialized Dollar Fund</t>
  </si>
  <si>
    <t>Jun 2025</t>
  </si>
  <si>
    <t>Jul 2025</t>
  </si>
  <si>
    <t>Mutual Funds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</si>
</sst>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3">
    <xf numFmtId="0" fontId="0" fillId="0" borderId="0"/>
    <xf numFmtId="164" fontId="11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3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27" borderId="0" applyNumberFormat="0" applyBorder="0" applyAlignment="0" applyProtection="0"/>
    <xf numFmtId="17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49" fontId="7" fillId="0" borderId="0"/>
    <xf numFmtId="49" fontId="7" fillId="0" borderId="0"/>
    <xf numFmtId="49" fontId="7" fillId="0" borderId="0"/>
    <xf numFmtId="49" fontId="7" fillId="0" borderId="0"/>
    <xf numFmtId="0" fontId="7" fillId="0" borderId="0"/>
    <xf numFmtId="37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2" borderId="7" applyNumberFormat="0" applyAlignment="0" applyProtection="0"/>
    <xf numFmtId="0" fontId="40" fillId="33" borderId="8" applyNumberFormat="0" applyAlignment="0" applyProtection="0"/>
    <xf numFmtId="0" fontId="41" fillId="33" borderId="7" applyNumberFormat="0" applyAlignment="0" applyProtection="0"/>
    <xf numFmtId="0" fontId="42" fillId="0" borderId="9" applyNumberFormat="0" applyFill="0" applyAlignment="0" applyProtection="0"/>
    <xf numFmtId="0" fontId="31" fillId="34" borderId="10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2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2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2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2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7" fillId="0" borderId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5" borderId="0" applyNumberFormat="0" applyBorder="0" applyAlignment="0" applyProtection="0"/>
    <xf numFmtId="0" fontId="28" fillId="59" borderId="0" applyNumberFormat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7" fillId="31" borderId="0" applyNumberFormat="0" applyBorder="0" applyAlignment="0" applyProtection="0"/>
    <xf numFmtId="17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4" fillId="31" borderId="0" applyNumberFormat="0" applyBorder="0" applyAlignment="0" applyProtection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35" borderId="3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35" borderId="3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5" borderId="3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35" borderId="3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3" applyNumberFormat="0" applyFont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155">
    <xf numFmtId="0" fontId="0" fillId="0" borderId="0" xfId="0"/>
    <xf numFmtId="0" fontId="3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/>
    <xf numFmtId="0" fontId="6" fillId="0" borderId="0" xfId="0" applyFont="1"/>
    <xf numFmtId="0" fontId="10" fillId="0" borderId="0" xfId="0" applyFont="1"/>
    <xf numFmtId="0" fontId="6" fillId="2" borderId="0" xfId="0" applyFont="1" applyFill="1"/>
    <xf numFmtId="164" fontId="6" fillId="2" borderId="0" xfId="1" applyFont="1" applyFill="1" applyBorder="1" applyAlignment="1"/>
    <xf numFmtId="172" fontId="9" fillId="2" borderId="0" xfId="0" applyNumberFormat="1" applyFont="1" applyFill="1"/>
    <xf numFmtId="175" fontId="9" fillId="2" borderId="0" xfId="0" applyNumberFormat="1" applyFont="1" applyFill="1"/>
    <xf numFmtId="164" fontId="19" fillId="2" borderId="2" xfId="1" applyFont="1" applyFill="1" applyBorder="1"/>
    <xf numFmtId="172" fontId="19" fillId="2" borderId="2" xfId="0" applyNumberFormat="1" applyFont="1" applyFill="1" applyBorder="1" applyAlignment="1">
      <alignment horizontal="right"/>
    </xf>
    <xf numFmtId="164" fontId="19" fillId="2" borderId="2" xfId="1" applyFont="1" applyFill="1" applyBorder="1" applyAlignment="1"/>
    <xf numFmtId="10" fontId="19" fillId="2" borderId="2" xfId="0" applyNumberFormat="1" applyFont="1" applyFill="1" applyBorder="1" applyAlignment="1">
      <alignment horizontal="center"/>
    </xf>
    <xf numFmtId="0" fontId="21" fillId="0" borderId="0" xfId="0" applyFont="1"/>
    <xf numFmtId="164" fontId="19" fillId="2" borderId="2" xfId="1" applyFont="1" applyFill="1" applyBorder="1" applyAlignment="1">
      <alignment horizontal="right"/>
    </xf>
    <xf numFmtId="164" fontId="19" fillId="0" borderId="2" xfId="1" applyFont="1" applyBorder="1"/>
    <xf numFmtId="164" fontId="19" fillId="0" borderId="2" xfId="1" applyFont="1" applyFill="1" applyBorder="1"/>
    <xf numFmtId="49" fontId="19" fillId="2" borderId="2" xfId="0" applyNumberFormat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172" fontId="19" fillId="6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>
      <alignment wrapText="1"/>
    </xf>
    <xf numFmtId="172" fontId="20" fillId="2" borderId="2" xfId="0" applyNumberFormat="1" applyFont="1" applyFill="1" applyBorder="1"/>
    <xf numFmtId="164" fontId="19" fillId="2" borderId="2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left"/>
    </xf>
    <xf numFmtId="49" fontId="8" fillId="5" borderId="2" xfId="0" applyNumberFormat="1" applyFont="1" applyFill="1" applyBorder="1" applyAlignment="1">
      <alignment horizontal="center" vertical="top" wrapText="1"/>
    </xf>
    <xf numFmtId="171" fontId="19" fillId="0" borderId="2" xfId="0" applyNumberFormat="1" applyFont="1" applyBorder="1"/>
    <xf numFmtId="174" fontId="19" fillId="0" borderId="2" xfId="0" applyNumberFormat="1" applyFont="1" applyBorder="1"/>
    <xf numFmtId="164" fontId="8" fillId="5" borderId="2" xfId="1" applyFont="1" applyFill="1" applyBorder="1" applyAlignment="1">
      <alignment horizontal="center" vertical="top" wrapText="1"/>
    </xf>
    <xf numFmtId="172" fontId="20" fillId="2" borderId="2" xfId="0" applyNumberFormat="1" applyFont="1" applyFill="1" applyBorder="1" applyAlignment="1">
      <alignment horizontal="left"/>
    </xf>
    <xf numFmtId="10" fontId="20" fillId="2" borderId="2" xfId="0" applyNumberFormat="1" applyFont="1" applyFill="1" applyBorder="1" applyAlignment="1">
      <alignment horizontal="center"/>
    </xf>
    <xf numFmtId="172" fontId="20" fillId="6" borderId="2" xfId="0" applyNumberFormat="1" applyFont="1" applyFill="1" applyBorder="1" applyAlignment="1">
      <alignment horizontal="right" vertical="center"/>
    </xf>
    <xf numFmtId="164" fontId="20" fillId="2" borderId="2" xfId="1" applyFont="1" applyFill="1" applyBorder="1"/>
    <xf numFmtId="172" fontId="20" fillId="6" borderId="2" xfId="0" applyNumberFormat="1" applyFont="1" applyFill="1" applyBorder="1" applyAlignment="1">
      <alignment horizontal="center" vertical="center"/>
    </xf>
    <xf numFmtId="164" fontId="20" fillId="2" borderId="2" xfId="1" applyFont="1" applyFill="1" applyBorder="1" applyAlignment="1"/>
    <xf numFmtId="164" fontId="20" fillId="2" borderId="2" xfId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right" vertical="center"/>
    </xf>
    <xf numFmtId="173" fontId="19" fillId="2" borderId="2" xfId="0" applyNumberFormat="1" applyFont="1" applyFill="1" applyBorder="1"/>
    <xf numFmtId="0" fontId="22" fillId="9" borderId="0" xfId="0" applyFont="1" applyFill="1" applyAlignment="1">
      <alignment horizontal="left"/>
    </xf>
    <xf numFmtId="164" fontId="19" fillId="0" borderId="2" xfId="1" applyFont="1" applyBorder="1" applyAlignment="1"/>
    <xf numFmtId="164" fontId="19" fillId="7" borderId="2" xfId="1" applyFont="1" applyFill="1" applyBorder="1"/>
    <xf numFmtId="164" fontId="19" fillId="0" borderId="2" xfId="1" applyFont="1" applyFill="1" applyBorder="1" applyAlignment="1">
      <alignment horizontal="right"/>
    </xf>
    <xf numFmtId="164" fontId="8" fillId="5" borderId="2" xfId="1" applyFont="1" applyFill="1" applyBorder="1"/>
    <xf numFmtId="10" fontId="8" fillId="5" borderId="2" xfId="0" applyNumberFormat="1" applyFont="1" applyFill="1" applyBorder="1"/>
    <xf numFmtId="0" fontId="24" fillId="0" borderId="0" xfId="0" applyFont="1" applyAlignment="1">
      <alignment horizontal="right"/>
    </xf>
    <xf numFmtId="164" fontId="26" fillId="2" borderId="0" xfId="1" applyFont="1" applyFill="1" applyBorder="1"/>
    <xf numFmtId="4" fontId="27" fillId="2" borderId="0" xfId="0" applyNumberFormat="1" applyFont="1" applyFill="1"/>
    <xf numFmtId="4" fontId="27" fillId="2" borderId="0" xfId="0" applyNumberFormat="1" applyFont="1" applyFill="1" applyAlignment="1">
      <alignment horizontal="right"/>
    </xf>
    <xf numFmtId="4" fontId="26" fillId="2" borderId="0" xfId="0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4" fontId="26" fillId="2" borderId="0" xfId="0" applyNumberFormat="1" applyFont="1" applyFill="1"/>
    <xf numFmtId="164" fontId="27" fillId="2" borderId="0" xfId="1" applyFont="1" applyFill="1" applyBorder="1" applyAlignment="1">
      <alignment horizontal="right" vertical="top" wrapText="1"/>
    </xf>
    <xf numFmtId="164" fontId="26" fillId="2" borderId="0" xfId="1" applyFont="1" applyFill="1" applyBorder="1" applyAlignment="1">
      <alignment horizontal="right" vertical="top" wrapText="1"/>
    </xf>
    <xf numFmtId="164" fontId="20" fillId="2" borderId="2" xfId="1" applyFont="1" applyFill="1" applyBorder="1" applyAlignment="1">
      <alignment horizontal="left"/>
    </xf>
    <xf numFmtId="164" fontId="19" fillId="0" borderId="2" xfId="1" applyFont="1" applyFill="1" applyBorder="1" applyAlignment="1" applyProtection="1"/>
    <xf numFmtId="0" fontId="28" fillId="0" borderId="0" xfId="0" applyFont="1"/>
    <xf numFmtId="164" fontId="32" fillId="2" borderId="2" xfId="1" applyFont="1" applyFill="1" applyBorder="1"/>
    <xf numFmtId="164" fontId="32" fillId="2" borderId="2" xfId="1" applyFont="1" applyFill="1" applyBorder="1" applyAlignment="1"/>
    <xf numFmtId="10" fontId="32" fillId="2" borderId="2" xfId="0" applyNumberFormat="1" applyFont="1" applyFill="1" applyBorder="1" applyAlignment="1">
      <alignment horizontal="center"/>
    </xf>
    <xf numFmtId="10" fontId="33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/>
    </xf>
    <xf numFmtId="164" fontId="32" fillId="0" borderId="2" xfId="1" applyFont="1" applyBorder="1"/>
    <xf numFmtId="172" fontId="32" fillId="6" borderId="2" xfId="0" applyNumberFormat="1" applyFont="1" applyFill="1" applyBorder="1" applyAlignment="1">
      <alignment horizontal="center" vertical="center"/>
    </xf>
    <xf numFmtId="164" fontId="19" fillId="0" borderId="2" xfId="1" applyFont="1" applyFill="1" applyBorder="1" applyAlignment="1">
      <alignment horizontal="right" vertical="top" wrapText="1"/>
    </xf>
    <xf numFmtId="0" fontId="30" fillId="2" borderId="0" xfId="0" applyFont="1" applyFill="1" applyAlignment="1">
      <alignment horizontal="left"/>
    </xf>
    <xf numFmtId="164" fontId="19" fillId="2" borderId="2" xfId="1" applyFont="1" applyFill="1" applyBorder="1" applyAlignment="1">
      <alignment horizontal="right" wrapText="1"/>
    </xf>
    <xf numFmtId="49" fontId="19" fillId="2" borderId="2" xfId="0" applyNumberFormat="1" applyFont="1" applyFill="1" applyBorder="1"/>
    <xf numFmtId="49" fontId="19" fillId="2" borderId="2" xfId="0" applyNumberFormat="1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right" wrapText="1"/>
    </xf>
    <xf numFmtId="2" fontId="19" fillId="2" borderId="2" xfId="0" applyNumberFormat="1" applyFont="1" applyFill="1" applyBorder="1"/>
    <xf numFmtId="49" fontId="19" fillId="2" borderId="2" xfId="0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2" fontId="19" fillId="2" borderId="2" xfId="0" applyNumberFormat="1" applyFont="1" applyFill="1" applyBorder="1" applyAlignment="1">
      <alignment wrapText="1"/>
    </xf>
    <xf numFmtId="2" fontId="19" fillId="2" borderId="2" xfId="463" applyNumberFormat="1" applyFont="1" applyFill="1" applyBorder="1" applyAlignment="1">
      <alignment wrapText="1"/>
    </xf>
    <xf numFmtId="173" fontId="19" fillId="2" borderId="2" xfId="0" applyNumberFormat="1" applyFont="1" applyFill="1" applyBorder="1" applyAlignment="1">
      <alignment horizontal="right" wrapText="1"/>
    </xf>
    <xf numFmtId="164" fontId="19" fillId="2" borderId="2" xfId="1" applyFont="1" applyFill="1" applyBorder="1" applyAlignment="1">
      <alignment horizontal="left" vertical="top" wrapText="1"/>
    </xf>
    <xf numFmtId="174" fontId="19" fillId="2" borderId="2" xfId="1" applyNumberFormat="1" applyFont="1" applyFill="1" applyBorder="1" applyAlignment="1">
      <alignment horizontal="center" wrapText="1"/>
    </xf>
    <xf numFmtId="0" fontId="19" fillId="2" borderId="2" xfId="0" applyFont="1" applyFill="1" applyBorder="1"/>
    <xf numFmtId="49" fontId="19" fillId="0" borderId="2" xfId="0" applyNumberFormat="1" applyFont="1" applyBorder="1" applyAlignment="1">
      <alignment wrapText="1"/>
    </xf>
    <xf numFmtId="164" fontId="19" fillId="2" borderId="2" xfId="1" applyFont="1" applyFill="1" applyBorder="1" applyAlignment="1" applyProtection="1"/>
    <xf numFmtId="49" fontId="20" fillId="2" borderId="2" xfId="0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10" fontId="20" fillId="2" borderId="2" xfId="0" applyNumberFormat="1" applyFont="1" applyFill="1" applyBorder="1"/>
    <xf numFmtId="10" fontId="20" fillId="2" borderId="2" xfId="0" applyNumberFormat="1" applyFont="1" applyFill="1" applyBorder="1" applyAlignment="1">
      <alignment horizontal="right" vertical="center"/>
    </xf>
    <xf numFmtId="172" fontId="20" fillId="2" borderId="2" xfId="0" applyNumberFormat="1" applyFont="1" applyFill="1" applyBorder="1" applyAlignment="1">
      <alignment horizontal="right" vertical="center"/>
    </xf>
    <xf numFmtId="1" fontId="19" fillId="2" borderId="2" xfId="1" applyNumberFormat="1" applyFont="1" applyFill="1" applyBorder="1" applyAlignment="1">
      <alignment horizontal="right"/>
    </xf>
    <xf numFmtId="2" fontId="19" fillId="2" borderId="2" xfId="1" applyNumberFormat="1" applyFont="1" applyFill="1" applyBorder="1" applyAlignment="1">
      <alignment horizontal="left"/>
    </xf>
    <xf numFmtId="2" fontId="19" fillId="2" borderId="2" xfId="1" applyNumberFormat="1" applyFont="1" applyFill="1" applyBorder="1" applyAlignment="1">
      <alignment wrapText="1"/>
    </xf>
    <xf numFmtId="2" fontId="19" fillId="2" borderId="2" xfId="1" applyNumberFormat="1" applyFont="1" applyFill="1" applyBorder="1" applyAlignment="1">
      <alignment horizontal="left" wrapText="1"/>
    </xf>
    <xf numFmtId="2" fontId="19" fillId="2" borderId="2" xfId="1" applyNumberFormat="1" applyFont="1" applyFill="1" applyBorder="1"/>
    <xf numFmtId="172" fontId="19" fillId="2" borderId="2" xfId="0" applyNumberFormat="1" applyFont="1" applyFill="1" applyBorder="1" applyAlignment="1">
      <alignment horizontal="right" vertical="center"/>
    </xf>
    <xf numFmtId="0" fontId="49" fillId="0" borderId="0" xfId="0" applyFont="1"/>
    <xf numFmtId="16" fontId="50" fillId="2" borderId="0" xfId="0" applyNumberFormat="1" applyFont="1" applyFill="1"/>
    <xf numFmtId="164" fontId="49" fillId="0" borderId="0" xfId="1" applyFont="1" applyBorder="1"/>
    <xf numFmtId="4" fontId="49" fillId="2" borderId="0" xfId="0" applyNumberFormat="1" applyFont="1" applyFill="1"/>
    <xf numFmtId="172" fontId="49" fillId="2" borderId="0" xfId="0" applyNumberFormat="1" applyFont="1" applyFill="1"/>
    <xf numFmtId="0" fontId="50" fillId="0" borderId="2" xfId="0" applyFont="1" applyBorder="1" applyAlignment="1">
      <alignment horizontal="right"/>
    </xf>
    <xf numFmtId="43" fontId="5" fillId="0" borderId="0" xfId="200" applyFont="1"/>
    <xf numFmtId="4" fontId="26" fillId="2" borderId="2" xfId="0" applyNumberFormat="1" applyFont="1" applyFill="1" applyBorder="1"/>
    <xf numFmtId="4" fontId="26" fillId="2" borderId="2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4" fontId="27" fillId="2" borderId="1" xfId="0" applyNumberFormat="1" applyFont="1" applyFill="1" applyBorder="1" applyAlignment="1">
      <alignment horizontal="right"/>
    </xf>
    <xf numFmtId="164" fontId="19" fillId="2" borderId="2" xfId="1" applyFont="1" applyFill="1" applyBorder="1" applyAlignment="1">
      <alignment horizontal="center" wrapText="1"/>
    </xf>
    <xf numFmtId="43" fontId="51" fillId="60" borderId="2" xfId="0" applyNumberFormat="1" applyFont="1" applyFill="1" applyBorder="1"/>
    <xf numFmtId="0" fontId="52" fillId="60" borderId="2" xfId="0" applyFont="1" applyFill="1" applyBorder="1"/>
    <xf numFmtId="10" fontId="51" fillId="60" borderId="2" xfId="922" applyNumberFormat="1" applyFont="1" applyFill="1" applyBorder="1" applyAlignment="1">
      <alignment horizontal="center"/>
    </xf>
    <xf numFmtId="164" fontId="20" fillId="2" borderId="2" xfId="1" applyFont="1" applyFill="1" applyBorder="1" applyAlignment="1">
      <alignment horizontal="right"/>
    </xf>
    <xf numFmtId="0" fontId="32" fillId="2" borderId="2" xfId="0" applyFont="1" applyFill="1" applyBorder="1"/>
    <xf numFmtId="0" fontId="32" fillId="60" borderId="2" xfId="0" applyFont="1" applyFill="1" applyBorder="1"/>
    <xf numFmtId="4" fontId="32" fillId="0" borderId="2" xfId="0" applyNumberFormat="1" applyFont="1" applyBorder="1"/>
    <xf numFmtId="171" fontId="19" fillId="0" borderId="2" xfId="201" applyNumberFormat="1" applyFont="1" applyBorder="1"/>
    <xf numFmtId="10" fontId="8" fillId="5" borderId="2" xfId="0" applyNumberFormat="1" applyFont="1" applyFill="1" applyBorder="1" applyAlignment="1">
      <alignment horizontal="center" vertical="center"/>
    </xf>
    <xf numFmtId="10" fontId="8" fillId="5" borderId="2" xfId="0" applyNumberFormat="1" applyFont="1" applyFill="1" applyBorder="1" applyAlignment="1">
      <alignment horizontal="right" vertical="center"/>
    </xf>
    <xf numFmtId="172" fontId="8" fillId="5" borderId="2" xfId="0" applyNumberFormat="1" applyFont="1" applyFill="1" applyBorder="1" applyAlignment="1">
      <alignment horizontal="right" vertical="center"/>
    </xf>
    <xf numFmtId="49" fontId="29" fillId="4" borderId="2" xfId="0" applyNumberFormat="1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vertical="top" wrapText="1"/>
    </xf>
    <xf numFmtId="49" fontId="20" fillId="2" borderId="2" xfId="0" applyNumberFormat="1" applyFont="1" applyFill="1" applyBorder="1" applyAlignment="1">
      <alignment horizontal="right"/>
    </xf>
    <xf numFmtId="173" fontId="20" fillId="2" borderId="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 wrapText="1"/>
    </xf>
    <xf numFmtId="172" fontId="53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173" fontId="20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/>
    </xf>
    <xf numFmtId="49" fontId="8" fillId="60" borderId="2" xfId="0" applyNumberFormat="1" applyFont="1" applyFill="1" applyBorder="1" applyAlignment="1">
      <alignment horizontal="right"/>
    </xf>
    <xf numFmtId="49" fontId="8" fillId="5" borderId="2" xfId="0" applyNumberFormat="1" applyFont="1" applyFill="1" applyBorder="1" applyAlignment="1">
      <alignment horizontal="right"/>
    </xf>
    <xf numFmtId="0" fontId="53" fillId="2" borderId="2" xfId="0" applyFont="1" applyFill="1" applyBorder="1" applyAlignment="1">
      <alignment horizontal="center" wrapText="1"/>
    </xf>
    <xf numFmtId="2" fontId="53" fillId="2" borderId="2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4" fillId="0" borderId="0" xfId="0" applyFont="1" applyAlignment="1">
      <alignment horizontal="right"/>
    </xf>
    <xf numFmtId="16" fontId="54" fillId="2" borderId="0" xfId="0" quotePrefix="1" applyNumberFormat="1" applyFont="1" applyFill="1" applyAlignment="1">
      <alignment horizontal="right" wrapText="1"/>
    </xf>
    <xf numFmtId="0" fontId="54" fillId="0" borderId="0" xfId="0" applyFont="1" applyAlignment="1">
      <alignment horizontal="right" wrapText="1"/>
    </xf>
    <xf numFmtId="2" fontId="30" fillId="0" borderId="0" xfId="0" applyNumberFormat="1" applyFont="1"/>
    <xf numFmtId="43" fontId="30" fillId="0" borderId="0" xfId="200" applyFont="1" applyBorder="1"/>
    <xf numFmtId="164" fontId="30" fillId="0" borderId="0" xfId="1" applyFont="1"/>
    <xf numFmtId="0" fontId="54" fillId="0" borderId="2" xfId="0" applyFont="1" applyBorder="1" applyAlignment="1">
      <alignment horizontal="right"/>
    </xf>
    <xf numFmtId="16" fontId="54" fillId="2" borderId="2" xfId="0" quotePrefix="1" applyNumberFormat="1" applyFont="1" applyFill="1" applyBorder="1" applyAlignment="1">
      <alignment horizontal="right"/>
    </xf>
    <xf numFmtId="164" fontId="30" fillId="2" borderId="2" xfId="1" applyFont="1" applyFill="1" applyBorder="1" applyAlignment="1">
      <alignment horizontal="right" vertical="top" wrapText="1"/>
    </xf>
    <xf numFmtId="164" fontId="30" fillId="2" borderId="2" xfId="1" applyFont="1" applyFill="1" applyBorder="1"/>
    <xf numFmtId="4" fontId="30" fillId="2" borderId="2" xfId="0" applyNumberFormat="1" applyFont="1" applyFill="1" applyBorder="1"/>
    <xf numFmtId="4" fontId="30" fillId="2" borderId="2" xfId="0" applyNumberFormat="1" applyFont="1" applyFill="1" applyBorder="1" applyAlignment="1">
      <alignment horizontal="right"/>
    </xf>
    <xf numFmtId="0" fontId="55" fillId="0" borderId="1" xfId="0" applyFont="1" applyBorder="1" applyAlignment="1">
      <alignment horizontal="right"/>
    </xf>
    <xf numFmtId="164" fontId="56" fillId="2" borderId="2" xfId="1" applyFont="1" applyFill="1" applyBorder="1"/>
    <xf numFmtId="43" fontId="28" fillId="0" borderId="0" xfId="200" applyFont="1"/>
    <xf numFmtId="4" fontId="56" fillId="2" borderId="2" xfId="0" applyNumberFormat="1" applyFont="1" applyFill="1" applyBorder="1"/>
    <xf numFmtId="0" fontId="57" fillId="0" borderId="1" xfId="0" applyFont="1" applyBorder="1" applyAlignment="1">
      <alignment horizontal="right"/>
    </xf>
    <xf numFmtId="0" fontId="31" fillId="0" borderId="0" xfId="0" applyFont="1" applyAlignment="1">
      <alignment horizontal="right"/>
    </xf>
    <xf numFmtId="171" fontId="28" fillId="0" borderId="0" xfId="200" applyNumberFormat="1" applyFont="1"/>
    <xf numFmtId="174" fontId="28" fillId="0" borderId="0" xfId="1" applyNumberFormat="1" applyFont="1"/>
    <xf numFmtId="0" fontId="58" fillId="9" borderId="0" xfId="0" applyFont="1" applyFill="1" applyAlignment="1">
      <alignment horizontal="right" vertical="center"/>
    </xf>
  </cellXfs>
  <cellStyles count="923">
    <cellStyle name="20% - Accent1" xfId="479" builtinId="30" customBuiltin="1"/>
    <cellStyle name="20% - Accent1 2" xfId="2"/>
    <cellStyle name="20% - Accent1 2 2" xfId="3"/>
    <cellStyle name="20% - Accent1 2 2 2" xfId="810"/>
    <cellStyle name="20% - Accent1 2 3" xfId="4"/>
    <cellStyle name="20% - Accent1 2 3 2" xfId="654"/>
    <cellStyle name="20% - Accent1 2 4" xfId="548"/>
    <cellStyle name="20% - Accent1 3" xfId="5"/>
    <cellStyle name="20% - Accent1 3 2" xfId="6"/>
    <cellStyle name="20% - Accent1 3 2 2" xfId="842"/>
    <cellStyle name="20% - Accent1 3 3" xfId="7"/>
    <cellStyle name="20% - Accent1 3 3 2" xfId="686"/>
    <cellStyle name="20% - Accent1 3 4" xfId="578"/>
    <cellStyle name="20% - Accent1 4" xfId="8"/>
    <cellStyle name="20% - Accent1 4 2" xfId="9"/>
    <cellStyle name="20% - Accent1 4 2 2" xfId="886"/>
    <cellStyle name="20% - Accent1 4 3" xfId="730"/>
    <cellStyle name="20% - Accent1 5" xfId="10"/>
    <cellStyle name="20% - Accent1 5 2" xfId="775"/>
    <cellStyle name="20% - Accent1 6" xfId="11"/>
    <cellStyle name="20% - Accent1 6 2" xfId="619"/>
    <cellStyle name="20% - Accent2" xfId="482" builtinId="34" customBuiltin="1"/>
    <cellStyle name="20% - Accent2 2" xfId="12"/>
    <cellStyle name="20% - Accent2 2 2" xfId="13"/>
    <cellStyle name="20% - Accent2 2 2 2" xfId="813"/>
    <cellStyle name="20% - Accent2 2 3" xfId="14"/>
    <cellStyle name="20% - Accent2 2 3 2" xfId="657"/>
    <cellStyle name="20% - Accent2 2 4" xfId="552"/>
    <cellStyle name="20% - Accent2 3" xfId="15"/>
    <cellStyle name="20% - Accent2 3 2" xfId="16"/>
    <cellStyle name="20% - Accent2 3 2 2" xfId="845"/>
    <cellStyle name="20% - Accent2 3 3" xfId="17"/>
    <cellStyle name="20% - Accent2 3 3 2" xfId="689"/>
    <cellStyle name="20% - Accent2 3 4" xfId="581"/>
    <cellStyle name="20% - Accent2 4" xfId="18"/>
    <cellStyle name="20% - Accent2 4 2" xfId="19"/>
    <cellStyle name="20% - Accent2 4 2 2" xfId="889"/>
    <cellStyle name="20% - Accent2 4 3" xfId="733"/>
    <cellStyle name="20% - Accent2 5" xfId="20"/>
    <cellStyle name="20% - Accent2 5 2" xfId="778"/>
    <cellStyle name="20% - Accent2 6" xfId="21"/>
    <cellStyle name="20% - Accent2 6 2" xfId="622"/>
    <cellStyle name="20% - Accent3" xfId="485" builtinId="38" customBuiltin="1"/>
    <cellStyle name="20% - Accent3 2" xfId="22"/>
    <cellStyle name="20% - Accent3 2 2" xfId="23"/>
    <cellStyle name="20% - Accent3 2 2 2" xfId="816"/>
    <cellStyle name="20% - Accent3 2 3" xfId="24"/>
    <cellStyle name="20% - Accent3 2 3 2" xfId="660"/>
    <cellStyle name="20% - Accent3 2 4" xfId="556"/>
    <cellStyle name="20% - Accent3 3" xfId="25"/>
    <cellStyle name="20% - Accent3 3 2" xfId="26"/>
    <cellStyle name="20% - Accent3 3 2 2" xfId="849"/>
    <cellStyle name="20% - Accent3 3 3" xfId="27"/>
    <cellStyle name="20% - Accent3 3 3 2" xfId="693"/>
    <cellStyle name="20% - Accent3 3 4" xfId="584"/>
    <cellStyle name="20% - Accent3 4" xfId="28"/>
    <cellStyle name="20% - Accent3 4 2" xfId="29"/>
    <cellStyle name="20% - Accent3 4 2 2" xfId="892"/>
    <cellStyle name="20% - Accent3 4 3" xfId="736"/>
    <cellStyle name="20% - Accent3 5" xfId="30"/>
    <cellStyle name="20% - Accent3 5 2" xfId="781"/>
    <cellStyle name="20% - Accent3 6" xfId="31"/>
    <cellStyle name="20% - Accent3 6 2" xfId="625"/>
    <cellStyle name="20% - Accent4" xfId="488" builtinId="42" customBuiltin="1"/>
    <cellStyle name="20% - Accent4 2" xfId="32"/>
    <cellStyle name="20% - Accent4 2 2" xfId="33"/>
    <cellStyle name="20% - Accent4 2 2 2" xfId="819"/>
    <cellStyle name="20% - Accent4 2 3" xfId="34"/>
    <cellStyle name="20% - Accent4 2 3 2" xfId="663"/>
    <cellStyle name="20% - Accent4 2 4" xfId="559"/>
    <cellStyle name="20% - Accent4 3" xfId="35"/>
    <cellStyle name="20% - Accent4 3 2" xfId="36"/>
    <cellStyle name="20% - Accent4 3 2 2" xfId="853"/>
    <cellStyle name="20% - Accent4 3 3" xfId="37"/>
    <cellStyle name="20% - Accent4 3 3 2" xfId="697"/>
    <cellStyle name="20% - Accent4 3 4" xfId="587"/>
    <cellStyle name="20% - Accent4 4" xfId="38"/>
    <cellStyle name="20% - Accent4 4 2" xfId="39"/>
    <cellStyle name="20% - Accent4 4 2 2" xfId="896"/>
    <cellStyle name="20% - Accent4 4 3" xfId="740"/>
    <cellStyle name="20% - Accent4 5" xfId="40"/>
    <cellStyle name="20% - Accent4 5 2" xfId="784"/>
    <cellStyle name="20% - Accent4 6" xfId="41"/>
    <cellStyle name="20% - Accent4 6 2" xfId="628"/>
    <cellStyle name="20% - Accent5" xfId="491" builtinId="46" customBuiltin="1"/>
    <cellStyle name="20% - Accent5 2" xfId="42"/>
    <cellStyle name="20% - Accent5 2 2" xfId="43"/>
    <cellStyle name="20% - Accent5 2 2 2" xfId="822"/>
    <cellStyle name="20% - Accent5 2 3" xfId="44"/>
    <cellStyle name="20% - Accent5 2 3 2" xfId="666"/>
    <cellStyle name="20% - Accent5 2 4" xfId="563"/>
    <cellStyle name="20% - Accent5 3" xfId="45"/>
    <cellStyle name="20% - Accent5 3 2" xfId="46"/>
    <cellStyle name="20% - Accent5 3 2 2" xfId="856"/>
    <cellStyle name="20% - Accent5 3 3" xfId="47"/>
    <cellStyle name="20% - Accent5 3 3 2" xfId="700"/>
    <cellStyle name="20% - Accent5 3 4" xfId="590"/>
    <cellStyle name="20% - Accent5 4" xfId="48"/>
    <cellStyle name="20% - Accent5 4 2" xfId="49"/>
    <cellStyle name="20% - Accent5 4 2 2" xfId="900"/>
    <cellStyle name="20% - Accent5 4 3" xfId="744"/>
    <cellStyle name="20% - Accent5 5" xfId="50"/>
    <cellStyle name="20% - Accent5 5 2" xfId="787"/>
    <cellStyle name="20% - Accent5 6" xfId="51"/>
    <cellStyle name="20% - Accent5 6 2" xfId="631"/>
    <cellStyle name="20% - Accent6" xfId="494" builtinId="50" customBuiltin="1"/>
    <cellStyle name="20% - Accent6 2" xfId="52"/>
    <cellStyle name="20% - Accent6 2 2" xfId="53"/>
    <cellStyle name="20% - Accent6 2 2 2" xfId="825"/>
    <cellStyle name="20% - Accent6 2 3" xfId="54"/>
    <cellStyle name="20% - Accent6 2 3 2" xfId="669"/>
    <cellStyle name="20% - Accent6 2 4" xfId="567"/>
    <cellStyle name="20% - Accent6 3" xfId="55"/>
    <cellStyle name="20% - Accent6 3 2" xfId="56"/>
    <cellStyle name="20% - Accent6 3 2 2" xfId="860"/>
    <cellStyle name="20% - Accent6 3 3" xfId="57"/>
    <cellStyle name="20% - Accent6 3 3 2" xfId="704"/>
    <cellStyle name="20% - Accent6 3 4" xfId="593"/>
    <cellStyle name="20% - Accent6 4" xfId="58"/>
    <cellStyle name="20% - Accent6 4 2" xfId="59"/>
    <cellStyle name="20% - Accent6 4 2 2" xfId="903"/>
    <cellStyle name="20% - Accent6 4 3" xfId="747"/>
    <cellStyle name="20% - Accent6 5" xfId="60"/>
    <cellStyle name="20% - Accent6 5 2" xfId="790"/>
    <cellStyle name="20% - Accent6 6" xfId="61"/>
    <cellStyle name="20% - Accent6 6 2" xfId="634"/>
    <cellStyle name="40% - Accent1" xfId="480" builtinId="31" customBuiltin="1"/>
    <cellStyle name="40% - Accent1 2" xfId="62"/>
    <cellStyle name="40% - Accent1 2 2" xfId="63"/>
    <cellStyle name="40% - Accent1 2 2 2" xfId="811"/>
    <cellStyle name="40% - Accent1 2 3" xfId="64"/>
    <cellStyle name="40% - Accent1 2 3 2" xfId="655"/>
    <cellStyle name="40% - Accent1 2 4" xfId="549"/>
    <cellStyle name="40% - Accent1 3" xfId="65"/>
    <cellStyle name="40% - Accent1 3 2" xfId="66"/>
    <cellStyle name="40% - Accent1 3 2 2" xfId="843"/>
    <cellStyle name="40% - Accent1 3 3" xfId="67"/>
    <cellStyle name="40% - Accent1 3 3 2" xfId="687"/>
    <cellStyle name="40% - Accent1 3 4" xfId="579"/>
    <cellStyle name="40% - Accent1 4" xfId="68"/>
    <cellStyle name="40% - Accent1 4 2" xfId="69"/>
    <cellStyle name="40% - Accent1 4 2 2" xfId="887"/>
    <cellStyle name="40% - Accent1 4 3" xfId="731"/>
    <cellStyle name="40% - Accent1 5" xfId="70"/>
    <cellStyle name="40% - Accent1 5 2" xfId="776"/>
    <cellStyle name="40% - Accent1 6" xfId="71"/>
    <cellStyle name="40% - Accent1 6 2" xfId="620"/>
    <cellStyle name="40% - Accent2" xfId="483" builtinId="35" customBuiltin="1"/>
    <cellStyle name="40% - Accent2 2" xfId="72"/>
    <cellStyle name="40% - Accent2 2 2" xfId="73"/>
    <cellStyle name="40% - Accent2 2 2 2" xfId="814"/>
    <cellStyle name="40% - Accent2 2 3" xfId="74"/>
    <cellStyle name="40% - Accent2 2 3 2" xfId="658"/>
    <cellStyle name="40% - Accent2 2 4" xfId="553"/>
    <cellStyle name="40% - Accent2 3" xfId="75"/>
    <cellStyle name="40% - Accent2 3 2" xfId="76"/>
    <cellStyle name="40% - Accent2 3 2 2" xfId="846"/>
    <cellStyle name="40% - Accent2 3 3" xfId="77"/>
    <cellStyle name="40% - Accent2 3 3 2" xfId="690"/>
    <cellStyle name="40% - Accent2 3 4" xfId="582"/>
    <cellStyle name="40% - Accent2 4" xfId="78"/>
    <cellStyle name="40% - Accent2 4 2" xfId="79"/>
    <cellStyle name="40% - Accent2 4 2 2" xfId="890"/>
    <cellStyle name="40% - Accent2 4 3" xfId="734"/>
    <cellStyle name="40% - Accent2 5" xfId="80"/>
    <cellStyle name="40% - Accent2 5 2" xfId="779"/>
    <cellStyle name="40% - Accent2 6" xfId="81"/>
    <cellStyle name="40% - Accent2 6 2" xfId="623"/>
    <cellStyle name="40% - Accent3" xfId="486" builtinId="39" customBuiltin="1"/>
    <cellStyle name="40% - Accent3 2" xfId="82"/>
    <cellStyle name="40% - Accent3 2 2" xfId="83"/>
    <cellStyle name="40% - Accent3 2 2 2" xfId="817"/>
    <cellStyle name="40% - Accent3 2 3" xfId="84"/>
    <cellStyle name="40% - Accent3 2 3 2" xfId="661"/>
    <cellStyle name="40% - Accent3 2 4" xfId="557"/>
    <cellStyle name="40% - Accent3 3" xfId="85"/>
    <cellStyle name="40% - Accent3 3 2" xfId="86"/>
    <cellStyle name="40% - Accent3 3 2 2" xfId="850"/>
    <cellStyle name="40% - Accent3 3 3" xfId="87"/>
    <cellStyle name="40% - Accent3 3 3 2" xfId="694"/>
    <cellStyle name="40% - Accent3 3 4" xfId="585"/>
    <cellStyle name="40% - Accent3 4" xfId="88"/>
    <cellStyle name="40% - Accent3 4 2" xfId="89"/>
    <cellStyle name="40% - Accent3 4 2 2" xfId="893"/>
    <cellStyle name="40% - Accent3 4 3" xfId="737"/>
    <cellStyle name="40% - Accent3 5" xfId="90"/>
    <cellStyle name="40% - Accent3 5 2" xfId="782"/>
    <cellStyle name="40% - Accent3 6" xfId="91"/>
    <cellStyle name="40% - Accent3 6 2" xfId="626"/>
    <cellStyle name="40% - Accent4" xfId="489" builtinId="43" customBuiltin="1"/>
    <cellStyle name="40% - Accent4 2" xfId="92"/>
    <cellStyle name="40% - Accent4 2 2" xfId="93"/>
    <cellStyle name="40% - Accent4 2 2 2" xfId="820"/>
    <cellStyle name="40% - Accent4 2 3" xfId="94"/>
    <cellStyle name="40% - Accent4 2 3 2" xfId="664"/>
    <cellStyle name="40% - Accent4 2 4" xfId="560"/>
    <cellStyle name="40% - Accent4 3" xfId="95"/>
    <cellStyle name="40% - Accent4 3 2" xfId="96"/>
    <cellStyle name="40% - Accent4 3 2 2" xfId="854"/>
    <cellStyle name="40% - Accent4 3 3" xfId="97"/>
    <cellStyle name="40% - Accent4 3 3 2" xfId="698"/>
    <cellStyle name="40% - Accent4 3 4" xfId="588"/>
    <cellStyle name="40% - Accent4 4" xfId="98"/>
    <cellStyle name="40% - Accent4 4 2" xfId="99"/>
    <cellStyle name="40% - Accent4 4 2 2" xfId="897"/>
    <cellStyle name="40% - Accent4 4 3" xfId="741"/>
    <cellStyle name="40% - Accent4 5" xfId="100"/>
    <cellStyle name="40% - Accent4 5 2" xfId="785"/>
    <cellStyle name="40% - Accent4 6" xfId="101"/>
    <cellStyle name="40% - Accent4 6 2" xfId="629"/>
    <cellStyle name="40% - Accent5" xfId="492" builtinId="47" customBuiltin="1"/>
    <cellStyle name="40% - Accent5 2" xfId="102"/>
    <cellStyle name="40% - Accent5 2 2" xfId="103"/>
    <cellStyle name="40% - Accent5 2 2 2" xfId="823"/>
    <cellStyle name="40% - Accent5 2 3" xfId="104"/>
    <cellStyle name="40% - Accent5 2 3 2" xfId="667"/>
    <cellStyle name="40% - Accent5 2 4" xfId="564"/>
    <cellStyle name="40% - Accent5 3" xfId="105"/>
    <cellStyle name="40% - Accent5 3 2" xfId="106"/>
    <cellStyle name="40% - Accent5 3 2 2" xfId="857"/>
    <cellStyle name="40% - Accent5 3 3" xfId="107"/>
    <cellStyle name="40% - Accent5 3 3 2" xfId="701"/>
    <cellStyle name="40% - Accent5 3 4" xfId="591"/>
    <cellStyle name="40% - Accent5 4" xfId="108"/>
    <cellStyle name="40% - Accent5 4 2" xfId="109"/>
    <cellStyle name="40% - Accent5 4 2 2" xfId="901"/>
    <cellStyle name="40% - Accent5 4 3" xfId="745"/>
    <cellStyle name="40% - Accent5 5" xfId="110"/>
    <cellStyle name="40% - Accent5 5 2" xfId="788"/>
    <cellStyle name="40% - Accent5 6" xfId="111"/>
    <cellStyle name="40% - Accent5 6 2" xfId="632"/>
    <cellStyle name="40% - Accent6" xfId="495" builtinId="51" customBuiltin="1"/>
    <cellStyle name="40% - Accent6 2" xfId="112"/>
    <cellStyle name="40% - Accent6 2 2" xfId="113"/>
    <cellStyle name="40% - Accent6 2 2 2" xfId="826"/>
    <cellStyle name="40% - Accent6 2 3" xfId="114"/>
    <cellStyle name="40% - Accent6 2 3 2" xfId="670"/>
    <cellStyle name="40% - Accent6 2 4" xfId="568"/>
    <cellStyle name="40% - Accent6 3" xfId="115"/>
    <cellStyle name="40% - Accent6 3 2" xfId="116"/>
    <cellStyle name="40% - Accent6 3 2 2" xfId="861"/>
    <cellStyle name="40% - Accent6 3 3" xfId="117"/>
    <cellStyle name="40% - Accent6 3 3 2" xfId="705"/>
    <cellStyle name="40% - Accent6 3 4" xfId="594"/>
    <cellStyle name="40% - Accent6 4" xfId="118"/>
    <cellStyle name="40% - Accent6 4 2" xfId="119"/>
    <cellStyle name="40% - Accent6 4 2 2" xfId="904"/>
    <cellStyle name="40% - Accent6 4 3" xfId="748"/>
    <cellStyle name="40% - Accent6 5" xfId="120"/>
    <cellStyle name="40% - Accent6 5 2" xfId="791"/>
    <cellStyle name="40% - Accent6 6" xfId="121"/>
    <cellStyle name="40% - Accent6 6 2" xfId="635"/>
    <cellStyle name="60% - Accent1 2" xfId="122"/>
    <cellStyle name="60% - Accent1 2 2" xfId="123"/>
    <cellStyle name="60% - Accent1 2 2 2" xfId="812"/>
    <cellStyle name="60% - Accent1 2 3" xfId="124"/>
    <cellStyle name="60% - Accent1 2 3 2" xfId="656"/>
    <cellStyle name="60% - Accent1 2 4" xfId="550"/>
    <cellStyle name="60% - Accent1 3" xfId="125"/>
    <cellStyle name="60% - Accent1 3 2" xfId="126"/>
    <cellStyle name="60% - Accent1 3 2 2" xfId="844"/>
    <cellStyle name="60% - Accent1 3 3" xfId="127"/>
    <cellStyle name="60% - Accent1 3 3 2" xfId="688"/>
    <cellStyle name="60% - Accent1 3 4" xfId="580"/>
    <cellStyle name="60% - Accent1 4" xfId="128"/>
    <cellStyle name="60% - Accent1 4 2" xfId="129"/>
    <cellStyle name="60% - Accent1 4 2 2" xfId="888"/>
    <cellStyle name="60% - Accent1 4 3" xfId="732"/>
    <cellStyle name="60% - Accent1 5" xfId="130"/>
    <cellStyle name="60% - Accent1 5 2" xfId="777"/>
    <cellStyle name="60% - Accent1 6" xfId="131"/>
    <cellStyle name="60% - Accent1 6 2" xfId="621"/>
    <cellStyle name="60% - Accent1 7" xfId="497"/>
    <cellStyle name="60% - Accent2 2" xfId="132"/>
    <cellStyle name="60% - Accent2 2 2" xfId="133"/>
    <cellStyle name="60% - Accent2 2 2 2" xfId="815"/>
    <cellStyle name="60% - Accent2 2 3" xfId="134"/>
    <cellStyle name="60% - Accent2 2 3 2" xfId="659"/>
    <cellStyle name="60% - Accent2 2 4" xfId="554"/>
    <cellStyle name="60% - Accent2 3" xfId="135"/>
    <cellStyle name="60% - Accent2 3 2" xfId="136"/>
    <cellStyle name="60% - Accent2 3 2 2" xfId="847"/>
    <cellStyle name="60% - Accent2 3 3" xfId="137"/>
    <cellStyle name="60% - Accent2 3 3 2" xfId="691"/>
    <cellStyle name="60% - Accent2 3 4" xfId="583"/>
    <cellStyle name="60% - Accent2 4" xfId="138"/>
    <cellStyle name="60% - Accent2 4 2" xfId="139"/>
    <cellStyle name="60% - Accent2 4 2 2" xfId="891"/>
    <cellStyle name="60% - Accent2 4 3" xfId="735"/>
    <cellStyle name="60% - Accent2 5" xfId="140"/>
    <cellStyle name="60% - Accent2 5 2" xfId="780"/>
    <cellStyle name="60% - Accent2 6" xfId="141"/>
    <cellStyle name="60% - Accent2 6 2" xfId="624"/>
    <cellStyle name="60% - Accent2 7" xfId="498"/>
    <cellStyle name="60% - Accent3 2" xfId="142"/>
    <cellStyle name="60% - Accent3 2 2" xfId="143"/>
    <cellStyle name="60% - Accent3 2 2 2" xfId="818"/>
    <cellStyle name="60% - Accent3 2 3" xfId="144"/>
    <cellStyle name="60% - Accent3 2 3 2" xfId="662"/>
    <cellStyle name="60% - Accent3 2 4" xfId="558"/>
    <cellStyle name="60% - Accent3 3" xfId="145"/>
    <cellStyle name="60% - Accent3 3 2" xfId="146"/>
    <cellStyle name="60% - Accent3 3 2 2" xfId="851"/>
    <cellStyle name="60% - Accent3 3 3" xfId="147"/>
    <cellStyle name="60% - Accent3 3 3 2" xfId="695"/>
    <cellStyle name="60% - Accent3 3 4" xfId="586"/>
    <cellStyle name="60% - Accent3 4" xfId="148"/>
    <cellStyle name="60% - Accent3 4 2" xfId="149"/>
    <cellStyle name="60% - Accent3 4 2 2" xfId="894"/>
    <cellStyle name="60% - Accent3 4 3" xfId="738"/>
    <cellStyle name="60% - Accent3 5" xfId="150"/>
    <cellStyle name="60% - Accent3 5 2" xfId="783"/>
    <cellStyle name="60% - Accent3 6" xfId="151"/>
    <cellStyle name="60% - Accent3 6 2" xfId="627"/>
    <cellStyle name="60% - Accent3 7" xfId="499"/>
    <cellStyle name="60% - Accent4 2" xfId="152"/>
    <cellStyle name="60% - Accent4 2 2" xfId="153"/>
    <cellStyle name="60% - Accent4 2 2 2" xfId="821"/>
    <cellStyle name="60% - Accent4 2 3" xfId="154"/>
    <cellStyle name="60% - Accent4 2 3 2" xfId="665"/>
    <cellStyle name="60% - Accent4 2 4" xfId="561"/>
    <cellStyle name="60% - Accent4 3" xfId="155"/>
    <cellStyle name="60% - Accent4 3 2" xfId="156"/>
    <cellStyle name="60% - Accent4 3 2 2" xfId="855"/>
    <cellStyle name="60% - Accent4 3 3" xfId="157"/>
    <cellStyle name="60% - Accent4 3 3 2" xfId="699"/>
    <cellStyle name="60% - Accent4 3 4" xfId="589"/>
    <cellStyle name="60% - Accent4 4" xfId="158"/>
    <cellStyle name="60% - Accent4 4 2" xfId="159"/>
    <cellStyle name="60% - Accent4 4 2 2" xfId="898"/>
    <cellStyle name="60% - Accent4 4 3" xfId="742"/>
    <cellStyle name="60% - Accent4 5" xfId="160"/>
    <cellStyle name="60% - Accent4 5 2" xfId="786"/>
    <cellStyle name="60% - Accent4 6" xfId="161"/>
    <cellStyle name="60% - Accent4 6 2" xfId="630"/>
    <cellStyle name="60% - Accent4 7" xfId="500"/>
    <cellStyle name="60% - Accent5 2" xfId="162"/>
    <cellStyle name="60% - Accent5 2 2" xfId="163"/>
    <cellStyle name="60% - Accent5 2 2 2" xfId="824"/>
    <cellStyle name="60% - Accent5 2 3" xfId="164"/>
    <cellStyle name="60% - Accent5 2 3 2" xfId="668"/>
    <cellStyle name="60% - Accent5 2 4" xfId="565"/>
    <cellStyle name="60% - Accent5 3" xfId="165"/>
    <cellStyle name="60% - Accent5 3 2" xfId="166"/>
    <cellStyle name="60% - Accent5 3 2 2" xfId="858"/>
    <cellStyle name="60% - Accent5 3 3" xfId="167"/>
    <cellStyle name="60% - Accent5 3 3 2" xfId="702"/>
    <cellStyle name="60% - Accent5 3 4" xfId="592"/>
    <cellStyle name="60% - Accent5 4" xfId="168"/>
    <cellStyle name="60% - Accent5 4 2" xfId="169"/>
    <cellStyle name="60% - Accent5 4 2 2" xfId="902"/>
    <cellStyle name="60% - Accent5 4 3" xfId="746"/>
    <cellStyle name="60% - Accent5 5" xfId="170"/>
    <cellStyle name="60% - Accent5 5 2" xfId="789"/>
    <cellStyle name="60% - Accent5 6" xfId="171"/>
    <cellStyle name="60% - Accent5 6 2" xfId="633"/>
    <cellStyle name="60% - Accent5 7" xfId="501"/>
    <cellStyle name="60% - Accent6 2" xfId="172"/>
    <cellStyle name="60% - Accent6 2 2" xfId="173"/>
    <cellStyle name="60% - Accent6 2 2 2" xfId="827"/>
    <cellStyle name="60% - Accent6 2 3" xfId="174"/>
    <cellStyle name="60% - Accent6 2 3 2" xfId="671"/>
    <cellStyle name="60% - Accent6 2 4" xfId="569"/>
    <cellStyle name="60% - Accent6 3" xfId="175"/>
    <cellStyle name="60% - Accent6 3 2" xfId="176"/>
    <cellStyle name="60% - Accent6 3 2 2" xfId="862"/>
    <cellStyle name="60% - Accent6 3 3" xfId="177"/>
    <cellStyle name="60% - Accent6 3 3 2" xfId="706"/>
    <cellStyle name="60% - Accent6 3 4" xfId="595"/>
    <cellStyle name="60% - Accent6 4" xfId="178"/>
    <cellStyle name="60% - Accent6 4 2" xfId="179"/>
    <cellStyle name="60% - Accent6 4 2 2" xfId="905"/>
    <cellStyle name="60% - Accent6 4 3" xfId="749"/>
    <cellStyle name="60% - Accent6 5" xfId="180"/>
    <cellStyle name="60% - Accent6 5 2" xfId="792"/>
    <cellStyle name="60% - Accent6 6" xfId="181"/>
    <cellStyle name="60% - Accent6 6 2" xfId="636"/>
    <cellStyle name="60% - Accent6 7" xfId="502"/>
    <cellStyle name="Accent1" xfId="478" builtinId="29" customBuiltin="1"/>
    <cellStyle name="Accent2" xfId="481" builtinId="33" customBuiltin="1"/>
    <cellStyle name="Accent3" xfId="484" builtinId="37" customBuiltin="1"/>
    <cellStyle name="Accent4" xfId="487" builtinId="41" customBuiltin="1"/>
    <cellStyle name="Accent5" xfId="490" builtinId="45" customBuiltin="1"/>
    <cellStyle name="Accent6" xfId="493" builtinId="49" customBuiltin="1"/>
    <cellStyle name="Bad" xfId="469" builtinId="27" customBuiltin="1"/>
    <cellStyle name="Calculation" xfId="472" builtinId="22" customBuiltin="1"/>
    <cellStyle name="Check Cell" xfId="474" builtinId="23" customBuiltin="1"/>
    <cellStyle name="Comma" xfId="1" builtinId="3"/>
    <cellStyle name="Comma 10" xfId="182"/>
    <cellStyle name="Comma 10 13" xfId="183"/>
    <cellStyle name="Comma 11" xfId="184"/>
    <cellStyle name="Comma 11 2" xfId="503"/>
    <cellStyle name="Comma 12" xfId="185"/>
    <cellStyle name="Comma 12 2" xfId="186"/>
    <cellStyle name="Comma 12 2 2" xfId="794"/>
    <cellStyle name="Comma 12 3" xfId="187"/>
    <cellStyle name="Comma 12 3 2" xfId="638"/>
    <cellStyle name="Comma 12 4" xfId="504"/>
    <cellStyle name="Comma 13" xfId="188"/>
    <cellStyle name="Comma 13 2" xfId="189"/>
    <cellStyle name="Comma 13 2 2" xfId="807"/>
    <cellStyle name="Comma 13 3" xfId="190"/>
    <cellStyle name="Comma 13 3 2" xfId="651"/>
    <cellStyle name="Comma 13 4" xfId="542"/>
    <cellStyle name="Comma 14" xfId="191"/>
    <cellStyle name="Comma 14 2" xfId="505"/>
    <cellStyle name="Comma 15" xfId="192"/>
    <cellStyle name="Comma 15 2" xfId="193"/>
    <cellStyle name="Comma 15 2 2" xfId="829"/>
    <cellStyle name="Comma 15 3" xfId="194"/>
    <cellStyle name="Comma 15 3 2" xfId="673"/>
    <cellStyle name="Comma 15 4" xfId="574"/>
    <cellStyle name="Comma 16" xfId="195"/>
    <cellStyle name="Comma 16 2" xfId="196"/>
    <cellStyle name="Comma 16 2 2" xfId="876"/>
    <cellStyle name="Comma 16 3" xfId="197"/>
    <cellStyle name="Comma 16 3 2" xfId="720"/>
    <cellStyle name="Comma 16 4" xfId="576"/>
    <cellStyle name="Comma 17" xfId="198"/>
    <cellStyle name="Comma 17 2" xfId="919"/>
    <cellStyle name="Comma 18" xfId="199"/>
    <cellStyle name="Comma 2" xfId="200"/>
    <cellStyle name="Comma 2 10" xfId="201"/>
    <cellStyle name="Comma 2 10 2" xfId="202"/>
    <cellStyle name="Comma 2 10 2 2" xfId="596"/>
    <cellStyle name="Comma 2 10 3" xfId="506"/>
    <cellStyle name="Comma 2 11" xfId="203"/>
    <cellStyle name="Comma 2 11 2" xfId="204"/>
    <cellStyle name="Comma 2 11 2 2" xfId="597"/>
    <cellStyle name="Comma 2 11 3" xfId="507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2 3 2" xfId="598"/>
    <cellStyle name="Comma 2 2 2 3" xfId="212"/>
    <cellStyle name="Comma 2 2 2 4" xfId="509"/>
    <cellStyle name="Comma 2 2 3" xfId="508"/>
    <cellStyle name="Comma 2 3" xfId="213"/>
    <cellStyle name="Comma 2 3 2" xfId="214"/>
    <cellStyle name="Comma 2 3 2 2" xfId="599"/>
    <cellStyle name="Comma 2 3 3" xfId="510"/>
    <cellStyle name="Comma 2 4" xfId="215"/>
    <cellStyle name="Comma 2 4 2" xfId="216"/>
    <cellStyle name="Comma 2 4 2 2" xfId="600"/>
    <cellStyle name="Comma 2 4 3" xfId="511"/>
    <cellStyle name="Comma 2 5" xfId="217"/>
    <cellStyle name="Comma 2 5 2" xfId="218"/>
    <cellStyle name="Comma 2 5 2 2" xfId="601"/>
    <cellStyle name="Comma 2 5 3" xfId="512"/>
    <cellStyle name="Comma 2 6" xfId="219"/>
    <cellStyle name="Comma 2 6 2" xfId="220"/>
    <cellStyle name="Comma 2 6 2 2" xfId="602"/>
    <cellStyle name="Comma 2 6 3" xfId="513"/>
    <cellStyle name="Comma 2 7" xfId="221"/>
    <cellStyle name="Comma 2 7 2" xfId="222"/>
    <cellStyle name="Comma 2 7 2 2" xfId="603"/>
    <cellStyle name="Comma 2 7 3" xfId="514"/>
    <cellStyle name="Comma 2 8" xfId="223"/>
    <cellStyle name="Comma 2 8 2" xfId="224"/>
    <cellStyle name="Comma 2 8 2 2" xfId="604"/>
    <cellStyle name="Comma 2 8 3" xfId="515"/>
    <cellStyle name="Comma 2 9" xfId="225"/>
    <cellStyle name="Comma 2 9 2" xfId="226"/>
    <cellStyle name="Comma 2 9 2 2" xfId="605"/>
    <cellStyle name="Comma 2 9 3" xfId="516"/>
    <cellStyle name="Comma 3" xfId="227"/>
    <cellStyle name="Comma 3 2" xfId="228"/>
    <cellStyle name="Comma 3 2 2" xfId="229"/>
    <cellStyle name="Comma 3 2 3" xfId="762"/>
    <cellStyle name="Comma 3 3" xfId="230"/>
    <cellStyle name="Comma 3 3 2" xfId="606"/>
    <cellStyle name="Comma 3 4" xfId="231"/>
    <cellStyle name="Comma 3 4 2" xfId="918"/>
    <cellStyle name="Comma 3 4 3" xfId="232"/>
    <cellStyle name="Comma 3 4 3 2" xfId="920"/>
    <cellStyle name="Comma 3 4 4" xfId="233"/>
    <cellStyle name="Comma 3 4 4 2" xfId="921"/>
    <cellStyle name="Comma 3 5" xfId="517"/>
    <cellStyle name="Comma 4" xfId="234"/>
    <cellStyle name="Comma 4 2" xfId="235"/>
    <cellStyle name="Comma 4 3" xfId="236"/>
    <cellStyle name="Comma 4 4" xfId="518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Explanatory Text" xfId="476" builtinId="53" customBuiltin="1"/>
    <cellStyle name="Good" xfId="468" builtinId="26" customBuiltin="1"/>
    <cellStyle name="Heading 1" xfId="464" builtinId="16" customBuiltin="1"/>
    <cellStyle name="Heading 2" xfId="465" builtinId="17" customBuiltin="1"/>
    <cellStyle name="Heading 3" xfId="466" builtinId="18" customBuiltin="1"/>
    <cellStyle name="Heading 4" xfId="467" builtinId="19" customBuiltin="1"/>
    <cellStyle name="Input" xfId="470" builtinId="20" customBuiltin="1"/>
    <cellStyle name="Linked Cell" xfId="473" builtinId="24" customBuiltin="1"/>
    <cellStyle name="Neutral 2" xfId="243"/>
    <cellStyle name="Neutral 2 2" xfId="543"/>
    <cellStyle name="Neutral 3" xfId="519"/>
    <cellStyle name="Normal" xfId="0" builtinId="0"/>
    <cellStyle name="Normal - Style1" xfId="244"/>
    <cellStyle name="Normal - Style1 2" xfId="520"/>
    <cellStyle name="Normal 10" xfId="245"/>
    <cellStyle name="Normal 10 2" xfId="246"/>
    <cellStyle name="Normal 10 2 2" xfId="799"/>
    <cellStyle name="Normal 10 3" xfId="247"/>
    <cellStyle name="Normal 10 3 2" xfId="643"/>
    <cellStyle name="Normal 10 4" xfId="521"/>
    <cellStyle name="Normal 11" xfId="248"/>
    <cellStyle name="Normal 11 2" xfId="249"/>
    <cellStyle name="Normal 11 2 2" xfId="803"/>
    <cellStyle name="Normal 11 3" xfId="250"/>
    <cellStyle name="Normal 11 3 2" xfId="647"/>
    <cellStyle name="Normal 11 4" xfId="522"/>
    <cellStyle name="Normal 12" xfId="251"/>
    <cellStyle name="Normal 12 2" xfId="252"/>
    <cellStyle name="Normal 12 2 2" xfId="253"/>
    <cellStyle name="Normal 12 2 2 2" xfId="763"/>
    <cellStyle name="Normal 12 2 3" xfId="254"/>
    <cellStyle name="Normal 12 2 3 2" xfId="607"/>
    <cellStyle name="Normal 12 2 4" xfId="524"/>
    <cellStyle name="Normal 12 3" xfId="255"/>
    <cellStyle name="Normal 12 3 2" xfId="800"/>
    <cellStyle name="Normal 12 4" xfId="256"/>
    <cellStyle name="Normal 12 4 2" xfId="644"/>
    <cellStyle name="Normal 12 5" xfId="523"/>
    <cellStyle name="Normal 13" xfId="257"/>
    <cellStyle name="Normal 13 2" xfId="258"/>
    <cellStyle name="Normal 13 2 2" xfId="805"/>
    <cellStyle name="Normal 13 3" xfId="259"/>
    <cellStyle name="Normal 13 3 2" xfId="649"/>
    <cellStyle name="Normal 13 4" xfId="525"/>
    <cellStyle name="Normal 14" xfId="260"/>
    <cellStyle name="Normal 14 2" xfId="261"/>
    <cellStyle name="Normal 15" xfId="262"/>
    <cellStyle name="Normal 15 2" xfId="263"/>
    <cellStyle name="Normal 15 2 2" xfId="801"/>
    <cellStyle name="Normal 15 3" xfId="264"/>
    <cellStyle name="Normal 15 3 2" xfId="645"/>
    <cellStyle name="Normal 15 4" xfId="541"/>
    <cellStyle name="Normal 16" xfId="265"/>
    <cellStyle name="Normal 16 2" xfId="266"/>
    <cellStyle name="Normal 16 2 2" xfId="804"/>
    <cellStyle name="Normal 16 3" xfId="267"/>
    <cellStyle name="Normal 16 3 2" xfId="648"/>
    <cellStyle name="Normal 16 4" xfId="545"/>
    <cellStyle name="Normal 17" xfId="268"/>
    <cellStyle name="Normal 17 2" xfId="269"/>
    <cellStyle name="Normal 17 2 2" xfId="802"/>
    <cellStyle name="Normal 17 3" xfId="270"/>
    <cellStyle name="Normal 17 3 2" xfId="646"/>
    <cellStyle name="Normal 17 4" xfId="562"/>
    <cellStyle name="Normal 18" xfId="271"/>
    <cellStyle name="Normal 18 2" xfId="272"/>
    <cellStyle name="Normal 18 2 2" xfId="806"/>
    <cellStyle name="Normal 18 3" xfId="273"/>
    <cellStyle name="Normal 18 3 2" xfId="650"/>
    <cellStyle name="Normal 18 4" xfId="566"/>
    <cellStyle name="Normal 19" xfId="274"/>
    <cellStyle name="Normal 19 2" xfId="275"/>
    <cellStyle name="Normal 19 2 2" xfId="808"/>
    <cellStyle name="Normal 19 3" xfId="276"/>
    <cellStyle name="Normal 19 3 2" xfId="652"/>
    <cellStyle name="Normal 19 4" xfId="547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2 2" xfId="828"/>
    <cellStyle name="Normal 20 3" xfId="286"/>
    <cellStyle name="Normal 20 3 2" xfId="672"/>
    <cellStyle name="Normal 20 4" xfId="551"/>
    <cellStyle name="Normal 21" xfId="287"/>
    <cellStyle name="Normal 21 2" xfId="288"/>
    <cellStyle name="Normal 21 2 2" xfId="838"/>
    <cellStyle name="Normal 21 3" xfId="289"/>
    <cellStyle name="Normal 21 3 2" xfId="682"/>
    <cellStyle name="Normal 21 4" xfId="572"/>
    <cellStyle name="Normal 22" xfId="290"/>
    <cellStyle name="Normal 22 2" xfId="291"/>
    <cellStyle name="Normal 22 2 2" xfId="834"/>
    <cellStyle name="Normal 22 3" xfId="292"/>
    <cellStyle name="Normal 22 3 2" xfId="678"/>
    <cellStyle name="Normal 22 4" xfId="571"/>
    <cellStyle name="Normal 23" xfId="293"/>
    <cellStyle name="Normal 23 2" xfId="294"/>
    <cellStyle name="Normal 23 2 2" xfId="872"/>
    <cellStyle name="Normal 23 3" xfId="295"/>
    <cellStyle name="Normal 23 3 2" xfId="716"/>
    <cellStyle name="Normal 23 4" xfId="570"/>
    <cellStyle name="Normal 24" xfId="296"/>
    <cellStyle name="Normal 24 2" xfId="297"/>
    <cellStyle name="Normal 24 2 2" xfId="832"/>
    <cellStyle name="Normal 24 3" xfId="298"/>
    <cellStyle name="Normal 24 3 2" xfId="676"/>
    <cellStyle name="Normal 24 4" xfId="544"/>
    <cellStyle name="Normal 25" xfId="299"/>
    <cellStyle name="Normal 25 2" xfId="300"/>
    <cellStyle name="Normal 25 2 2" xfId="840"/>
    <cellStyle name="Normal 25 3" xfId="301"/>
    <cellStyle name="Normal 25 3 2" xfId="684"/>
    <cellStyle name="Normal 25 4" xfId="555"/>
    <cellStyle name="Normal 26" xfId="302"/>
    <cellStyle name="Normal 26 2" xfId="303"/>
    <cellStyle name="Normal 26 2 2" xfId="830"/>
    <cellStyle name="Normal 26 3" xfId="304"/>
    <cellStyle name="Normal 26 3 2" xfId="674"/>
    <cellStyle name="Normal 26 4" xfId="573"/>
    <cellStyle name="Normal 27" xfId="305"/>
    <cellStyle name="Normal 27 2" xfId="306"/>
    <cellStyle name="Normal 27 2 2" xfId="307"/>
    <cellStyle name="Normal 27 2 3" xfId="841"/>
    <cellStyle name="Normal 27 3" xfId="308"/>
    <cellStyle name="Normal 27 3 2" xfId="685"/>
    <cellStyle name="Normal 27 4" xfId="575"/>
    <cellStyle name="Normal 28" xfId="309"/>
    <cellStyle name="Normal 28 2" xfId="310"/>
    <cellStyle name="Normal 28 2 2" xfId="874"/>
    <cellStyle name="Normal 28 3" xfId="718"/>
    <cellStyle name="Normal 29" xfId="311"/>
    <cellStyle name="Normal 29 2" xfId="312"/>
    <cellStyle name="Normal 29 2 2" xfId="864"/>
    <cellStyle name="Normal 29 3" xfId="708"/>
    <cellStyle name="Normal 3" xfId="313"/>
    <cellStyle name="Normal 3 2" xfId="314"/>
    <cellStyle name="Normal 3 2 2" xfId="315"/>
    <cellStyle name="Normal 3 2 2 2" xfId="765"/>
    <cellStyle name="Normal 3 2 3" xfId="316"/>
    <cellStyle name="Normal 3 2 3 2" xfId="609"/>
    <cellStyle name="Normal 3 2 4" xfId="527"/>
    <cellStyle name="Normal 3 3" xfId="317"/>
    <cellStyle name="Normal 3 3 2" xfId="764"/>
    <cellStyle name="Normal 3 4" xfId="318"/>
    <cellStyle name="Normal 3 4 2" xfId="608"/>
    <cellStyle name="Normal 3 5" xfId="526"/>
    <cellStyle name="Normal 30" xfId="319"/>
    <cellStyle name="Normal 30 2" xfId="320"/>
    <cellStyle name="Normal 30 2 2" xfId="873"/>
    <cellStyle name="Normal 30 3" xfId="717"/>
    <cellStyle name="Normal 31" xfId="321"/>
    <cellStyle name="Normal 31 2" xfId="322"/>
    <cellStyle name="Normal 31 2 2" xfId="868"/>
    <cellStyle name="Normal 31 3" xfId="712"/>
    <cellStyle name="Normal 32" xfId="323"/>
    <cellStyle name="Normal 32 2" xfId="324"/>
    <cellStyle name="Normal 32 2 2" xfId="867"/>
    <cellStyle name="Normal 32 3" xfId="711"/>
    <cellStyle name="Normal 33" xfId="325"/>
    <cellStyle name="Normal 33 2" xfId="326"/>
    <cellStyle name="Normal 33 2 2" xfId="852"/>
    <cellStyle name="Normal 33 3" xfId="696"/>
    <cellStyle name="Normal 34" xfId="327"/>
    <cellStyle name="Normal 34 2" xfId="328"/>
    <cellStyle name="Normal 34 2 2" xfId="833"/>
    <cellStyle name="Normal 34 3" xfId="677"/>
    <cellStyle name="Normal 35" xfId="329"/>
    <cellStyle name="Normal 35 2" xfId="330"/>
    <cellStyle name="Normal 35 2 2" xfId="835"/>
    <cellStyle name="Normal 35 3" xfId="679"/>
    <cellStyle name="Normal 36" xfId="331"/>
    <cellStyle name="Normal 36 2" xfId="332"/>
    <cellStyle name="Normal 36 2 2" xfId="859"/>
    <cellStyle name="Normal 36 3" xfId="703"/>
    <cellStyle name="Normal 37" xfId="333"/>
    <cellStyle name="Normal 37 2" xfId="334"/>
    <cellStyle name="Normal 37 2 2" xfId="837"/>
    <cellStyle name="Normal 37 3" xfId="681"/>
    <cellStyle name="Normal 38" xfId="335"/>
    <cellStyle name="Normal 38 2" xfId="336"/>
    <cellStyle name="Normal 38 2 2" xfId="866"/>
    <cellStyle name="Normal 38 3" xfId="710"/>
    <cellStyle name="Normal 39" xfId="337"/>
    <cellStyle name="Normal 39 2" xfId="338"/>
    <cellStyle name="Normal 39 2 2" xfId="831"/>
    <cellStyle name="Normal 39 3" xfId="675"/>
    <cellStyle name="Normal 4" xfId="339"/>
    <cellStyle name="Normal 4 2" xfId="340"/>
    <cellStyle name="Normal 40" xfId="341"/>
    <cellStyle name="Normal 40 2" xfId="342"/>
    <cellStyle name="Normal 40 2 2" xfId="836"/>
    <cellStyle name="Normal 40 3" xfId="680"/>
    <cellStyle name="Normal 41" xfId="343"/>
    <cellStyle name="Normal 41 2" xfId="344"/>
    <cellStyle name="Normal 41 2 2" xfId="863"/>
    <cellStyle name="Normal 41 3" xfId="707"/>
    <cellStyle name="Normal 42" xfId="345"/>
    <cellStyle name="Normal 42 2" xfId="346"/>
    <cellStyle name="Normal 42 2 2" xfId="869"/>
    <cellStyle name="Normal 42 3" xfId="713"/>
    <cellStyle name="Normal 43" xfId="347"/>
    <cellStyle name="Normal 43 2" xfId="348"/>
    <cellStyle name="Normal 43 2 2" xfId="848"/>
    <cellStyle name="Normal 43 3" xfId="692"/>
    <cellStyle name="Normal 44" xfId="349"/>
    <cellStyle name="Normal 44 2" xfId="350"/>
    <cellStyle name="Normal 44 2 2" xfId="871"/>
    <cellStyle name="Normal 44 3" xfId="715"/>
    <cellStyle name="Normal 45" xfId="351"/>
    <cellStyle name="Normal 45 2" xfId="352"/>
    <cellStyle name="Normal 45 2 2" xfId="865"/>
    <cellStyle name="Normal 45 3" xfId="709"/>
    <cellStyle name="Normal 46" xfId="353"/>
    <cellStyle name="Normal 46 2" xfId="354"/>
    <cellStyle name="Normal 46 2 2" xfId="870"/>
    <cellStyle name="Normal 46 3" xfId="714"/>
    <cellStyle name="Normal 47" xfId="355"/>
    <cellStyle name="Normal 47 2" xfId="356"/>
    <cellStyle name="Normal 47 2 2" xfId="875"/>
    <cellStyle name="Normal 47 3" xfId="719"/>
    <cellStyle name="Normal 48" xfId="357"/>
    <cellStyle name="Normal 48 2" xfId="358"/>
    <cellStyle name="Normal 48 2 2" xfId="882"/>
    <cellStyle name="Normal 48 3" xfId="726"/>
    <cellStyle name="Normal 49" xfId="359"/>
    <cellStyle name="Normal 49 2" xfId="360"/>
    <cellStyle name="Normal 49 2 2" xfId="879"/>
    <cellStyle name="Normal 49 3" xfId="723"/>
    <cellStyle name="Normal 5" xfId="361"/>
    <cellStyle name="Normal 50" xfId="362"/>
    <cellStyle name="Normal 50 2" xfId="363"/>
    <cellStyle name="Normal 50 2 2" xfId="881"/>
    <cellStyle name="Normal 50 3" xfId="725"/>
    <cellStyle name="Normal 51" xfId="364"/>
    <cellStyle name="Normal 51 2" xfId="365"/>
    <cellStyle name="Normal 51 2 2" xfId="885"/>
    <cellStyle name="Normal 51 3" xfId="729"/>
    <cellStyle name="Normal 52" xfId="366"/>
    <cellStyle name="Normal 52 2" xfId="367"/>
    <cellStyle name="Normal 52 2 2" xfId="895"/>
    <cellStyle name="Normal 52 3" xfId="739"/>
    <cellStyle name="Normal 53" xfId="368"/>
    <cellStyle name="Normal 53 2" xfId="369"/>
    <cellStyle name="Normal 53 2 2" xfId="913"/>
    <cellStyle name="Normal 53 3" xfId="757"/>
    <cellStyle name="Normal 54" xfId="370"/>
    <cellStyle name="Normal 54 2" xfId="371"/>
    <cellStyle name="Normal 54 2 2" xfId="908"/>
    <cellStyle name="Normal 54 3" xfId="752"/>
    <cellStyle name="Normal 55" xfId="372"/>
    <cellStyle name="Normal 55 2" xfId="373"/>
    <cellStyle name="Normal 55 2 2" xfId="907"/>
    <cellStyle name="Normal 55 3" xfId="751"/>
    <cellStyle name="Normal 56" xfId="374"/>
    <cellStyle name="Normal 56 2" xfId="375"/>
    <cellStyle name="Normal 56 2 2" xfId="910"/>
    <cellStyle name="Normal 56 3" xfId="754"/>
    <cellStyle name="Normal 57" xfId="376"/>
    <cellStyle name="Normal 57 2" xfId="377"/>
    <cellStyle name="Normal 57 2 2" xfId="906"/>
    <cellStyle name="Normal 57 3" xfId="750"/>
    <cellStyle name="Normal 58" xfId="378"/>
    <cellStyle name="Normal 58 2" xfId="379"/>
    <cellStyle name="Normal 58 2 2" xfId="909"/>
    <cellStyle name="Normal 58 3" xfId="753"/>
    <cellStyle name="Normal 59" xfId="380"/>
    <cellStyle name="Normal 59 2" xfId="381"/>
    <cellStyle name="Normal 59 2 2" xfId="899"/>
    <cellStyle name="Normal 59 3" xfId="743"/>
    <cellStyle name="Normal 6" xfId="382"/>
    <cellStyle name="Normal 6 2" xfId="383"/>
    <cellStyle name="Normal 6 2 2" xfId="793"/>
    <cellStyle name="Normal 6 3" xfId="384"/>
    <cellStyle name="Normal 6 3 2" xfId="637"/>
    <cellStyle name="Normal 6 4" xfId="528"/>
    <cellStyle name="Normal 60" xfId="385"/>
    <cellStyle name="Normal 60 2" xfId="386"/>
    <cellStyle name="Normal 60 2 2" xfId="880"/>
    <cellStyle name="Normal 60 3" xfId="724"/>
    <cellStyle name="Normal 61" xfId="387"/>
    <cellStyle name="Normal 61 2" xfId="388"/>
    <cellStyle name="Normal 61 2 2" xfId="884"/>
    <cellStyle name="Normal 61 3" xfId="728"/>
    <cellStyle name="Normal 62" xfId="389"/>
    <cellStyle name="Normal 62 2" xfId="390"/>
    <cellStyle name="Normal 62 2 2" xfId="878"/>
    <cellStyle name="Normal 62 3" xfId="722"/>
    <cellStyle name="Normal 63" xfId="391"/>
    <cellStyle name="Normal 63 2" xfId="392"/>
    <cellStyle name="Normal 63 2 2" xfId="916"/>
    <cellStyle name="Normal 63 3" xfId="760"/>
    <cellStyle name="Normal 64" xfId="393"/>
    <cellStyle name="Normal 64 2" xfId="394"/>
    <cellStyle name="Normal 64 2 2" xfId="917"/>
    <cellStyle name="Normal 64 3" xfId="761"/>
    <cellStyle name="Normal 65" xfId="395"/>
    <cellStyle name="Normal 65 2" xfId="396"/>
    <cellStyle name="Normal 65 2 2" xfId="915"/>
    <cellStyle name="Normal 65 3" xfId="759"/>
    <cellStyle name="Normal 66" xfId="397"/>
    <cellStyle name="Normal 66 2" xfId="398"/>
    <cellStyle name="Normal 66 2 2" xfId="914"/>
    <cellStyle name="Normal 66 3" xfId="758"/>
    <cellStyle name="Normal 67" xfId="399"/>
    <cellStyle name="Normal 67 2" xfId="400"/>
    <cellStyle name="Normal 67 2 2" xfId="912"/>
    <cellStyle name="Normal 67 3" xfId="756"/>
    <cellStyle name="Normal 68" xfId="401"/>
    <cellStyle name="Normal 68 2" xfId="402"/>
    <cellStyle name="Normal 68 2 2" xfId="877"/>
    <cellStyle name="Normal 68 3" xfId="721"/>
    <cellStyle name="Normal 69" xfId="403"/>
    <cellStyle name="Normal 69 2" xfId="404"/>
    <cellStyle name="Normal 69 2 2" xfId="911"/>
    <cellStyle name="Normal 69 3" xfId="755"/>
    <cellStyle name="Normal 7" xfId="405"/>
    <cellStyle name="Normal 7 2" xfId="406"/>
    <cellStyle name="Normal 7 2 2" xfId="797"/>
    <cellStyle name="Normal 7 3" xfId="407"/>
    <cellStyle name="Normal 7 3 2" xfId="641"/>
    <cellStyle name="Normal 7 4" xfId="529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76" xfId="496"/>
    <cellStyle name="Normal 8" xfId="413"/>
    <cellStyle name="Normal 8 2" xfId="414"/>
    <cellStyle name="Normal 8 2 2" xfId="795"/>
    <cellStyle name="Normal 8 3" xfId="415"/>
    <cellStyle name="Normal 8 3 2" xfId="639"/>
    <cellStyle name="Normal 8 4" xfId="530"/>
    <cellStyle name="Normal 9" xfId="416"/>
    <cellStyle name="Normal 9 2" xfId="417"/>
    <cellStyle name="Normal 9 2 2" xfId="796"/>
    <cellStyle name="Normal 9 3" xfId="418"/>
    <cellStyle name="Normal 9 3 2" xfId="640"/>
    <cellStyle name="Normal 9 4" xfId="531"/>
    <cellStyle name="Note 10" xfId="419"/>
    <cellStyle name="Note 10 2" xfId="420"/>
    <cellStyle name="Note 10 2 2" xfId="766"/>
    <cellStyle name="Note 10 3" xfId="421"/>
    <cellStyle name="Note 10 3 2" xfId="610"/>
    <cellStyle name="Note 10 4" xfId="532"/>
    <cellStyle name="Note 11" xfId="422"/>
    <cellStyle name="Note 11 2" xfId="423"/>
    <cellStyle name="Note 11 2 2" xfId="798"/>
    <cellStyle name="Note 11 3" xfId="424"/>
    <cellStyle name="Note 11 3 2" xfId="642"/>
    <cellStyle name="Note 11 4" xfId="546"/>
    <cellStyle name="Note 12" xfId="425"/>
    <cellStyle name="Note 12 2" xfId="426"/>
    <cellStyle name="Note 12 2 2" xfId="809"/>
    <cellStyle name="Note 12 3" xfId="427"/>
    <cellStyle name="Note 12 3 2" xfId="653"/>
    <cellStyle name="Note 12 4" xfId="577"/>
    <cellStyle name="Note 13" xfId="428"/>
    <cellStyle name="Note 13 2" xfId="429"/>
    <cellStyle name="Note 13 2 2" xfId="839"/>
    <cellStyle name="Note 13 3" xfId="683"/>
    <cellStyle name="Note 14" xfId="430"/>
    <cellStyle name="Note 14 2" xfId="431"/>
    <cellStyle name="Note 14 2 2" xfId="883"/>
    <cellStyle name="Note 14 3" xfId="727"/>
    <cellStyle name="Note 2" xfId="432"/>
    <cellStyle name="Note 2 2" xfId="433"/>
    <cellStyle name="Note 2 2 2" xfId="767"/>
    <cellStyle name="Note 2 3" xfId="434"/>
    <cellStyle name="Note 2 3 2" xfId="611"/>
    <cellStyle name="Note 2 4" xfId="533"/>
    <cellStyle name="Note 3" xfId="435"/>
    <cellStyle name="Note 3 2" xfId="436"/>
    <cellStyle name="Note 3 2 2" xfId="768"/>
    <cellStyle name="Note 3 3" xfId="437"/>
    <cellStyle name="Note 3 3 2" xfId="612"/>
    <cellStyle name="Note 3 4" xfId="534"/>
    <cellStyle name="Note 4" xfId="438"/>
    <cellStyle name="Note 4 2" xfId="439"/>
    <cellStyle name="Note 4 2 2" xfId="769"/>
    <cellStyle name="Note 4 3" xfId="440"/>
    <cellStyle name="Note 4 3 2" xfId="613"/>
    <cellStyle name="Note 4 4" xfId="535"/>
    <cellStyle name="Note 5" xfId="441"/>
    <cellStyle name="Note 5 2" xfId="442"/>
    <cellStyle name="Note 5 2 2" xfId="770"/>
    <cellStyle name="Note 5 3" xfId="443"/>
    <cellStyle name="Note 5 3 2" xfId="614"/>
    <cellStyle name="Note 5 4" xfId="536"/>
    <cellStyle name="Note 6" xfId="444"/>
    <cellStyle name="Note 6 2" xfId="445"/>
    <cellStyle name="Note 6 2 2" xfId="771"/>
    <cellStyle name="Note 6 3" xfId="446"/>
    <cellStyle name="Note 6 3 2" xfId="615"/>
    <cellStyle name="Note 6 4" xfId="537"/>
    <cellStyle name="Note 7" xfId="447"/>
    <cellStyle name="Note 7 2" xfId="448"/>
    <cellStyle name="Note 7 2 2" xfId="772"/>
    <cellStyle name="Note 7 3" xfId="449"/>
    <cellStyle name="Note 7 3 2" xfId="616"/>
    <cellStyle name="Note 7 4" xfId="538"/>
    <cellStyle name="Note 8" xfId="450"/>
    <cellStyle name="Note 8 2" xfId="451"/>
    <cellStyle name="Note 8 2 2" xfId="773"/>
    <cellStyle name="Note 8 3" xfId="452"/>
    <cellStyle name="Note 8 3 2" xfId="617"/>
    <cellStyle name="Note 8 4" xfId="539"/>
    <cellStyle name="Note 9" xfId="453"/>
    <cellStyle name="Note 9 2" xfId="454"/>
    <cellStyle name="Note 9 2 2" xfId="774"/>
    <cellStyle name="Note 9 3" xfId="455"/>
    <cellStyle name="Note 9 3 2" xfId="618"/>
    <cellStyle name="Note 9 4" xfId="540"/>
    <cellStyle name="Output" xfId="471" builtinId="21" customBuiltin="1"/>
    <cellStyle name="Percent" xfId="922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  <cellStyle name="Total" xfId="477" builtinId="25" customBuiltin="1"/>
    <cellStyle name="Warning Text" xfId="475" builtinId="11" customBuiltin="1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Jun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_-* #,##0.00_-;\-* #,##0.00_-;_-* "-"??_-;_-@_-</c:formatCode>
                <c:ptCount val="9"/>
                <c:pt idx="0" formatCode="0.00">
                  <c:v>47.822839795400007</c:v>
                </c:pt>
                <c:pt idx="1">
                  <c:v>3165.3955731113892</c:v>
                </c:pt>
                <c:pt idx="2" formatCode="0.00">
                  <c:v>209.13505235314</c:v>
                </c:pt>
                <c:pt idx="3">
                  <c:v>1918.2247141771018</c:v>
                </c:pt>
                <c:pt idx="4" formatCode="0.00">
                  <c:v>361.88054143226003</c:v>
                </c:pt>
                <c:pt idx="5" formatCode="0.00">
                  <c:v>65.270670122349969</c:v>
                </c:pt>
                <c:pt idx="6" formatCode="0.00">
                  <c:v>6.7481314688299996</c:v>
                </c:pt>
                <c:pt idx="7" formatCode="0.00">
                  <c:v>60.660693129408003</c:v>
                </c:pt>
                <c:pt idx="8" formatCode="0.00">
                  <c:v>17.306880742364502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Jul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_(* #,##0.00_);_(* \(#,##0.00\);_(* "-"??_);_(@_)</c:formatCode>
                <c:ptCount val="9"/>
                <c:pt idx="0">
                  <c:v>66.406113220960009</c:v>
                </c:pt>
                <c:pt idx="1">
                  <c:v>3486.7623653120704</c:v>
                </c:pt>
                <c:pt idx="2">
                  <c:v>219.07189169631997</c:v>
                </c:pt>
                <c:pt idx="3">
                  <c:v>1964.46643918118</c:v>
                </c:pt>
                <c:pt idx="4">
                  <c:v>418.14732028246999</c:v>
                </c:pt>
                <c:pt idx="5">
                  <c:v>75.255158315529997</c:v>
                </c:pt>
                <c:pt idx="6">
                  <c:v>8.4979001396100013</c:v>
                </c:pt>
                <c:pt idx="7">
                  <c:v>64.364207372529989</c:v>
                </c:pt>
                <c:pt idx="8" formatCode="0.00">
                  <c:v>17.932540491500276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Jul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5.0954551181192187E-2"/>
                  <c:y val="-0.14978635561204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7.1785560367785842E-2"/>
                  <c:y val="1.31967726512158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6.5297856774628349E-2"/>
                  <c:y val="0.135421797016065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23009681815154556"/>
                  <c:y val="-0.2558624041640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1FC-4ECF-BC88-BDC3E689F6F4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8497900139.6100006</c:v>
                </c:pt>
                <c:pt idx="1">
                  <c:v>17932540491.500275</c:v>
                </c:pt>
                <c:pt idx="2">
                  <c:v>64364207372.529991</c:v>
                </c:pt>
                <c:pt idx="3" formatCode="#,##0.00">
                  <c:v>66406113220.960007</c:v>
                </c:pt>
                <c:pt idx="4" formatCode="#,##0.00">
                  <c:v>75255158315.529999</c:v>
                </c:pt>
                <c:pt idx="5" formatCode="#,##0.00">
                  <c:v>219071891696.31998</c:v>
                </c:pt>
                <c:pt idx="6" formatCode="#,##0.00">
                  <c:v>418147320282.46997</c:v>
                </c:pt>
                <c:pt idx="7" formatCode="#,##0.00">
                  <c:v>1964466439181.1799</c:v>
                </c:pt>
                <c:pt idx="8" formatCode="#,##0.00">
                  <c:v>3486762365312.0703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53890</c:v>
                </c:pt>
                <c:pt idx="1">
                  <c:v>443503</c:v>
                </c:pt>
                <c:pt idx="2">
                  <c:v>46137</c:v>
                </c:pt>
                <c:pt idx="3">
                  <c:v>22913</c:v>
                </c:pt>
                <c:pt idx="4">
                  <c:v>218660</c:v>
                </c:pt>
                <c:pt idx="5">
                  <c:v>69472</c:v>
                </c:pt>
                <c:pt idx="6">
                  <c:v>12281</c:v>
                </c:pt>
                <c:pt idx="7">
                  <c:v>31522</c:v>
                </c:pt>
                <c:pt idx="8" formatCode="_-* #,##0_-;\-* #,##0_-;_-* &quot;-&quot;??_-;_-@_-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83820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5" customWidth="1"/>
    <col min="2" max="2" width="44.6640625" style="14" customWidth="1"/>
    <col min="3" max="3" width="43.88671875" style="14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19" t="s">
        <v>292</v>
      </c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5"/>
    </row>
    <row r="2" spans="1:23" ht="48" customHeight="1">
      <c r="A2" s="29" t="s">
        <v>0</v>
      </c>
      <c r="B2" s="29" t="s">
        <v>1</v>
      </c>
      <c r="C2" s="29" t="s">
        <v>2</v>
      </c>
      <c r="D2" s="29" t="s">
        <v>296</v>
      </c>
      <c r="E2" s="29" t="s">
        <v>3</v>
      </c>
      <c r="F2" s="29" t="s">
        <v>4</v>
      </c>
      <c r="G2" s="29" t="s">
        <v>5</v>
      </c>
      <c r="H2" s="32" t="s">
        <v>6</v>
      </c>
      <c r="I2" s="29" t="s">
        <v>293</v>
      </c>
      <c r="J2" s="29" t="s">
        <v>7</v>
      </c>
      <c r="K2" s="29" t="s">
        <v>8</v>
      </c>
      <c r="L2" s="29" t="s">
        <v>7</v>
      </c>
      <c r="M2" s="29" t="s">
        <v>9</v>
      </c>
      <c r="N2" s="29" t="s">
        <v>10</v>
      </c>
      <c r="O2" s="29" t="s">
        <v>11</v>
      </c>
      <c r="P2" s="29" t="s">
        <v>12</v>
      </c>
      <c r="Q2" s="29" t="s">
        <v>13</v>
      </c>
      <c r="R2" s="29" t="s">
        <v>14</v>
      </c>
      <c r="S2" s="29" t="s">
        <v>15</v>
      </c>
      <c r="T2" s="29" t="s">
        <v>16</v>
      </c>
      <c r="U2" s="29" t="s">
        <v>17</v>
      </c>
      <c r="V2" s="29" t="s">
        <v>18</v>
      </c>
    </row>
    <row r="3" spans="1:23" ht="6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3" ht="16.5" customHeight="1">
      <c r="A4" s="121" t="s">
        <v>19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3" ht="15" customHeight="1">
      <c r="A5" s="86">
        <v>1</v>
      </c>
      <c r="B5" s="18" t="s">
        <v>20</v>
      </c>
      <c r="C5" s="18" t="s">
        <v>21</v>
      </c>
      <c r="D5" s="10">
        <v>3016072467.5</v>
      </c>
      <c r="E5" s="10">
        <v>10345880.24</v>
      </c>
      <c r="F5" s="10">
        <v>1170465130.6099999</v>
      </c>
      <c r="G5" s="10">
        <v>4428691.3499999996</v>
      </c>
      <c r="H5" s="12">
        <f>(E5+F5)-G5</f>
        <v>1176382319.5</v>
      </c>
      <c r="I5" s="28">
        <v>2070126817.1600001</v>
      </c>
      <c r="J5" s="13">
        <f t="shared" ref="J5:J23" si="0">(I5/$I$24)</f>
        <v>4.3287408820065966E-2</v>
      </c>
      <c r="K5" s="28">
        <v>3124403076.1100001</v>
      </c>
      <c r="L5" s="13">
        <f>(K5/$K$24)</f>
        <v>4.7049931468114189E-2</v>
      </c>
      <c r="M5" s="13">
        <f t="shared" ref="M5:M24" si="1">((K5-I5)/I5)</f>
        <v>0.50928100163272028</v>
      </c>
      <c r="N5" s="19">
        <f t="shared" ref="N5" si="2">(G5/K5)</f>
        <v>1.4174519875053662E-3</v>
      </c>
      <c r="O5" s="20">
        <f t="shared" ref="O5" si="3">H5/K5</f>
        <v>0.37651426235460006</v>
      </c>
      <c r="P5" s="21">
        <f t="shared" ref="P5" si="4">K5/V5</f>
        <v>583.93751627090649</v>
      </c>
      <c r="Q5" s="21">
        <f t="shared" ref="Q5" si="5">H5/V5</f>
        <v>219.86080319991763</v>
      </c>
      <c r="R5" s="10">
        <v>583.94000000000005</v>
      </c>
      <c r="S5" s="10">
        <v>585.70000000000005</v>
      </c>
      <c r="T5" s="10">
        <v>1693</v>
      </c>
      <c r="U5" s="10">
        <v>4245787.57</v>
      </c>
      <c r="V5" s="10">
        <v>5350577.74</v>
      </c>
    </row>
    <row r="6" spans="1:23">
      <c r="A6" s="86">
        <v>2</v>
      </c>
      <c r="B6" s="18" t="s">
        <v>22</v>
      </c>
      <c r="C6" s="18" t="s">
        <v>23</v>
      </c>
      <c r="D6" s="10">
        <v>1032800000.04</v>
      </c>
      <c r="E6" s="10">
        <v>2125647.5</v>
      </c>
      <c r="F6" s="10">
        <v>0</v>
      </c>
      <c r="G6" s="10">
        <v>1231454.48</v>
      </c>
      <c r="H6" s="12">
        <f t="shared" ref="H6:H23" si="6">(E6+F6)-G6</f>
        <v>894193.02</v>
      </c>
      <c r="I6" s="28">
        <v>806509910.88999999</v>
      </c>
      <c r="J6" s="13">
        <f t="shared" si="0"/>
        <v>1.6864534066577466E-2</v>
      </c>
      <c r="K6" s="28">
        <v>1062707293.15</v>
      </c>
      <c r="L6" s="13">
        <f t="shared" ref="L6:L23" si="7">(K6/$K$24)</f>
        <v>1.6003154553165051E-2</v>
      </c>
      <c r="M6" s="13">
        <f t="shared" ref="M6:M23" si="8">((K6-I6)/I6)</f>
        <v>0.31766179038926007</v>
      </c>
      <c r="N6" s="19">
        <f t="shared" ref="N6:N23" si="9">(G6/K6)</f>
        <v>1.1587899019209814E-3</v>
      </c>
      <c r="O6" s="20">
        <f t="shared" ref="O6:O23" si="10">H6/K6</f>
        <v>8.4142926821316705E-4</v>
      </c>
      <c r="P6" s="21">
        <f t="shared" ref="P6:P23" si="11">K6/V6</f>
        <v>405.78462194821759</v>
      </c>
      <c r="Q6" s="21">
        <f t="shared" ref="Q6:Q23" si="12">H6/V6</f>
        <v>0.34143905749804537</v>
      </c>
      <c r="R6" s="10">
        <v>407.98</v>
      </c>
      <c r="S6" s="10">
        <v>413.1</v>
      </c>
      <c r="T6" s="10">
        <v>419</v>
      </c>
      <c r="U6" s="10">
        <v>2474506.94</v>
      </c>
      <c r="V6" s="10">
        <v>2618894.94</v>
      </c>
    </row>
    <row r="7" spans="1:23">
      <c r="A7" s="86">
        <v>3</v>
      </c>
      <c r="B7" s="18" t="s">
        <v>24</v>
      </c>
      <c r="C7" s="70" t="s">
        <v>25</v>
      </c>
      <c r="D7" s="10">
        <v>4538467458.5600004</v>
      </c>
      <c r="E7" s="10">
        <v>315804224.44</v>
      </c>
      <c r="F7" s="10">
        <v>456444369.33999997</v>
      </c>
      <c r="G7" s="10">
        <v>24284790.289999999</v>
      </c>
      <c r="H7" s="12">
        <f t="shared" si="6"/>
        <v>747963803.49000001</v>
      </c>
      <c r="I7" s="28">
        <v>4703681914</v>
      </c>
      <c r="J7" s="13">
        <f t="shared" si="0"/>
        <v>9.8356390672819025E-2</v>
      </c>
      <c r="K7" s="28">
        <v>5689921976</v>
      </c>
      <c r="L7" s="13">
        <f t="shared" si="7"/>
        <v>8.5683707418130722E-2</v>
      </c>
      <c r="M7" s="13">
        <f t="shared" si="8"/>
        <v>0.20967405535322514</v>
      </c>
      <c r="N7" s="19">
        <f t="shared" si="9"/>
        <v>4.2680357292126068E-3</v>
      </c>
      <c r="O7" s="20">
        <f t="shared" si="10"/>
        <v>0.13145414060946695</v>
      </c>
      <c r="P7" s="21">
        <f t="shared" si="11"/>
        <v>47.763967416502403</v>
      </c>
      <c r="Q7" s="21">
        <f t="shared" si="12"/>
        <v>6.2787712888349043</v>
      </c>
      <c r="R7" s="10">
        <v>47.525199999999998</v>
      </c>
      <c r="S7" s="10">
        <v>48.958100000000002</v>
      </c>
      <c r="T7" s="10">
        <v>7009</v>
      </c>
      <c r="U7" s="10">
        <v>113814719</v>
      </c>
      <c r="V7" s="10">
        <v>119125824</v>
      </c>
    </row>
    <row r="8" spans="1:23">
      <c r="A8" s="86">
        <v>4</v>
      </c>
      <c r="B8" s="74" t="s">
        <v>26</v>
      </c>
      <c r="C8" s="74" t="s">
        <v>27</v>
      </c>
      <c r="D8" s="114">
        <v>1035732276.75</v>
      </c>
      <c r="E8" s="10">
        <v>29138369.739999998</v>
      </c>
      <c r="F8" s="10">
        <v>0</v>
      </c>
      <c r="G8" s="10">
        <v>4966528.13</v>
      </c>
      <c r="H8" s="12">
        <f t="shared" si="6"/>
        <v>24171841.609999999</v>
      </c>
      <c r="I8" s="28">
        <v>742674943.46000004</v>
      </c>
      <c r="J8" s="13">
        <f t="shared" si="0"/>
        <v>1.5529712301431263E-2</v>
      </c>
      <c r="K8" s="28">
        <v>1138640895.7</v>
      </c>
      <c r="L8" s="13">
        <f t="shared" si="7"/>
        <v>1.7146627629165422E-2</v>
      </c>
      <c r="M8" s="13">
        <f t="shared" si="8"/>
        <v>0.53316185731978505</v>
      </c>
      <c r="N8" s="19">
        <f t="shared" si="9"/>
        <v>4.3618037510823257E-3</v>
      </c>
      <c r="O8" s="20">
        <f t="shared" si="10"/>
        <v>2.1228678595054257E-2</v>
      </c>
      <c r="P8" s="21">
        <f t="shared" si="11"/>
        <v>296.52112373063324</v>
      </c>
      <c r="Q8" s="21">
        <f t="shared" si="12"/>
        <v>6.2947516323219297</v>
      </c>
      <c r="R8" s="10">
        <v>296.52109999999999</v>
      </c>
      <c r="S8" s="10">
        <v>296.52109999999999</v>
      </c>
      <c r="T8" s="10">
        <v>2074</v>
      </c>
      <c r="U8" s="10">
        <v>2968657.9</v>
      </c>
      <c r="V8" s="10">
        <v>3839999.26</v>
      </c>
    </row>
    <row r="9" spans="1:23">
      <c r="A9" s="86">
        <v>5</v>
      </c>
      <c r="B9" s="18" t="s">
        <v>207</v>
      </c>
      <c r="C9" s="70" t="s">
        <v>102</v>
      </c>
      <c r="D9" s="10">
        <v>1194827168.9100001</v>
      </c>
      <c r="E9" s="10">
        <v>6103077.3899999997</v>
      </c>
      <c r="F9" s="10">
        <v>198945318.13</v>
      </c>
      <c r="G9" s="10">
        <v>1966321.72</v>
      </c>
      <c r="H9" s="12">
        <f t="shared" si="6"/>
        <v>203082073.79999998</v>
      </c>
      <c r="I9" s="28">
        <v>1108144872.78</v>
      </c>
      <c r="J9" s="13">
        <f t="shared" si="0"/>
        <v>2.3171875144198158E-2</v>
      </c>
      <c r="K9" s="28">
        <v>1530768524.6400001</v>
      </c>
      <c r="L9" s="13">
        <f t="shared" si="7"/>
        <v>2.3051620557079044E-2</v>
      </c>
      <c r="M9" s="13">
        <f t="shared" si="8"/>
        <v>0.38137942271010589</v>
      </c>
      <c r="N9" s="19">
        <f t="shared" si="9"/>
        <v>1.2845323694269397E-3</v>
      </c>
      <c r="O9" s="20">
        <f t="shared" si="10"/>
        <v>0.13266674257478608</v>
      </c>
      <c r="P9" s="21">
        <f t="shared" si="11"/>
        <v>1.6416191356532441</v>
      </c>
      <c r="Q9" s="21">
        <f t="shared" si="12"/>
        <v>0.21778826327555179</v>
      </c>
      <c r="R9" s="10">
        <v>1.6251</v>
      </c>
      <c r="S9" s="10">
        <v>1.6445000000000001</v>
      </c>
      <c r="T9" s="10">
        <v>625</v>
      </c>
      <c r="U9" s="10">
        <v>812349293.32000005</v>
      </c>
      <c r="V9" s="10">
        <v>932474830.12</v>
      </c>
    </row>
    <row r="10" spans="1:23">
      <c r="A10" s="86">
        <v>6</v>
      </c>
      <c r="B10" s="75" t="s">
        <v>206</v>
      </c>
      <c r="C10" s="76" t="s">
        <v>47</v>
      </c>
      <c r="D10" s="10">
        <v>200081070.94</v>
      </c>
      <c r="E10" s="10">
        <v>224963.4</v>
      </c>
      <c r="F10" s="16">
        <v>0</v>
      </c>
      <c r="G10" s="10">
        <v>399447.54</v>
      </c>
      <c r="H10" s="12">
        <f t="shared" si="6"/>
        <v>-174484.13999999998</v>
      </c>
      <c r="I10" s="16">
        <v>124920302.5</v>
      </c>
      <c r="J10" s="13">
        <f t="shared" si="0"/>
        <v>2.6121473135942014E-3</v>
      </c>
      <c r="K10" s="16">
        <v>199723777.09999999</v>
      </c>
      <c r="L10" s="13">
        <f t="shared" si="7"/>
        <v>3.007611308848E-3</v>
      </c>
      <c r="M10" s="13">
        <f t="shared" si="8"/>
        <v>0.5988095858157243</v>
      </c>
      <c r="N10" s="19">
        <f t="shared" si="9"/>
        <v>1.999999928901805E-3</v>
      </c>
      <c r="O10" s="20">
        <f t="shared" si="10"/>
        <v>-8.7362727930304096E-4</v>
      </c>
      <c r="P10" s="21">
        <f t="shared" si="11"/>
        <v>207.64571443340603</v>
      </c>
      <c r="Q10" s="21">
        <f t="shared" si="12"/>
        <v>-0.1814049605593927</v>
      </c>
      <c r="R10" s="10">
        <v>207.21709999999999</v>
      </c>
      <c r="S10" s="10">
        <v>207.21709999999999</v>
      </c>
      <c r="T10" s="10">
        <v>121</v>
      </c>
      <c r="U10" s="10">
        <v>681137</v>
      </c>
      <c r="V10" s="10">
        <v>961848.78</v>
      </c>
    </row>
    <row r="11" spans="1:23">
      <c r="A11" s="86">
        <v>7</v>
      </c>
      <c r="B11" s="18" t="s">
        <v>28</v>
      </c>
      <c r="C11" s="18" t="s">
        <v>29</v>
      </c>
      <c r="D11" s="10">
        <v>2200054108.79</v>
      </c>
      <c r="E11" s="10">
        <v>7302437.3499999996</v>
      </c>
      <c r="F11" s="10">
        <v>168043268.55000001</v>
      </c>
      <c r="G11" s="10">
        <v>3550301.22</v>
      </c>
      <c r="H11" s="12">
        <f t="shared" si="6"/>
        <v>171795404.68000001</v>
      </c>
      <c r="I11" s="28">
        <v>1820862588.98</v>
      </c>
      <c r="J11" s="13">
        <f t="shared" si="0"/>
        <v>3.8075166526500281E-2</v>
      </c>
      <c r="K11" s="28">
        <v>2168390404.04</v>
      </c>
      <c r="L11" s="13">
        <f t="shared" si="7"/>
        <v>3.2653475694698286E-2</v>
      </c>
      <c r="M11" s="13">
        <f t="shared" si="8"/>
        <v>0.19085889136460099</v>
      </c>
      <c r="N11" s="19">
        <f t="shared" si="9"/>
        <v>1.6372979761325804E-3</v>
      </c>
      <c r="O11" s="20">
        <f t="shared" si="10"/>
        <v>7.9227155940149105E-2</v>
      </c>
      <c r="P11" s="21">
        <f t="shared" si="11"/>
        <v>480.81100573013998</v>
      </c>
      <c r="Q11" s="21">
        <f t="shared" si="12"/>
        <v>38.093288528721722</v>
      </c>
      <c r="R11" s="10">
        <v>480.81</v>
      </c>
      <c r="S11" s="10">
        <v>487.77</v>
      </c>
      <c r="T11" s="10">
        <v>1709</v>
      </c>
      <c r="U11" s="10">
        <v>4330277.96</v>
      </c>
      <c r="V11" s="10">
        <v>4509860.17</v>
      </c>
    </row>
    <row r="12" spans="1:23">
      <c r="A12" s="86">
        <v>8</v>
      </c>
      <c r="B12" s="18" t="s">
        <v>30</v>
      </c>
      <c r="C12" s="70" t="s">
        <v>31</v>
      </c>
      <c r="D12" s="10">
        <v>468952525.17000002</v>
      </c>
      <c r="E12" s="10">
        <v>6531686.1799999997</v>
      </c>
      <c r="F12" s="10">
        <v>56231943.280000001</v>
      </c>
      <c r="G12" s="10">
        <v>1803994.39</v>
      </c>
      <c r="H12" s="12">
        <f t="shared" si="6"/>
        <v>60959635.07</v>
      </c>
      <c r="I12" s="28">
        <v>464326547.50999999</v>
      </c>
      <c r="J12" s="13">
        <f t="shared" si="0"/>
        <v>9.7093052084845591E-3</v>
      </c>
      <c r="K12" s="28">
        <v>517878485.98000002</v>
      </c>
      <c r="L12" s="13">
        <f t="shared" si="7"/>
        <v>7.7986567931902411E-3</v>
      </c>
      <c r="M12" s="13">
        <f t="shared" si="8"/>
        <v>0.11533249338677261</v>
      </c>
      <c r="N12" s="19">
        <f t="shared" si="9"/>
        <v>3.4834318065679764E-3</v>
      </c>
      <c r="O12" s="20">
        <f t="shared" si="10"/>
        <v>0.11771030602795537</v>
      </c>
      <c r="P12" s="21">
        <f t="shared" si="11"/>
        <v>258.08382415483879</v>
      </c>
      <c r="Q12" s="21">
        <f t="shared" si="12"/>
        <v>30.379125922131095</v>
      </c>
      <c r="R12" s="10">
        <v>258.08</v>
      </c>
      <c r="S12" s="10">
        <v>271.06</v>
      </c>
      <c r="T12" s="10">
        <v>2475</v>
      </c>
      <c r="U12" s="10">
        <v>2006629</v>
      </c>
      <c r="V12" s="10">
        <v>2006629</v>
      </c>
    </row>
    <row r="13" spans="1:23">
      <c r="A13" s="86">
        <v>9</v>
      </c>
      <c r="B13" s="18" t="s">
        <v>32</v>
      </c>
      <c r="C13" s="18" t="s">
        <v>33</v>
      </c>
      <c r="D13" s="10">
        <v>74643288.890000001</v>
      </c>
      <c r="E13" s="10">
        <v>1095660.02</v>
      </c>
      <c r="F13" s="10">
        <v>20496974.620000001</v>
      </c>
      <c r="G13" s="10">
        <v>1269533.24</v>
      </c>
      <c r="H13" s="12">
        <f t="shared" si="6"/>
        <v>20323101.400000002</v>
      </c>
      <c r="I13" s="28">
        <v>76892004.540000007</v>
      </c>
      <c r="J13" s="13">
        <f t="shared" si="0"/>
        <v>1.607851078458877E-3</v>
      </c>
      <c r="K13" s="28">
        <v>76892004.540000007</v>
      </c>
      <c r="L13" s="13">
        <f t="shared" si="7"/>
        <v>1.1579055121649598E-3</v>
      </c>
      <c r="M13" s="13">
        <f t="shared" si="8"/>
        <v>0</v>
      </c>
      <c r="N13" s="19">
        <f t="shared" si="9"/>
        <v>1.6510601428521426E-2</v>
      </c>
      <c r="O13" s="20">
        <f t="shared" si="10"/>
        <v>0.26430708266199143</v>
      </c>
      <c r="P13" s="21">
        <f t="shared" si="11"/>
        <v>276.3632171980347</v>
      </c>
      <c r="Q13" s="21">
        <f t="shared" si="12"/>
        <v>73.044755692694849</v>
      </c>
      <c r="R13" s="10">
        <v>271.72000000000003</v>
      </c>
      <c r="S13" s="10">
        <v>280.32</v>
      </c>
      <c r="T13" s="10">
        <v>18</v>
      </c>
      <c r="U13" s="10">
        <v>278228.07</v>
      </c>
      <c r="V13" s="10">
        <v>278228.07</v>
      </c>
      <c r="W13" s="6"/>
    </row>
    <row r="14" spans="1:23">
      <c r="A14" s="86">
        <v>10</v>
      </c>
      <c r="B14" s="70" t="s">
        <v>34</v>
      </c>
      <c r="C14" s="70" t="s">
        <v>35</v>
      </c>
      <c r="D14" s="10">
        <v>1729504512.0599999</v>
      </c>
      <c r="E14" s="10">
        <v>7797579.7199999997</v>
      </c>
      <c r="F14" s="10">
        <v>192041202.65000001</v>
      </c>
      <c r="G14" s="10">
        <v>2623516.7999999998</v>
      </c>
      <c r="H14" s="12">
        <f t="shared" si="6"/>
        <v>197215265.56999999</v>
      </c>
      <c r="I14" s="28">
        <v>1203929306.6400001</v>
      </c>
      <c r="J14" s="13">
        <f t="shared" si="0"/>
        <v>2.5174776566819518E-2</v>
      </c>
      <c r="K14" s="28">
        <v>1769451112.8199999</v>
      </c>
      <c r="L14" s="13">
        <f t="shared" si="7"/>
        <v>2.664590693528953E-2</v>
      </c>
      <c r="M14" s="13">
        <f t="shared" si="8"/>
        <v>0.46973007722379717</v>
      </c>
      <c r="N14" s="19">
        <f t="shared" si="9"/>
        <v>1.4826726666773307E-3</v>
      </c>
      <c r="O14" s="20">
        <f t="shared" si="10"/>
        <v>0.1114556170222161</v>
      </c>
      <c r="P14" s="21">
        <f t="shared" si="11"/>
        <v>3.7856123537978923</v>
      </c>
      <c r="Q14" s="21">
        <f t="shared" si="12"/>
        <v>0.42192776069946791</v>
      </c>
      <c r="R14" s="10">
        <v>3.71</v>
      </c>
      <c r="S14" s="10">
        <v>3.73</v>
      </c>
      <c r="T14" s="10">
        <v>864</v>
      </c>
      <c r="U14" s="10">
        <v>368843397.91000003</v>
      </c>
      <c r="V14" s="10">
        <v>467414766.07999998</v>
      </c>
    </row>
    <row r="15" spans="1:23">
      <c r="A15" s="86">
        <v>11</v>
      </c>
      <c r="B15" s="75" t="s">
        <v>251</v>
      </c>
      <c r="C15" s="76" t="s">
        <v>274</v>
      </c>
      <c r="D15" s="10">
        <v>45128778.759999998</v>
      </c>
      <c r="E15" s="10">
        <v>183710.73</v>
      </c>
      <c r="F15" s="10">
        <v>12347547.18</v>
      </c>
      <c r="G15" s="10">
        <v>166562.57</v>
      </c>
      <c r="H15" s="12">
        <f t="shared" si="6"/>
        <v>12364695.34</v>
      </c>
      <c r="I15" s="16">
        <v>45303750.259999998</v>
      </c>
      <c r="J15" s="13">
        <f t="shared" si="0"/>
        <v>9.4732455148674964E-4</v>
      </c>
      <c r="K15" s="28">
        <v>56671387.420000002</v>
      </c>
      <c r="L15" s="13">
        <f t="shared" si="7"/>
        <v>8.5340618011223407E-4</v>
      </c>
      <c r="M15" s="13">
        <f t="shared" si="8"/>
        <v>0.25092044465989433</v>
      </c>
      <c r="N15" s="19">
        <f t="shared" si="9"/>
        <v>2.9390946222223263E-3</v>
      </c>
      <c r="O15" s="20">
        <f t="shared" si="10"/>
        <v>0.218182329794812</v>
      </c>
      <c r="P15" s="21">
        <f t="shared" si="11"/>
        <v>22.626776887155557</v>
      </c>
      <c r="Q15" s="21">
        <f t="shared" si="12"/>
        <v>4.9367628969870028</v>
      </c>
      <c r="R15" s="10">
        <v>22.626799999999999</v>
      </c>
      <c r="S15" s="10">
        <v>23.2621</v>
      </c>
      <c r="T15" s="10">
        <v>45</v>
      </c>
      <c r="U15" s="16">
        <v>2387662</v>
      </c>
      <c r="V15" s="16">
        <v>2504616</v>
      </c>
    </row>
    <row r="16" spans="1:23">
      <c r="A16" s="86">
        <v>12</v>
      </c>
      <c r="B16" s="18" t="s">
        <v>36</v>
      </c>
      <c r="C16" s="70" t="s">
        <v>37</v>
      </c>
      <c r="D16" s="10">
        <v>2710070422.0900002</v>
      </c>
      <c r="E16" s="10">
        <v>7086377.9199999999</v>
      </c>
      <c r="F16" s="10">
        <v>0</v>
      </c>
      <c r="G16" s="10">
        <v>4328704.78</v>
      </c>
      <c r="H16" s="12">
        <f t="shared" si="6"/>
        <v>2757673.1399999997</v>
      </c>
      <c r="I16" s="28">
        <v>2178629818.4499998</v>
      </c>
      <c r="J16" s="13">
        <f t="shared" si="0"/>
        <v>4.5556261982157703E-2</v>
      </c>
      <c r="K16" s="28">
        <v>2698978007.4200001</v>
      </c>
      <c r="L16" s="13">
        <f t="shared" si="7"/>
        <v>4.064351723823089E-2</v>
      </c>
      <c r="M16" s="13">
        <f t="shared" si="8"/>
        <v>0.23884194761467339</v>
      </c>
      <c r="N16" s="19">
        <f t="shared" si="9"/>
        <v>1.6038310679448197E-3</v>
      </c>
      <c r="O16" s="20">
        <f t="shared" si="10"/>
        <v>1.0217471696392618E-3</v>
      </c>
      <c r="P16" s="21">
        <f t="shared" si="11"/>
        <v>5.5724119504199292</v>
      </c>
      <c r="Q16" s="21">
        <f t="shared" si="12"/>
        <v>5.6935961384055609E-3</v>
      </c>
      <c r="R16" s="10">
        <v>5.49</v>
      </c>
      <c r="S16" s="10">
        <v>5.61</v>
      </c>
      <c r="T16" s="10">
        <v>3644</v>
      </c>
      <c r="U16" s="10">
        <v>482934805</v>
      </c>
      <c r="V16" s="10">
        <v>484346461</v>
      </c>
    </row>
    <row r="17" spans="1:23">
      <c r="A17" s="86">
        <v>13</v>
      </c>
      <c r="B17" s="18" t="s">
        <v>38</v>
      </c>
      <c r="C17" s="18" t="s">
        <v>39</v>
      </c>
      <c r="D17" s="10">
        <v>1459851078.26</v>
      </c>
      <c r="E17" s="10">
        <v>4015080.91</v>
      </c>
      <c r="F17" s="10">
        <v>215387669.02000001</v>
      </c>
      <c r="G17" s="10">
        <v>1961717.13</v>
      </c>
      <c r="H17" s="12">
        <f t="shared" si="6"/>
        <v>217441032.80000001</v>
      </c>
      <c r="I17" s="28">
        <v>1132474857.45</v>
      </c>
      <c r="J17" s="13">
        <f t="shared" si="0"/>
        <v>2.3680627547319571E-2</v>
      </c>
      <c r="K17" s="28">
        <v>1667429588.6500001</v>
      </c>
      <c r="L17" s="13">
        <f t="shared" si="7"/>
        <v>2.510957964219028E-2</v>
      </c>
      <c r="M17" s="13">
        <f t="shared" si="8"/>
        <v>0.4723766957657326</v>
      </c>
      <c r="N17" s="19">
        <f t="shared" si="9"/>
        <v>1.176491735155224E-3</v>
      </c>
      <c r="O17" s="20">
        <f t="shared" si="10"/>
        <v>0.13040492640894458</v>
      </c>
      <c r="P17" s="21">
        <f t="shared" si="11"/>
        <v>33.751898452655809</v>
      </c>
      <c r="Q17" s="21">
        <f t="shared" si="12"/>
        <v>4.4014138338807518</v>
      </c>
      <c r="R17" s="10">
        <v>33</v>
      </c>
      <c r="S17" s="10">
        <v>33.14</v>
      </c>
      <c r="T17" s="10">
        <v>598</v>
      </c>
      <c r="U17" s="10">
        <v>39879311.130000003</v>
      </c>
      <c r="V17" s="10">
        <v>49402542.229999997</v>
      </c>
    </row>
    <row r="18" spans="1:23">
      <c r="A18" s="86">
        <v>14</v>
      </c>
      <c r="B18" s="74" t="s">
        <v>40</v>
      </c>
      <c r="C18" s="74" t="s">
        <v>41</v>
      </c>
      <c r="D18" s="10">
        <v>184567009.13999999</v>
      </c>
      <c r="E18" s="10">
        <v>2948207</v>
      </c>
      <c r="F18" s="10">
        <v>39882169</v>
      </c>
      <c r="G18" s="10">
        <v>295347.28000000003</v>
      </c>
      <c r="H18" s="12">
        <f t="shared" si="6"/>
        <v>42535028.719999999</v>
      </c>
      <c r="I18" s="28">
        <v>142450728.41</v>
      </c>
      <c r="J18" s="13">
        <f t="shared" si="0"/>
        <v>2.9787174709708908E-3</v>
      </c>
      <c r="K18" s="28">
        <v>185254387.58000001</v>
      </c>
      <c r="L18" s="13">
        <f t="shared" si="7"/>
        <v>2.7897188766881102E-3</v>
      </c>
      <c r="M18" s="13">
        <f t="shared" si="8"/>
        <v>0.30048045136563312</v>
      </c>
      <c r="N18" s="19">
        <f t="shared" si="9"/>
        <v>1.5942795410038948E-3</v>
      </c>
      <c r="O18" s="20">
        <f t="shared" si="10"/>
        <v>0.22960335393747006</v>
      </c>
      <c r="P18" s="21">
        <f t="shared" si="11"/>
        <v>2.015761894720677</v>
      </c>
      <c r="Q18" s="21">
        <f t="shared" si="12"/>
        <v>0.46282569176721683</v>
      </c>
      <c r="R18" s="10">
        <v>1.96</v>
      </c>
      <c r="S18" s="10">
        <v>2.0299999999999998</v>
      </c>
      <c r="T18" s="10">
        <v>22</v>
      </c>
      <c r="U18" s="10">
        <v>91902911.780000001</v>
      </c>
      <c r="V18" s="10">
        <v>91902911.780000001</v>
      </c>
    </row>
    <row r="19" spans="1:23">
      <c r="A19" s="86">
        <v>15</v>
      </c>
      <c r="B19" s="18" t="s">
        <v>42</v>
      </c>
      <c r="C19" s="18" t="s">
        <v>43</v>
      </c>
      <c r="D19" s="10">
        <v>8578879454.4399996</v>
      </c>
      <c r="E19" s="10">
        <v>12282537.710000001</v>
      </c>
      <c r="F19" s="10">
        <v>1024753868.41</v>
      </c>
      <c r="G19" s="10">
        <v>9741813.1300000008</v>
      </c>
      <c r="H19" s="12">
        <f t="shared" si="6"/>
        <v>1027294592.99</v>
      </c>
      <c r="I19" s="28">
        <v>4271043579.29</v>
      </c>
      <c r="J19" s="13">
        <f t="shared" si="0"/>
        <v>8.9309702175001823E-2</v>
      </c>
      <c r="K19" s="28">
        <v>8567110435.1099997</v>
      </c>
      <c r="L19" s="13">
        <f t="shared" si="7"/>
        <v>0.12901086992704658</v>
      </c>
      <c r="M19" s="13">
        <f t="shared" si="8"/>
        <v>1.0058588202310406</v>
      </c>
      <c r="N19" s="19">
        <f t="shared" si="9"/>
        <v>1.1371177252572581E-3</v>
      </c>
      <c r="O19" s="20">
        <f t="shared" si="10"/>
        <v>0.11991144514490081</v>
      </c>
      <c r="P19" s="21">
        <f t="shared" si="11"/>
        <v>50.955581093744861</v>
      </c>
      <c r="Q19" s="21">
        <f t="shared" si="12"/>
        <v>6.1101573671491316</v>
      </c>
      <c r="R19" s="10">
        <v>50.95</v>
      </c>
      <c r="S19" s="10">
        <v>51.4</v>
      </c>
      <c r="T19" s="10">
        <v>10953</v>
      </c>
      <c r="U19" s="10">
        <v>100102169</v>
      </c>
      <c r="V19" s="10">
        <v>168128991</v>
      </c>
    </row>
    <row r="20" spans="1:23">
      <c r="A20" s="86">
        <v>16</v>
      </c>
      <c r="B20" s="70" t="s">
        <v>44</v>
      </c>
      <c r="C20" s="18" t="s">
        <v>45</v>
      </c>
      <c r="D20" s="10">
        <v>1579611481.9200001</v>
      </c>
      <c r="E20" s="10">
        <v>69974272.730000004</v>
      </c>
      <c r="F20" s="10">
        <v>194983544.13</v>
      </c>
      <c r="G20" s="10">
        <v>6435801.3399999999</v>
      </c>
      <c r="H20" s="12">
        <f t="shared" si="6"/>
        <v>258522015.52000001</v>
      </c>
      <c r="I20" s="28">
        <v>1163955716.8900001</v>
      </c>
      <c r="J20" s="13">
        <f t="shared" si="0"/>
        <v>2.4338908393348044E-2</v>
      </c>
      <c r="K20" s="28">
        <v>1622753328.8699999</v>
      </c>
      <c r="L20" s="13">
        <f t="shared" si="7"/>
        <v>2.4436806344476796E-2</v>
      </c>
      <c r="M20" s="13">
        <f t="shared" si="8"/>
        <v>0.39417101984418412</v>
      </c>
      <c r="N20" s="19">
        <f t="shared" si="9"/>
        <v>3.9659763597475126E-3</v>
      </c>
      <c r="O20" s="20">
        <f t="shared" si="10"/>
        <v>0.15931072882162636</v>
      </c>
      <c r="P20" s="21">
        <f t="shared" si="11"/>
        <v>12627.065672589943</v>
      </c>
      <c r="Q20" s="21">
        <f t="shared" si="12"/>
        <v>2011.6270351788435</v>
      </c>
      <c r="R20" s="10">
        <v>12530.04</v>
      </c>
      <c r="S20" s="10">
        <v>12693.56</v>
      </c>
      <c r="T20" s="10">
        <v>24</v>
      </c>
      <c r="U20" s="10">
        <v>110888.4</v>
      </c>
      <c r="V20" s="10">
        <v>128513.89</v>
      </c>
    </row>
    <row r="21" spans="1:23">
      <c r="A21" s="86">
        <v>17</v>
      </c>
      <c r="B21" s="18" t="s">
        <v>46</v>
      </c>
      <c r="C21" s="18" t="s">
        <v>45</v>
      </c>
      <c r="D21" s="10">
        <v>21533581142.43</v>
      </c>
      <c r="E21" s="10">
        <v>408168112.38999999</v>
      </c>
      <c r="F21" s="10">
        <v>3710359678.0599999</v>
      </c>
      <c r="G21" s="10">
        <v>77038869.640000001</v>
      </c>
      <c r="H21" s="12">
        <f t="shared" si="6"/>
        <v>4041488920.8099999</v>
      </c>
      <c r="I21" s="28">
        <v>16884379979.530001</v>
      </c>
      <c r="J21" s="13">
        <f t="shared" si="0"/>
        <v>0.35306100707875732</v>
      </c>
      <c r="K21" s="28">
        <v>22047919575.310001</v>
      </c>
      <c r="L21" s="13">
        <f t="shared" si="7"/>
        <v>0.33201641393989817</v>
      </c>
      <c r="M21" s="13">
        <f t="shared" si="8"/>
        <v>0.30581754272529316</v>
      </c>
      <c r="N21" s="19">
        <f t="shared" si="9"/>
        <v>3.4941559622827501E-3</v>
      </c>
      <c r="O21" s="20">
        <f t="shared" si="10"/>
        <v>0.18330477426703762</v>
      </c>
      <c r="P21" s="21">
        <f t="shared" si="11"/>
        <v>41137.029507380976</v>
      </c>
      <c r="Q21" s="21">
        <f t="shared" si="12"/>
        <v>7540.6139078669357</v>
      </c>
      <c r="R21" s="10">
        <v>40783.269999999997</v>
      </c>
      <c r="S21" s="10">
        <v>41379.480000000003</v>
      </c>
      <c r="T21" s="10">
        <v>18306</v>
      </c>
      <c r="U21" s="10">
        <v>507745.74</v>
      </c>
      <c r="V21" s="10">
        <v>535962.85</v>
      </c>
    </row>
    <row r="22" spans="1:23">
      <c r="A22" s="86">
        <v>18</v>
      </c>
      <c r="B22" s="18" t="s">
        <v>48</v>
      </c>
      <c r="C22" s="18" t="s">
        <v>49</v>
      </c>
      <c r="D22" s="10">
        <v>4614185432</v>
      </c>
      <c r="E22" s="10">
        <v>24036596</v>
      </c>
      <c r="F22" s="10">
        <v>583059674</v>
      </c>
      <c r="G22" s="10">
        <v>8911372</v>
      </c>
      <c r="H22" s="12">
        <f t="shared" ref="H22" si="13">(E22+F22)-G22</f>
        <v>598184898</v>
      </c>
      <c r="I22" s="28">
        <v>4911020079</v>
      </c>
      <c r="J22" s="13">
        <f t="shared" si="0"/>
        <v>0.10269193757649628</v>
      </c>
      <c r="K22" s="28">
        <v>5877940003</v>
      </c>
      <c r="L22" s="13">
        <f t="shared" si="7"/>
        <v>8.8515043538863886E-2</v>
      </c>
      <c r="M22" s="13">
        <f t="shared" si="8"/>
        <v>0.19688779692321839</v>
      </c>
      <c r="N22" s="19">
        <f t="shared" si="9"/>
        <v>1.5160705953874637E-3</v>
      </c>
      <c r="O22" s="20">
        <f t="shared" si="10"/>
        <v>0.10176777879575101</v>
      </c>
      <c r="P22" s="21">
        <f t="shared" si="11"/>
        <v>1.863315894445531</v>
      </c>
      <c r="Q22" s="21">
        <f t="shared" si="12"/>
        <v>0.18962551977253972</v>
      </c>
      <c r="R22" s="10">
        <v>1.86</v>
      </c>
      <c r="S22" s="10">
        <v>1.86</v>
      </c>
      <c r="T22" s="10">
        <v>3244</v>
      </c>
      <c r="U22" s="10">
        <v>3040744659</v>
      </c>
      <c r="V22" s="10">
        <v>3154559042.04</v>
      </c>
    </row>
    <row r="23" spans="1:23">
      <c r="A23" s="86">
        <v>19</v>
      </c>
      <c r="B23" s="76" t="s">
        <v>252</v>
      </c>
      <c r="C23" s="76" t="s">
        <v>253</v>
      </c>
      <c r="D23" s="10">
        <v>6757496972.1499996</v>
      </c>
      <c r="E23" s="10">
        <v>111967926.33</v>
      </c>
      <c r="F23" s="10">
        <v>1242325203.49</v>
      </c>
      <c r="G23" s="10">
        <v>11413454.710000001</v>
      </c>
      <c r="H23" s="12">
        <f t="shared" si="6"/>
        <v>1342879675.1099999</v>
      </c>
      <c r="I23" s="28">
        <v>3971512077.6599998</v>
      </c>
      <c r="J23" s="13">
        <f t="shared" si="0"/>
        <v>8.30463455255121E-2</v>
      </c>
      <c r="K23" s="28">
        <v>6403278957.5200005</v>
      </c>
      <c r="L23" s="13">
        <f t="shared" si="7"/>
        <v>9.6426046442647545E-2</v>
      </c>
      <c r="M23" s="13">
        <f t="shared" si="8"/>
        <v>0.61230252667210538</v>
      </c>
      <c r="N23" s="19">
        <f t="shared" si="9"/>
        <v>1.7824390887415671E-3</v>
      </c>
      <c r="O23" s="20">
        <f t="shared" si="10"/>
        <v>0.20971750317591961</v>
      </c>
      <c r="P23" s="21">
        <f t="shared" si="11"/>
        <v>217.80220440106598</v>
      </c>
      <c r="Q23" s="21">
        <f t="shared" si="12"/>
        <v>45.676934493202843</v>
      </c>
      <c r="R23" s="10">
        <v>215.56</v>
      </c>
      <c r="S23" s="10">
        <v>219.35</v>
      </c>
      <c r="T23" s="10">
        <v>47</v>
      </c>
      <c r="U23" s="10">
        <v>22833782</v>
      </c>
      <c r="V23" s="10">
        <v>29399514</v>
      </c>
    </row>
    <row r="24" spans="1:23">
      <c r="A24" s="122" t="s">
        <v>50</v>
      </c>
      <c r="B24" s="122"/>
      <c r="C24" s="122"/>
      <c r="D24" s="122"/>
      <c r="E24" s="122"/>
      <c r="F24" s="122"/>
      <c r="G24" s="122"/>
      <c r="H24" s="122"/>
      <c r="I24" s="33">
        <f>SUM(I5:I23)</f>
        <v>47822839795.400009</v>
      </c>
      <c r="J24" s="34">
        <f>(I24/$I$229)</f>
        <v>8.1714290366210907E-3</v>
      </c>
      <c r="K24" s="57">
        <f>SUM(K5:K23)</f>
        <v>66406113220.960007</v>
      </c>
      <c r="L24" s="34">
        <f>(K24/$K$229)</f>
        <v>1.0505793774625108E-2</v>
      </c>
      <c r="M24" s="34">
        <f t="shared" si="1"/>
        <v>0.38858573654481071</v>
      </c>
      <c r="N24" s="19"/>
      <c r="O24" s="19"/>
      <c r="P24" s="35"/>
      <c r="Q24" s="35"/>
      <c r="R24" s="36"/>
      <c r="S24" s="36"/>
      <c r="T24" s="36">
        <f>SUM(T5:T23)</f>
        <v>53890</v>
      </c>
      <c r="U24" s="36"/>
      <c r="V24" s="36"/>
    </row>
    <row r="25" spans="1:23" ht="6" customHeigh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5"/>
    </row>
    <row r="26" spans="1:23">
      <c r="A26" s="121" t="s">
        <v>51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3" ht="12.9" customHeight="1">
      <c r="A27" s="86">
        <v>20</v>
      </c>
      <c r="B27" s="18" t="s">
        <v>52</v>
      </c>
      <c r="C27" s="18" t="s">
        <v>21</v>
      </c>
      <c r="D27" s="17">
        <v>3915838848.79</v>
      </c>
      <c r="E27" s="17">
        <v>64751086.68</v>
      </c>
      <c r="F27" s="17">
        <v>0</v>
      </c>
      <c r="G27" s="17">
        <v>7362356.5999999996</v>
      </c>
      <c r="H27" s="12">
        <f>(E27+F27)-G27</f>
        <v>57388730.079999998</v>
      </c>
      <c r="I27" s="44">
        <v>3691488696.2199998</v>
      </c>
      <c r="J27" s="13">
        <f t="shared" ref="J27:J67" si="14">(I27/$I$68)</f>
        <v>1.1662013833523793E-3</v>
      </c>
      <c r="K27" s="44">
        <v>3864744078.5999999</v>
      </c>
      <c r="L27" s="13">
        <f t="shared" ref="L27" si="15">(K27/$K$68)</f>
        <v>1.1084047817678277E-3</v>
      </c>
      <c r="M27" s="13">
        <f t="shared" ref="M27:M68" si="16">((K27-I27)/I27)</f>
        <v>4.6933743169093184E-2</v>
      </c>
      <c r="N27" s="19">
        <f t="shared" ref="N27" si="17">(G27/K27)</f>
        <v>1.9050049499440612E-3</v>
      </c>
      <c r="O27" s="20">
        <f t="shared" ref="O27" si="18">H27/K27</f>
        <v>1.4849296334464924E-2</v>
      </c>
      <c r="P27" s="23">
        <f t="shared" ref="P27" si="19">K27/V27</f>
        <v>100.29389689000858</v>
      </c>
      <c r="Q27" s="23">
        <f t="shared" ref="Q27" si="20">H27/V27</f>
        <v>1.4892937954580074</v>
      </c>
      <c r="R27" s="10">
        <v>100</v>
      </c>
      <c r="S27" s="10">
        <v>100</v>
      </c>
      <c r="T27" s="10">
        <v>868</v>
      </c>
      <c r="U27" s="17">
        <v>36827460</v>
      </c>
      <c r="V27" s="17">
        <v>38534190</v>
      </c>
    </row>
    <row r="28" spans="1:23" ht="15" customHeight="1">
      <c r="A28" s="86">
        <v>21</v>
      </c>
      <c r="B28" s="18" t="s">
        <v>53</v>
      </c>
      <c r="C28" s="18" t="s">
        <v>54</v>
      </c>
      <c r="D28" s="17">
        <v>23135991285.73</v>
      </c>
      <c r="E28" s="17">
        <v>439451271.97000003</v>
      </c>
      <c r="F28" s="17">
        <v>0</v>
      </c>
      <c r="G28" s="17">
        <v>37209069.399999999</v>
      </c>
      <c r="H28" s="12">
        <f t="shared" ref="H28:H67" si="21">(E28+F28)-G28</f>
        <v>402242202.57000005</v>
      </c>
      <c r="I28" s="44">
        <v>22182740843.5</v>
      </c>
      <c r="J28" s="13">
        <f t="shared" si="14"/>
        <v>7.0078890082277238E-3</v>
      </c>
      <c r="K28" s="44">
        <v>23482902115.16</v>
      </c>
      <c r="L28" s="13">
        <f t="shared" ref="L28:L67" si="22">(K28/$K$68)</f>
        <v>6.7348731157531134E-3</v>
      </c>
      <c r="M28" s="13">
        <f t="shared" ref="M28:M67" si="23">((K28-I28)/I28)</f>
        <v>5.8611389856315879E-2</v>
      </c>
      <c r="N28" s="19">
        <f t="shared" ref="N28:N67" si="24">(G28/K28)</f>
        <v>1.5845175020330522E-3</v>
      </c>
      <c r="O28" s="20">
        <f t="shared" ref="O28:O67" si="25">H28/K28</f>
        <v>1.7129152120866787E-2</v>
      </c>
      <c r="P28" s="23">
        <f t="shared" ref="P28:P67" si="26">K28/V28</f>
        <v>101.92392685881038</v>
      </c>
      <c r="Q28" s="23">
        <f t="shared" ref="Q28:Q67" si="27">H28/V28</f>
        <v>1.745870447920663</v>
      </c>
      <c r="R28" s="10">
        <v>100</v>
      </c>
      <c r="S28" s="10">
        <v>100</v>
      </c>
      <c r="T28" s="10">
        <v>3110</v>
      </c>
      <c r="U28" s="17">
        <v>211515385.84</v>
      </c>
      <c r="V28" s="17">
        <v>230396363.63</v>
      </c>
    </row>
    <row r="29" spans="1:23">
      <c r="A29" s="86">
        <v>22</v>
      </c>
      <c r="B29" s="18" t="s">
        <v>55</v>
      </c>
      <c r="C29" s="18" t="s">
        <v>23</v>
      </c>
      <c r="D29" s="17">
        <v>2228677954.6399999</v>
      </c>
      <c r="E29" s="17">
        <v>38659592.969999999</v>
      </c>
      <c r="F29" s="17">
        <v>0</v>
      </c>
      <c r="G29" s="17">
        <v>2974782.62</v>
      </c>
      <c r="H29" s="12">
        <f t="shared" si="21"/>
        <v>35684810.350000001</v>
      </c>
      <c r="I29" s="44">
        <v>2296306554.4299998</v>
      </c>
      <c r="J29" s="13">
        <f t="shared" si="14"/>
        <v>7.2544062863298686E-4</v>
      </c>
      <c r="K29" s="44">
        <v>2280384979.9200001</v>
      </c>
      <c r="L29" s="13">
        <f t="shared" si="22"/>
        <v>6.5401215827219194E-4</v>
      </c>
      <c r="M29" s="13">
        <f t="shared" si="23"/>
        <v>-6.9335579255670769E-3</v>
      </c>
      <c r="N29" s="19">
        <f t="shared" si="24"/>
        <v>1.3045089518631896E-3</v>
      </c>
      <c r="O29" s="20">
        <f t="shared" si="25"/>
        <v>1.5648590331993804E-2</v>
      </c>
      <c r="P29" s="23">
        <f t="shared" si="26"/>
        <v>146.18084235095975</v>
      </c>
      <c r="Q29" s="23">
        <f t="shared" si="27"/>
        <v>2.2875241163359394</v>
      </c>
      <c r="R29" s="10">
        <v>100</v>
      </c>
      <c r="S29" s="10">
        <v>100</v>
      </c>
      <c r="T29" s="10">
        <v>1658</v>
      </c>
      <c r="U29" s="17">
        <v>15155535.84</v>
      </c>
      <c r="V29" s="17">
        <v>15599752.630000001</v>
      </c>
    </row>
    <row r="30" spans="1:23">
      <c r="A30" s="86">
        <v>23</v>
      </c>
      <c r="B30" s="18" t="s">
        <v>56</v>
      </c>
      <c r="C30" s="70" t="s">
        <v>57</v>
      </c>
      <c r="D30" s="17">
        <v>100247435493.14</v>
      </c>
      <c r="E30" s="17">
        <v>4375999999.1199999</v>
      </c>
      <c r="F30" s="17">
        <v>0</v>
      </c>
      <c r="G30" s="17">
        <v>503290729.76999998</v>
      </c>
      <c r="H30" s="12">
        <f t="shared" si="21"/>
        <v>3872709269.3499999</v>
      </c>
      <c r="I30" s="44">
        <v>221547712698</v>
      </c>
      <c r="J30" s="13">
        <f t="shared" si="14"/>
        <v>6.9990529644998592E-2</v>
      </c>
      <c r="K30" s="44">
        <v>242804503454</v>
      </c>
      <c r="L30" s="13">
        <f t="shared" si="22"/>
        <v>6.9636091598765618E-2</v>
      </c>
      <c r="M30" s="13">
        <f t="shared" si="23"/>
        <v>9.5946784993334269E-2</v>
      </c>
      <c r="N30" s="19">
        <f t="shared" si="24"/>
        <v>2.0728228785317809E-3</v>
      </c>
      <c r="O30" s="20">
        <f t="shared" si="25"/>
        <v>1.5949907082690069E-2</v>
      </c>
      <c r="P30" s="23">
        <f t="shared" si="26"/>
        <v>1</v>
      </c>
      <c r="Q30" s="23">
        <f t="shared" si="27"/>
        <v>1.5949907082690069E-2</v>
      </c>
      <c r="R30" s="10">
        <v>1</v>
      </c>
      <c r="S30" s="10">
        <v>1</v>
      </c>
      <c r="T30" s="10">
        <v>72925</v>
      </c>
      <c r="U30" s="17">
        <v>221547712698</v>
      </c>
      <c r="V30" s="17">
        <v>242804503454</v>
      </c>
    </row>
    <row r="31" spans="1:23">
      <c r="A31" s="86">
        <v>24</v>
      </c>
      <c r="B31" s="18" t="s">
        <v>269</v>
      </c>
      <c r="C31" s="70" t="s">
        <v>100</v>
      </c>
      <c r="D31" s="17">
        <v>560880865.82000005</v>
      </c>
      <c r="E31" s="17">
        <v>19048046.920000002</v>
      </c>
      <c r="F31" s="17">
        <v>0</v>
      </c>
      <c r="G31" s="17">
        <v>2955968.87</v>
      </c>
      <c r="H31" s="12">
        <f t="shared" si="21"/>
        <v>16092078.050000001</v>
      </c>
      <c r="I31" s="44">
        <v>879223865.69000006</v>
      </c>
      <c r="J31" s="13">
        <f t="shared" si="14"/>
        <v>2.7776113455095822E-4</v>
      </c>
      <c r="K31" s="44">
        <v>1080196164.1300001</v>
      </c>
      <c r="L31" s="13">
        <f t="shared" si="22"/>
        <v>3.0979919218937681E-4</v>
      </c>
      <c r="M31" s="13">
        <f t="shared" si="23"/>
        <v>0.22857921205571505</v>
      </c>
      <c r="N31" s="19">
        <f t="shared" si="24"/>
        <v>2.7365111709878776E-3</v>
      </c>
      <c r="O31" s="20">
        <f t="shared" si="25"/>
        <v>1.489736640840667E-2</v>
      </c>
      <c r="P31" s="23">
        <f t="shared" si="26"/>
        <v>0.93732692353956082</v>
      </c>
      <c r="Q31" s="23">
        <f t="shared" si="27"/>
        <v>1.396370262443342E-2</v>
      </c>
      <c r="R31" s="10">
        <v>1</v>
      </c>
      <c r="S31" s="10">
        <v>1</v>
      </c>
      <c r="T31" s="10">
        <v>306</v>
      </c>
      <c r="U31" s="17">
        <v>921454657</v>
      </c>
      <c r="V31" s="17">
        <v>1152421996</v>
      </c>
    </row>
    <row r="32" spans="1:23" ht="15" customHeight="1">
      <c r="A32" s="86">
        <v>25</v>
      </c>
      <c r="B32" s="18" t="s">
        <v>58</v>
      </c>
      <c r="C32" s="18" t="s">
        <v>27</v>
      </c>
      <c r="D32" s="17">
        <v>50873724104.949997</v>
      </c>
      <c r="E32" s="17">
        <v>2370007852.3000002</v>
      </c>
      <c r="F32" s="17">
        <v>0</v>
      </c>
      <c r="G32" s="17">
        <v>194210575.78999999</v>
      </c>
      <c r="H32" s="12">
        <f t="shared" si="21"/>
        <v>2175797276.5100002</v>
      </c>
      <c r="I32" s="44">
        <v>128856848152.92</v>
      </c>
      <c r="J32" s="13">
        <f t="shared" si="14"/>
        <v>4.0707976357678935E-2</v>
      </c>
      <c r="K32" s="44">
        <v>134063486431.32001</v>
      </c>
      <c r="L32" s="13">
        <f t="shared" si="22"/>
        <v>3.8449275398015584E-2</v>
      </c>
      <c r="M32" s="13">
        <f t="shared" si="23"/>
        <v>4.0406376168855736E-2</v>
      </c>
      <c r="N32" s="19">
        <f t="shared" si="24"/>
        <v>1.4486463164561441E-3</v>
      </c>
      <c r="O32" s="20">
        <f t="shared" si="25"/>
        <v>1.6229603857308674E-2</v>
      </c>
      <c r="P32" s="23">
        <f t="shared" si="26"/>
        <v>1.0163846582865308</v>
      </c>
      <c r="Q32" s="23">
        <f t="shared" si="27"/>
        <v>1.6495520370636438E-2</v>
      </c>
      <c r="R32" s="10">
        <v>1</v>
      </c>
      <c r="S32" s="10">
        <v>1</v>
      </c>
      <c r="T32" s="10">
        <v>34875</v>
      </c>
      <c r="U32" s="17">
        <v>123289015527.45</v>
      </c>
      <c r="V32" s="17">
        <v>131902312120.03</v>
      </c>
    </row>
    <row r="33" spans="1:22" ht="15" customHeight="1">
      <c r="A33" s="86">
        <v>26</v>
      </c>
      <c r="B33" s="18" t="s">
        <v>264</v>
      </c>
      <c r="C33" s="18" t="s">
        <v>102</v>
      </c>
      <c r="D33" s="17">
        <v>8541010053.2200003</v>
      </c>
      <c r="E33" s="17">
        <v>138370175.72999999</v>
      </c>
      <c r="F33" s="17">
        <v>0</v>
      </c>
      <c r="G33" s="17">
        <v>11811527.43</v>
      </c>
      <c r="H33" s="12">
        <f t="shared" si="21"/>
        <v>126558648.29999998</v>
      </c>
      <c r="I33" s="44">
        <v>6784483347.3599997</v>
      </c>
      <c r="J33" s="13">
        <f t="shared" si="14"/>
        <v>2.1433287532816223E-3</v>
      </c>
      <c r="K33" s="44">
        <v>8741856937.3600006</v>
      </c>
      <c r="L33" s="13">
        <f t="shared" si="22"/>
        <v>2.5071559290441039E-3</v>
      </c>
      <c r="M33" s="13">
        <f t="shared" si="23"/>
        <v>0.28850739102508971</v>
      </c>
      <c r="N33" s="19">
        <f t="shared" si="24"/>
        <v>1.3511462741424164E-3</v>
      </c>
      <c r="O33" s="20">
        <f t="shared" si="25"/>
        <v>1.4477318629995801E-2</v>
      </c>
      <c r="P33" s="23">
        <f t="shared" si="26"/>
        <v>1</v>
      </c>
      <c r="Q33" s="23">
        <f t="shared" si="27"/>
        <v>1.4477318629995801E-2</v>
      </c>
      <c r="R33" s="10">
        <v>1</v>
      </c>
      <c r="S33" s="10">
        <v>1</v>
      </c>
      <c r="T33" s="10">
        <v>1030</v>
      </c>
      <c r="U33" s="17">
        <v>6784483347.3599997</v>
      </c>
      <c r="V33" s="17">
        <v>8741856937.3600006</v>
      </c>
    </row>
    <row r="34" spans="1:22">
      <c r="A34" s="86">
        <v>27</v>
      </c>
      <c r="B34" s="70" t="s">
        <v>259</v>
      </c>
      <c r="C34" s="70" t="s">
        <v>43</v>
      </c>
      <c r="D34" s="17">
        <v>30581607526.34</v>
      </c>
      <c r="E34" s="17">
        <v>480459268.69</v>
      </c>
      <c r="F34" s="17">
        <v>0</v>
      </c>
      <c r="G34" s="17">
        <v>45500590.649999999</v>
      </c>
      <c r="H34" s="12">
        <f t="shared" si="21"/>
        <v>434958678.04000002</v>
      </c>
      <c r="I34" s="44">
        <v>25201548689.25</v>
      </c>
      <c r="J34" s="13">
        <f t="shared" si="14"/>
        <v>7.9615795584368071E-3</v>
      </c>
      <c r="K34" s="44">
        <v>25201548689.25</v>
      </c>
      <c r="L34" s="13">
        <f t="shared" si="22"/>
        <v>7.2277792544644566E-3</v>
      </c>
      <c r="M34" s="13">
        <f t="shared" si="23"/>
        <v>0</v>
      </c>
      <c r="N34" s="19">
        <f t="shared" si="24"/>
        <v>1.8054680373436249E-3</v>
      </c>
      <c r="O34" s="20">
        <f t="shared" si="25"/>
        <v>1.7259204321262069E-2</v>
      </c>
      <c r="P34" s="23">
        <f t="shared" si="26"/>
        <v>83.707115448165268</v>
      </c>
      <c r="Q34" s="23">
        <f t="shared" si="27"/>
        <v>1.4447182086633568</v>
      </c>
      <c r="R34" s="10">
        <v>100</v>
      </c>
      <c r="S34" s="10">
        <v>100</v>
      </c>
      <c r="T34" s="10">
        <v>3866</v>
      </c>
      <c r="U34" s="17">
        <v>252015486.88</v>
      </c>
      <c r="V34" s="17">
        <v>301068177.47000003</v>
      </c>
    </row>
    <row r="35" spans="1:22">
      <c r="A35" s="86">
        <v>28</v>
      </c>
      <c r="B35" s="24" t="s">
        <v>213</v>
      </c>
      <c r="C35" s="24" t="s">
        <v>214</v>
      </c>
      <c r="D35" s="17">
        <v>1333365557.99</v>
      </c>
      <c r="E35" s="17">
        <v>46560862.020000003</v>
      </c>
      <c r="F35" s="17">
        <v>0</v>
      </c>
      <c r="G35" s="17">
        <v>1621848.86</v>
      </c>
      <c r="H35" s="12">
        <f t="shared" si="21"/>
        <v>44939013.160000004</v>
      </c>
      <c r="I35" s="44">
        <v>1354302361.74</v>
      </c>
      <c r="J35" s="13">
        <f t="shared" si="14"/>
        <v>4.278461666036906E-4</v>
      </c>
      <c r="K35" s="44">
        <v>1297558731.3499999</v>
      </c>
      <c r="L35" s="13">
        <f t="shared" si="22"/>
        <v>3.7213856162344647E-4</v>
      </c>
      <c r="M35" s="13">
        <f t="shared" si="23"/>
        <v>-4.1898790102600288E-2</v>
      </c>
      <c r="N35" s="19">
        <f t="shared" si="24"/>
        <v>1.2499232757754277E-3</v>
      </c>
      <c r="O35" s="20">
        <f t="shared" si="25"/>
        <v>3.4633509893802469E-2</v>
      </c>
      <c r="P35" s="23">
        <f t="shared" si="26"/>
        <v>1.0123694020696734</v>
      </c>
      <c r="Q35" s="23">
        <f t="shared" si="27"/>
        <v>3.5061905702762922E-2</v>
      </c>
      <c r="R35" s="10">
        <v>1</v>
      </c>
      <c r="S35" s="10">
        <v>1</v>
      </c>
      <c r="T35" s="10">
        <v>496</v>
      </c>
      <c r="U35" s="17">
        <f>1281704809.23-541480338.58+603945813.45</f>
        <v>1344170284.0999999</v>
      </c>
      <c r="V35" s="17">
        <v>1281704809.23</v>
      </c>
    </row>
    <row r="36" spans="1:22">
      <c r="A36" s="86">
        <v>29</v>
      </c>
      <c r="B36" s="18" t="s">
        <v>229</v>
      </c>
      <c r="C36" s="18" t="s">
        <v>59</v>
      </c>
      <c r="D36" s="17">
        <v>66020933917.940002</v>
      </c>
      <c r="E36" s="17">
        <v>1224347860.5699999</v>
      </c>
      <c r="F36" s="17">
        <v>0</v>
      </c>
      <c r="G36" s="17">
        <v>106781137.84999999</v>
      </c>
      <c r="H36" s="12">
        <f t="shared" si="21"/>
        <v>1117566722.72</v>
      </c>
      <c r="I36" s="44">
        <v>60934412998.870003</v>
      </c>
      <c r="J36" s="13">
        <f t="shared" si="14"/>
        <v>1.9250173190510665E-2</v>
      </c>
      <c r="K36" s="44">
        <v>64683303359.910004</v>
      </c>
      <c r="L36" s="13">
        <f t="shared" si="22"/>
        <v>1.8551107469614081E-2</v>
      </c>
      <c r="M36" s="13">
        <f t="shared" si="23"/>
        <v>6.1523368758955997E-2</v>
      </c>
      <c r="N36" s="19">
        <f t="shared" si="24"/>
        <v>1.6508300025409922E-3</v>
      </c>
      <c r="O36" s="20">
        <f t="shared" si="25"/>
        <v>1.7277514670233363E-2</v>
      </c>
      <c r="P36" s="23">
        <f t="shared" si="26"/>
        <v>99.999999999860862</v>
      </c>
      <c r="Q36" s="23">
        <f t="shared" si="27"/>
        <v>1.7277514670209322</v>
      </c>
      <c r="R36" s="10">
        <v>100</v>
      </c>
      <c r="S36" s="10">
        <v>100</v>
      </c>
      <c r="T36" s="10">
        <v>4870</v>
      </c>
      <c r="U36" s="17">
        <v>609344132.54999995</v>
      </c>
      <c r="V36" s="17">
        <v>646833033.60000002</v>
      </c>
    </row>
    <row r="37" spans="1:22">
      <c r="A37" s="86">
        <v>30</v>
      </c>
      <c r="B37" s="18" t="s">
        <v>60</v>
      </c>
      <c r="C37" s="18" t="s">
        <v>61</v>
      </c>
      <c r="D37" s="17">
        <v>11681001695.65</v>
      </c>
      <c r="E37" s="17">
        <v>541300154.15999997</v>
      </c>
      <c r="F37" s="17">
        <v>0</v>
      </c>
      <c r="G37" s="17">
        <v>36459127.280000001</v>
      </c>
      <c r="H37" s="12">
        <f t="shared" si="21"/>
        <v>504841026.88</v>
      </c>
      <c r="I37" s="44">
        <v>38566698800</v>
      </c>
      <c r="J37" s="13">
        <f t="shared" si="14"/>
        <v>1.2183848087615573E-2</v>
      </c>
      <c r="K37" s="44">
        <v>27039394000</v>
      </c>
      <c r="L37" s="13">
        <f t="shared" si="22"/>
        <v>7.7548714730319556E-3</v>
      </c>
      <c r="M37" s="13">
        <f t="shared" si="23"/>
        <v>-0.29889270170046289</v>
      </c>
      <c r="N37" s="19">
        <f t="shared" si="24"/>
        <v>1.348370724580588E-3</v>
      </c>
      <c r="O37" s="20">
        <f t="shared" si="25"/>
        <v>1.8670574750306902E-2</v>
      </c>
      <c r="P37" s="23">
        <f t="shared" si="26"/>
        <v>100</v>
      </c>
      <c r="Q37" s="23">
        <f t="shared" si="27"/>
        <v>1.8670574750306903</v>
      </c>
      <c r="R37" s="10">
        <v>100</v>
      </c>
      <c r="S37" s="10">
        <v>100</v>
      </c>
      <c r="T37" s="10">
        <f>4870+186+99</f>
        <v>5155</v>
      </c>
      <c r="U37" s="17">
        <v>385666988</v>
      </c>
      <c r="V37" s="17">
        <v>270393940</v>
      </c>
    </row>
    <row r="38" spans="1:22">
      <c r="A38" s="86">
        <v>31</v>
      </c>
      <c r="B38" s="18" t="s">
        <v>62</v>
      </c>
      <c r="C38" s="18" t="s">
        <v>63</v>
      </c>
      <c r="D38" s="17">
        <v>36348953491.959999</v>
      </c>
      <c r="E38" s="17">
        <v>746639298.63999999</v>
      </c>
      <c r="F38" s="17">
        <v>0</v>
      </c>
      <c r="G38" s="17">
        <v>68773636.579999998</v>
      </c>
      <c r="H38" s="12">
        <f t="shared" si="21"/>
        <v>677865662.05999994</v>
      </c>
      <c r="I38" s="44">
        <v>28601633760.689999</v>
      </c>
      <c r="J38" s="13">
        <f t="shared" si="14"/>
        <v>9.0357217921349254E-3</v>
      </c>
      <c r="K38" s="44">
        <v>37248799113.68</v>
      </c>
      <c r="L38" s="13">
        <f t="shared" si="22"/>
        <v>1.0682918768496625E-2</v>
      </c>
      <c r="M38" s="13">
        <f t="shared" si="23"/>
        <v>0.30233116839901086</v>
      </c>
      <c r="N38" s="19">
        <f t="shared" si="24"/>
        <v>1.8463316460245877E-3</v>
      </c>
      <c r="O38" s="20">
        <f t="shared" si="25"/>
        <v>1.8198322581923099E-2</v>
      </c>
      <c r="P38" s="23">
        <f t="shared" si="26"/>
        <v>1.0028345777110708</v>
      </c>
      <c r="Q38" s="23">
        <f t="shared" si="27"/>
        <v>1.8249907141492699E-2</v>
      </c>
      <c r="R38" s="10">
        <v>1</v>
      </c>
      <c r="S38" s="10">
        <v>1</v>
      </c>
      <c r="T38" s="10">
        <v>6391</v>
      </c>
      <c r="U38" s="17">
        <v>28601633760.689999</v>
      </c>
      <c r="V38" s="17">
        <v>37143512939.790001</v>
      </c>
    </row>
    <row r="39" spans="1:22">
      <c r="A39" s="86">
        <v>32</v>
      </c>
      <c r="B39" s="18" t="s">
        <v>64</v>
      </c>
      <c r="C39" s="18" t="s">
        <v>65</v>
      </c>
      <c r="D39" s="17">
        <v>29805022308.740002</v>
      </c>
      <c r="E39" s="17">
        <v>628760695.74000001</v>
      </c>
      <c r="F39" s="17">
        <v>0</v>
      </c>
      <c r="G39" s="17">
        <v>113040533.76000001</v>
      </c>
      <c r="H39" s="12">
        <f t="shared" si="21"/>
        <v>515720161.98000002</v>
      </c>
      <c r="I39" s="44">
        <v>68788553326.330002</v>
      </c>
      <c r="J39" s="13">
        <f t="shared" si="14"/>
        <v>2.1731423999786253E-2</v>
      </c>
      <c r="K39" s="44">
        <v>75322713730.369995</v>
      </c>
      <c r="L39" s="13">
        <f t="shared" si="22"/>
        <v>2.16024798476992E-2</v>
      </c>
      <c r="M39" s="13">
        <f t="shared" si="23"/>
        <v>9.4989065594128883E-2</v>
      </c>
      <c r="N39" s="19">
        <f t="shared" si="24"/>
        <v>1.5007496167045592E-3</v>
      </c>
      <c r="O39" s="20">
        <f t="shared" si="25"/>
        <v>6.8468080402161943E-3</v>
      </c>
      <c r="P39" s="23">
        <f t="shared" si="26"/>
        <v>101.62524007473293</v>
      </c>
      <c r="Q39" s="23">
        <f t="shared" si="27"/>
        <v>0.69580851083258233</v>
      </c>
      <c r="R39" s="10">
        <v>100</v>
      </c>
      <c r="S39" s="10">
        <v>100</v>
      </c>
      <c r="T39" s="10">
        <v>7476</v>
      </c>
      <c r="U39" s="17">
        <v>681826867</v>
      </c>
      <c r="V39" s="17">
        <v>741181164</v>
      </c>
    </row>
    <row r="40" spans="1:22">
      <c r="A40" s="86">
        <v>33</v>
      </c>
      <c r="B40" s="18" t="s">
        <v>66</v>
      </c>
      <c r="C40" s="18" t="s">
        <v>65</v>
      </c>
      <c r="D40" s="17">
        <v>3566283170.1799998</v>
      </c>
      <c r="E40" s="17">
        <v>173795497.97</v>
      </c>
      <c r="F40" s="17">
        <v>0</v>
      </c>
      <c r="G40" s="17">
        <v>7346343.8899999997</v>
      </c>
      <c r="H40" s="12">
        <f>(E40+F40)-G40</f>
        <v>166449154.08000001</v>
      </c>
      <c r="I40" s="44">
        <v>6741633068.5799999</v>
      </c>
      <c r="J40" s="13">
        <f t="shared" si="14"/>
        <v>2.1297916525337746E-3</v>
      </c>
      <c r="K40" s="44">
        <v>10555564483.780001</v>
      </c>
      <c r="L40" s="13">
        <f t="shared" si="22"/>
        <v>3.0273254606599099E-3</v>
      </c>
      <c r="M40" s="13">
        <f t="shared" si="23"/>
        <v>0.56572812201470568</v>
      </c>
      <c r="N40" s="19">
        <f t="shared" si="24"/>
        <v>6.9596883248533169E-4</v>
      </c>
      <c r="O40" s="20">
        <f t="shared" si="25"/>
        <v>1.5768853890833674E-2</v>
      </c>
      <c r="P40" s="23">
        <f t="shared" si="26"/>
        <v>1013301.7647864069</v>
      </c>
      <c r="Q40" s="23">
        <f t="shared" si="27"/>
        <v>15978.607476240761</v>
      </c>
      <c r="R40" s="10">
        <v>1000000</v>
      </c>
      <c r="S40" s="10">
        <v>1000000</v>
      </c>
      <c r="T40" s="10">
        <v>64</v>
      </c>
      <c r="U40" s="17">
        <v>6658</v>
      </c>
      <c r="V40" s="17">
        <v>10417</v>
      </c>
    </row>
    <row r="41" spans="1:22">
      <c r="A41" s="86">
        <v>34</v>
      </c>
      <c r="B41" s="70" t="s">
        <v>67</v>
      </c>
      <c r="C41" s="70" t="s">
        <v>68</v>
      </c>
      <c r="D41" s="17">
        <v>5633390507.8199997</v>
      </c>
      <c r="E41" s="17">
        <v>100105868.22</v>
      </c>
      <c r="F41" s="17">
        <v>0</v>
      </c>
      <c r="G41" s="17">
        <v>6995587.0599999996</v>
      </c>
      <c r="H41" s="12">
        <f t="shared" si="21"/>
        <v>93110281.159999996</v>
      </c>
      <c r="I41" s="44">
        <v>4818489669.2200003</v>
      </c>
      <c r="J41" s="13">
        <f t="shared" si="14"/>
        <v>1.5222393403689894E-3</v>
      </c>
      <c r="K41" s="44">
        <v>5270282493.5900002</v>
      </c>
      <c r="L41" s="13">
        <f t="shared" si="22"/>
        <v>1.5115118099303857E-3</v>
      </c>
      <c r="M41" s="13">
        <f t="shared" si="23"/>
        <v>9.3762331225073367E-2</v>
      </c>
      <c r="N41" s="19">
        <f t="shared" si="24"/>
        <v>1.3273647225757646E-3</v>
      </c>
      <c r="O41" s="20">
        <f t="shared" si="25"/>
        <v>1.7667038014232767E-2</v>
      </c>
      <c r="P41" s="23">
        <f t="shared" si="26"/>
        <v>0.9705738010654511</v>
      </c>
      <c r="Q41" s="23">
        <f t="shared" si="27"/>
        <v>1.7147164239041716E-2</v>
      </c>
      <c r="R41" s="10">
        <v>1</v>
      </c>
      <c r="S41" s="10">
        <v>1</v>
      </c>
      <c r="T41" s="10">
        <v>991</v>
      </c>
      <c r="U41" s="17">
        <v>4828850120.3900003</v>
      </c>
      <c r="V41" s="17">
        <v>5430068777.6700001</v>
      </c>
    </row>
    <row r="42" spans="1:22">
      <c r="A42" s="86">
        <v>35</v>
      </c>
      <c r="B42" s="18" t="s">
        <v>69</v>
      </c>
      <c r="C42" s="18" t="s">
        <v>70</v>
      </c>
      <c r="D42" s="17">
        <v>11461070964.02</v>
      </c>
      <c r="E42" s="17">
        <v>42487603.829999998</v>
      </c>
      <c r="F42" s="17">
        <v>0</v>
      </c>
      <c r="G42" s="17">
        <v>2858871.43</v>
      </c>
      <c r="H42" s="12">
        <f>(E42+F42)-G42</f>
        <v>39628732.399999999</v>
      </c>
      <c r="I42" s="44">
        <v>2129855458.72</v>
      </c>
      <c r="J42" s="13">
        <f t="shared" si="14"/>
        <v>6.7285601736862325E-4</v>
      </c>
      <c r="K42" s="44">
        <v>2547353968.9200001</v>
      </c>
      <c r="L42" s="13">
        <f t="shared" si="22"/>
        <v>7.3057860044098769E-4</v>
      </c>
      <c r="M42" s="13">
        <f t="shared" si="23"/>
        <v>0.19602199223928002</v>
      </c>
      <c r="N42" s="19">
        <f t="shared" si="24"/>
        <v>1.1222906062058088E-3</v>
      </c>
      <c r="O42" s="20">
        <f t="shared" si="25"/>
        <v>1.5556822052806962E-2</v>
      </c>
      <c r="P42" s="23">
        <f t="shared" si="26"/>
        <v>0.87947639608311312</v>
      </c>
      <c r="Q42" s="23">
        <f t="shared" si="27"/>
        <v>1.3681857793508964E-2</v>
      </c>
      <c r="R42" s="10">
        <v>1</v>
      </c>
      <c r="S42" s="10">
        <v>1</v>
      </c>
      <c r="T42" s="10">
        <f>1337+42+20</f>
        <v>1399</v>
      </c>
      <c r="U42" s="17">
        <v>1843483776.96</v>
      </c>
      <c r="V42" s="17">
        <v>2896443816.1900001</v>
      </c>
    </row>
    <row r="43" spans="1:22">
      <c r="A43" s="86">
        <v>36</v>
      </c>
      <c r="B43" s="18" t="s">
        <v>71</v>
      </c>
      <c r="C43" s="18" t="s">
        <v>72</v>
      </c>
      <c r="D43" s="17">
        <v>580323315010.43994</v>
      </c>
      <c r="E43" s="17">
        <v>10636487829.790001</v>
      </c>
      <c r="F43" s="17">
        <v>0</v>
      </c>
      <c r="G43" s="17">
        <v>912260638.61000001</v>
      </c>
      <c r="H43" s="12">
        <f t="shared" ref="H43" si="28">(E43+F43)-G43</f>
        <v>9724227191.1800003</v>
      </c>
      <c r="I43" s="44">
        <v>526056237197.73999</v>
      </c>
      <c r="J43" s="13">
        <f t="shared" si="14"/>
        <v>0.16618973049256497</v>
      </c>
      <c r="K43" s="44">
        <v>569900635665.09998</v>
      </c>
      <c r="L43" s="13">
        <f t="shared" si="22"/>
        <v>0.16344693900987803</v>
      </c>
      <c r="M43" s="13">
        <f t="shared" si="23"/>
        <v>8.3345458844696213E-2</v>
      </c>
      <c r="N43" s="19">
        <f t="shared" si="24"/>
        <v>1.6007363065060462E-3</v>
      </c>
      <c r="O43" s="20">
        <f t="shared" si="25"/>
        <v>1.7063022187773811E-2</v>
      </c>
      <c r="P43" s="23">
        <f t="shared" si="26"/>
        <v>100.05505826995471</v>
      </c>
      <c r="Q43" s="23">
        <f t="shared" si="27"/>
        <v>1.7072416792592389</v>
      </c>
      <c r="R43" s="10">
        <v>100</v>
      </c>
      <c r="S43" s="10">
        <v>100</v>
      </c>
      <c r="T43" s="10">
        <v>33240</v>
      </c>
      <c r="U43" s="17">
        <v>5257451386</v>
      </c>
      <c r="V43" s="17">
        <v>5695870309</v>
      </c>
    </row>
    <row r="44" spans="1:22">
      <c r="A44" s="86">
        <v>37</v>
      </c>
      <c r="B44" s="18" t="s">
        <v>265</v>
      </c>
      <c r="C44" s="18" t="s">
        <v>266</v>
      </c>
      <c r="D44" s="17">
        <v>1878208495.5899999</v>
      </c>
      <c r="E44" s="17">
        <v>32949829.620000001</v>
      </c>
      <c r="F44" s="17">
        <v>0</v>
      </c>
      <c r="G44" s="17">
        <v>29628054.170000002</v>
      </c>
      <c r="H44" s="12">
        <f t="shared" si="21"/>
        <v>3321775.4499999993</v>
      </c>
      <c r="I44" s="44">
        <v>1740625364.9200001</v>
      </c>
      <c r="J44" s="13">
        <f t="shared" si="14"/>
        <v>5.4989189335634045E-4</v>
      </c>
      <c r="K44" s="44">
        <v>1825845502.22</v>
      </c>
      <c r="L44" s="13">
        <f t="shared" si="22"/>
        <v>5.2365068534189713E-4</v>
      </c>
      <c r="M44" s="13">
        <f t="shared" si="23"/>
        <v>4.8959494109128247E-2</v>
      </c>
      <c r="N44" s="19">
        <f t="shared" si="24"/>
        <v>1.6227032426333984E-2</v>
      </c>
      <c r="O44" s="20">
        <f t="shared" si="25"/>
        <v>1.819308066296483E-3</v>
      </c>
      <c r="P44" s="23">
        <f t="shared" si="26"/>
        <v>0.9389432514001449</v>
      </c>
      <c r="Q44" s="23">
        <f t="shared" si="27"/>
        <v>1.7082270310669302E-3</v>
      </c>
      <c r="R44" s="10">
        <v>1</v>
      </c>
      <c r="S44" s="10">
        <v>1</v>
      </c>
      <c r="T44" s="10">
        <v>318</v>
      </c>
      <c r="U44" s="17">
        <v>1779481390.21</v>
      </c>
      <c r="V44" s="17">
        <v>1944574924.52</v>
      </c>
    </row>
    <row r="45" spans="1:22" ht="16.95" customHeight="1">
      <c r="A45" s="86">
        <v>38</v>
      </c>
      <c r="B45" s="18" t="s">
        <v>73</v>
      </c>
      <c r="C45" s="18" t="s">
        <v>74</v>
      </c>
      <c r="D45" s="17">
        <v>1280033898.97</v>
      </c>
      <c r="E45" s="17">
        <v>20312923.239999998</v>
      </c>
      <c r="F45" s="17">
        <v>0</v>
      </c>
      <c r="G45" s="17">
        <v>1785781.83</v>
      </c>
      <c r="H45" s="12">
        <f t="shared" si="21"/>
        <v>18527141.409999996</v>
      </c>
      <c r="I45" s="44">
        <v>1137781141.7</v>
      </c>
      <c r="J45" s="13">
        <f t="shared" si="14"/>
        <v>3.5944358782988729E-4</v>
      </c>
      <c r="K45" s="44">
        <v>1255526135.1700001</v>
      </c>
      <c r="L45" s="13">
        <f t="shared" si="22"/>
        <v>3.6008365458471063E-4</v>
      </c>
      <c r="M45" s="13">
        <f t="shared" si="23"/>
        <v>0.10348650470166254</v>
      </c>
      <c r="N45" s="19">
        <f t="shared" si="24"/>
        <v>1.4223374408356721E-3</v>
      </c>
      <c r="O45" s="20">
        <f t="shared" si="25"/>
        <v>1.4756476102738709E-2</v>
      </c>
      <c r="P45" s="23">
        <f t="shared" si="26"/>
        <v>9.9608057408493966</v>
      </c>
      <c r="Q45" s="23">
        <f t="shared" si="27"/>
        <v>0.14698639187886667</v>
      </c>
      <c r="R45" s="10">
        <v>10</v>
      </c>
      <c r="S45" s="10">
        <v>10</v>
      </c>
      <c r="T45" s="10">
        <v>474</v>
      </c>
      <c r="U45" s="17">
        <v>114662590</v>
      </c>
      <c r="V45" s="17">
        <v>126046644</v>
      </c>
    </row>
    <row r="46" spans="1:22">
      <c r="A46" s="86">
        <v>39</v>
      </c>
      <c r="B46" s="18" t="s">
        <v>75</v>
      </c>
      <c r="C46" s="18" t="s">
        <v>279</v>
      </c>
      <c r="D46" s="17">
        <v>5236893061.5500002</v>
      </c>
      <c r="E46" s="17">
        <v>91970861.730000004</v>
      </c>
      <c r="F46" s="17">
        <v>0</v>
      </c>
      <c r="G46" s="17">
        <v>14601810.09</v>
      </c>
      <c r="H46" s="12">
        <f t="shared" si="21"/>
        <v>77369051.640000001</v>
      </c>
      <c r="I46" s="44">
        <v>7443369974.5900002</v>
      </c>
      <c r="J46" s="13">
        <f t="shared" si="14"/>
        <v>2.3514817667081101E-3</v>
      </c>
      <c r="K46" s="44">
        <v>7958393973.8599997</v>
      </c>
      <c r="L46" s="13">
        <f t="shared" si="22"/>
        <v>2.2824595254995854E-3</v>
      </c>
      <c r="M46" s="13">
        <f t="shared" si="23"/>
        <v>6.9192314909533745E-2</v>
      </c>
      <c r="N46" s="19">
        <f t="shared" si="24"/>
        <v>1.8347684392053028E-3</v>
      </c>
      <c r="O46" s="20">
        <f t="shared" si="25"/>
        <v>9.721691574220254E-3</v>
      </c>
      <c r="P46" s="23">
        <f t="shared" si="26"/>
        <v>101.29827557018731</v>
      </c>
      <c r="Q46" s="23">
        <f t="shared" si="27"/>
        <v>0.98479059209373132</v>
      </c>
      <c r="R46" s="10">
        <v>100</v>
      </c>
      <c r="S46" s="10">
        <v>100</v>
      </c>
      <c r="T46" s="10">
        <v>1812</v>
      </c>
      <c r="U46" s="17">
        <v>73290520</v>
      </c>
      <c r="V46" s="17">
        <v>78563963</v>
      </c>
    </row>
    <row r="47" spans="1:22">
      <c r="A47" s="86">
        <v>40</v>
      </c>
      <c r="B47" s="75" t="s">
        <v>249</v>
      </c>
      <c r="C47" s="75" t="s">
        <v>225</v>
      </c>
      <c r="D47" s="17">
        <v>102324461.01000001</v>
      </c>
      <c r="E47" s="17">
        <v>6721582.4800000004</v>
      </c>
      <c r="F47" s="17">
        <v>0</v>
      </c>
      <c r="G47" s="17">
        <v>152088.34</v>
      </c>
      <c r="H47" s="12">
        <f t="shared" si="21"/>
        <v>6569494.1400000006</v>
      </c>
      <c r="I47" s="44">
        <v>100288681.7</v>
      </c>
      <c r="J47" s="13">
        <f t="shared" si="14"/>
        <v>3.1682827432977799E-5</v>
      </c>
      <c r="K47" s="44">
        <f>98669919.01-206210.82</f>
        <v>98463708.190000013</v>
      </c>
      <c r="L47" s="13">
        <f t="shared" si="22"/>
        <v>2.8239294185793292E-5</v>
      </c>
      <c r="M47" s="13">
        <f t="shared" si="23"/>
        <v>-1.8197203104724731E-2</v>
      </c>
      <c r="N47" s="19">
        <f t="shared" si="24"/>
        <v>1.5446131655586592E-3</v>
      </c>
      <c r="O47" s="20">
        <f t="shared" si="25"/>
        <v>6.6719954598126741E-2</v>
      </c>
      <c r="P47" s="23">
        <f t="shared" si="26"/>
        <v>0.97973828271521302</v>
      </c>
      <c r="Q47" s="23">
        <f t="shared" si="27"/>
        <v>6.5368093740805669E-2</v>
      </c>
      <c r="R47" s="10">
        <v>1</v>
      </c>
      <c r="S47" s="10">
        <v>1</v>
      </c>
      <c r="T47" s="10">
        <v>92</v>
      </c>
      <c r="U47" s="17">
        <v>96040011</v>
      </c>
      <c r="V47" s="17">
        <v>100500011</v>
      </c>
    </row>
    <row r="48" spans="1:22">
      <c r="A48" s="86">
        <v>41</v>
      </c>
      <c r="B48" s="70" t="s">
        <v>267</v>
      </c>
      <c r="C48" s="70" t="s">
        <v>35</v>
      </c>
      <c r="D48" s="17">
        <v>536569459.88</v>
      </c>
      <c r="E48" s="17">
        <v>9766125.5199999996</v>
      </c>
      <c r="F48" s="17">
        <v>0</v>
      </c>
      <c r="G48" s="17">
        <v>1038465.1</v>
      </c>
      <c r="H48" s="12">
        <f t="shared" si="21"/>
        <v>8727660.4199999999</v>
      </c>
      <c r="I48" s="44">
        <v>447939362.04000002</v>
      </c>
      <c r="J48" s="13">
        <f t="shared" si="14"/>
        <v>1.4151133774402267E-4</v>
      </c>
      <c r="K48" s="44">
        <v>544219040.88999999</v>
      </c>
      <c r="L48" s="13">
        <f t="shared" si="22"/>
        <v>1.5608148301247699E-4</v>
      </c>
      <c r="M48" s="13">
        <f t="shared" si="23"/>
        <v>0.21493908999540523</v>
      </c>
      <c r="N48" s="19">
        <f t="shared" si="24"/>
        <v>1.9081748744066809E-3</v>
      </c>
      <c r="O48" s="20">
        <f t="shared" si="25"/>
        <v>1.603703612745162E-2</v>
      </c>
      <c r="P48" s="23">
        <f t="shared" si="26"/>
        <v>99.999999979787546</v>
      </c>
      <c r="Q48" s="23">
        <f t="shared" si="27"/>
        <v>1.603703612421014</v>
      </c>
      <c r="R48" s="10">
        <v>100</v>
      </c>
      <c r="S48" s="10">
        <v>100</v>
      </c>
      <c r="T48" s="10">
        <v>3611</v>
      </c>
      <c r="U48" s="17">
        <v>4479393.62</v>
      </c>
      <c r="V48" s="17">
        <v>5442190.4100000001</v>
      </c>
    </row>
    <row r="49" spans="1:22">
      <c r="A49" s="86">
        <v>42</v>
      </c>
      <c r="B49" s="70" t="s">
        <v>77</v>
      </c>
      <c r="C49" s="70" t="s">
        <v>35</v>
      </c>
      <c r="D49" s="17">
        <v>125773298074.60001</v>
      </c>
      <c r="E49" s="17">
        <v>2099205803.8599999</v>
      </c>
      <c r="F49" s="17">
        <v>0</v>
      </c>
      <c r="G49" s="17">
        <v>126358019.04000001</v>
      </c>
      <c r="H49" s="12">
        <f t="shared" si="21"/>
        <v>1972847784.8199999</v>
      </c>
      <c r="I49" s="44">
        <v>99651330273.199997</v>
      </c>
      <c r="J49" s="13">
        <f t="shared" si="14"/>
        <v>3.1481477739999764E-2</v>
      </c>
      <c r="K49" s="44">
        <v>122346707222.78999</v>
      </c>
      <c r="L49" s="13">
        <f t="shared" si="22"/>
        <v>3.5088914702060513E-2</v>
      </c>
      <c r="M49" s="13">
        <f t="shared" si="23"/>
        <v>0.22774785732783778</v>
      </c>
      <c r="N49" s="19">
        <f t="shared" si="24"/>
        <v>1.0327864305322539E-3</v>
      </c>
      <c r="O49" s="20">
        <f t="shared" si="25"/>
        <v>1.6125058283975705E-2</v>
      </c>
      <c r="P49" s="23">
        <f t="shared" si="26"/>
        <v>99.999999999828347</v>
      </c>
      <c r="Q49" s="23">
        <f t="shared" si="27"/>
        <v>1.6125058283948026</v>
      </c>
      <c r="R49" s="10">
        <v>100</v>
      </c>
      <c r="S49" s="10">
        <v>100</v>
      </c>
      <c r="T49" s="10">
        <v>14011</v>
      </c>
      <c r="U49" s="17">
        <v>996513302.73000002</v>
      </c>
      <c r="V49" s="17">
        <v>1223467072.23</v>
      </c>
    </row>
    <row r="50" spans="1:22">
      <c r="A50" s="86">
        <v>43</v>
      </c>
      <c r="B50" s="18" t="s">
        <v>78</v>
      </c>
      <c r="C50" s="18" t="s">
        <v>37</v>
      </c>
      <c r="D50" s="17">
        <v>26488104998</v>
      </c>
      <c r="E50" s="17">
        <v>483443320.76999998</v>
      </c>
      <c r="F50" s="17">
        <v>0</v>
      </c>
      <c r="G50" s="17">
        <v>33095933.41</v>
      </c>
      <c r="H50" s="12">
        <f t="shared" si="21"/>
        <v>450347387.35999995</v>
      </c>
      <c r="I50" s="44">
        <v>22009195615.389999</v>
      </c>
      <c r="J50" s="13">
        <f t="shared" si="14"/>
        <v>6.9530632450326936E-3</v>
      </c>
      <c r="K50" s="44">
        <v>26389746218.740002</v>
      </c>
      <c r="L50" s="13">
        <f t="shared" si="22"/>
        <v>7.5685531314888107E-3</v>
      </c>
      <c r="M50" s="13">
        <f t="shared" si="23"/>
        <v>0.19903274430833304</v>
      </c>
      <c r="N50" s="19">
        <f t="shared" si="24"/>
        <v>1.2541209428720377E-3</v>
      </c>
      <c r="O50" s="20">
        <f t="shared" si="25"/>
        <v>1.7065241311043654E-2</v>
      </c>
      <c r="P50" s="23">
        <f t="shared" si="26"/>
        <v>0.99954334268937572</v>
      </c>
      <c r="Q50" s="23">
        <f t="shared" si="27"/>
        <v>1.7057448343841399E-2</v>
      </c>
      <c r="R50" s="10">
        <v>1</v>
      </c>
      <c r="S50" s="10">
        <v>1</v>
      </c>
      <c r="T50" s="10">
        <v>2062</v>
      </c>
      <c r="U50" s="17">
        <v>22014399667</v>
      </c>
      <c r="V50" s="17">
        <v>26401802795</v>
      </c>
    </row>
    <row r="51" spans="1:22">
      <c r="A51" s="86">
        <v>44</v>
      </c>
      <c r="B51" s="18" t="s">
        <v>275</v>
      </c>
      <c r="C51" s="70" t="s">
        <v>276</v>
      </c>
      <c r="D51" s="17">
        <v>1499665204.9300001</v>
      </c>
      <c r="E51" s="17">
        <v>61858816.329999998</v>
      </c>
      <c r="F51" s="17"/>
      <c r="G51" s="17">
        <v>4142954.56</v>
      </c>
      <c r="H51" s="12">
        <f t="shared" si="21"/>
        <v>57715861.769999996</v>
      </c>
      <c r="I51" s="44">
        <v>1996535221.21</v>
      </c>
      <c r="J51" s="13">
        <f t="shared" si="14"/>
        <v>6.3073798364086573E-4</v>
      </c>
      <c r="K51" s="44">
        <v>2690667861.98</v>
      </c>
      <c r="L51" s="13">
        <f t="shared" si="22"/>
        <v>7.7168088331685928E-4</v>
      </c>
      <c r="M51" s="13">
        <f t="shared" si="23"/>
        <v>0.3476686178114709</v>
      </c>
      <c r="N51" s="19">
        <f t="shared" si="24"/>
        <v>1.5397495241019068E-3</v>
      </c>
      <c r="O51" s="20">
        <f t="shared" si="25"/>
        <v>2.1450385083028507E-2</v>
      </c>
      <c r="P51" s="23">
        <f t="shared" si="26"/>
        <v>101.04719466253742</v>
      </c>
      <c r="Q51" s="23">
        <f t="shared" si="27"/>
        <v>2.1675012370711704</v>
      </c>
      <c r="R51" s="10">
        <v>100</v>
      </c>
      <c r="S51" s="10">
        <v>100</v>
      </c>
      <c r="T51" s="10">
        <v>179</v>
      </c>
      <c r="U51" s="17">
        <v>19105406.280000001</v>
      </c>
      <c r="V51" s="17">
        <v>26627833.370000001</v>
      </c>
    </row>
    <row r="52" spans="1:22">
      <c r="A52" s="86">
        <v>45</v>
      </c>
      <c r="B52" s="18" t="s">
        <v>79</v>
      </c>
      <c r="C52" s="18" t="s">
        <v>39</v>
      </c>
      <c r="D52" s="17">
        <v>49395960548.25</v>
      </c>
      <c r="E52" s="17">
        <v>1096794741.6500001</v>
      </c>
      <c r="F52" s="17">
        <v>0</v>
      </c>
      <c r="G52" s="17">
        <v>65663677.899999999</v>
      </c>
      <c r="H52" s="12">
        <f t="shared" si="21"/>
        <v>1031131063.7500001</v>
      </c>
      <c r="I52" s="44">
        <v>43562381094.349998</v>
      </c>
      <c r="J52" s="13">
        <f t="shared" si="14"/>
        <v>1.3762065463284533E-2</v>
      </c>
      <c r="K52" s="44">
        <v>48958415703.18</v>
      </c>
      <c r="L52" s="13">
        <f t="shared" si="22"/>
        <v>1.4041225232393532E-2</v>
      </c>
      <c r="M52" s="13">
        <f t="shared" si="23"/>
        <v>0.12386913830864638</v>
      </c>
      <c r="N52" s="19">
        <f t="shared" si="24"/>
        <v>1.341213292074215E-3</v>
      </c>
      <c r="O52" s="20">
        <f t="shared" si="25"/>
        <v>2.1061365016413817E-2</v>
      </c>
      <c r="P52" s="23">
        <f t="shared" si="26"/>
        <v>9.9928763280578909</v>
      </c>
      <c r="Q52" s="23">
        <f t="shared" si="27"/>
        <v>0.21046361590910823</v>
      </c>
      <c r="R52" s="10">
        <v>10</v>
      </c>
      <c r="S52" s="10">
        <v>10</v>
      </c>
      <c r="T52" s="10">
        <v>5877</v>
      </c>
      <c r="U52" s="17">
        <v>4356512188.8000002</v>
      </c>
      <c r="V52" s="17">
        <v>4899331693.4899998</v>
      </c>
    </row>
    <row r="53" spans="1:22" ht="14.1" customHeight="1">
      <c r="A53" s="86">
        <v>46</v>
      </c>
      <c r="B53" s="18" t="s">
        <v>80</v>
      </c>
      <c r="C53" s="18" t="s">
        <v>260</v>
      </c>
      <c r="D53" s="17">
        <v>9223316330.2600002</v>
      </c>
      <c r="E53" s="17">
        <v>422166283.17000002</v>
      </c>
      <c r="F53" s="17">
        <v>0</v>
      </c>
      <c r="G53" s="17">
        <v>30677197.710000001</v>
      </c>
      <c r="H53" s="12">
        <f t="shared" si="21"/>
        <v>391489085.46000004</v>
      </c>
      <c r="I53" s="44">
        <v>21123616736</v>
      </c>
      <c r="J53" s="13">
        <f t="shared" si="14"/>
        <v>6.6732944581826097E-3</v>
      </c>
      <c r="K53" s="44">
        <v>23516558736</v>
      </c>
      <c r="L53" s="13">
        <f t="shared" si="22"/>
        <v>6.7445258013432855E-3</v>
      </c>
      <c r="M53" s="13">
        <f t="shared" si="23"/>
        <v>0.11328277869773219</v>
      </c>
      <c r="N53" s="19">
        <f t="shared" si="24"/>
        <v>1.3044934870950415E-3</v>
      </c>
      <c r="O53" s="20">
        <f t="shared" si="25"/>
        <v>1.6647379825207774E-2</v>
      </c>
      <c r="P53" s="23">
        <f t="shared" si="26"/>
        <v>100.00000015308362</v>
      </c>
      <c r="Q53" s="23">
        <f t="shared" si="27"/>
        <v>1.6647379850692186</v>
      </c>
      <c r="R53" s="10">
        <v>100</v>
      </c>
      <c r="S53" s="10">
        <v>100</v>
      </c>
      <c r="T53" s="10">
        <f>4304+122+97</f>
        <v>4523</v>
      </c>
      <c r="U53" s="17">
        <v>211236167</v>
      </c>
      <c r="V53" s="17">
        <v>235165587</v>
      </c>
    </row>
    <row r="54" spans="1:22">
      <c r="A54" s="86">
        <v>47</v>
      </c>
      <c r="B54" s="18" t="s">
        <v>81</v>
      </c>
      <c r="C54" s="70" t="s">
        <v>82</v>
      </c>
      <c r="D54" s="17">
        <v>163404127.5</v>
      </c>
      <c r="E54" s="17">
        <v>4823625.03</v>
      </c>
      <c r="F54" s="17">
        <v>0</v>
      </c>
      <c r="G54" s="17">
        <v>4597646.83</v>
      </c>
      <c r="H54" s="12">
        <f t="shared" si="21"/>
        <v>225978.20000000019</v>
      </c>
      <c r="I54" s="44">
        <v>282165564.12</v>
      </c>
      <c r="J54" s="13">
        <f t="shared" si="14"/>
        <v>8.9140695879172093E-5</v>
      </c>
      <c r="K54" s="44">
        <v>286860759.31999999</v>
      </c>
      <c r="L54" s="13">
        <f t="shared" si="22"/>
        <v>8.2271382235228846E-5</v>
      </c>
      <c r="M54" s="13">
        <f t="shared" si="23"/>
        <v>1.6639858994286081E-2</v>
      </c>
      <c r="N54" s="19">
        <f t="shared" si="24"/>
        <v>1.6027451230689993E-2</v>
      </c>
      <c r="O54" s="20">
        <f t="shared" si="25"/>
        <v>7.8776267808702317E-4</v>
      </c>
      <c r="P54" s="23">
        <f t="shared" si="26"/>
        <v>0.99874709315786592</v>
      </c>
      <c r="Q54" s="23">
        <f t="shared" si="27"/>
        <v>7.8677568483767005E-4</v>
      </c>
      <c r="R54" s="10">
        <v>1</v>
      </c>
      <c r="S54" s="10">
        <v>1</v>
      </c>
      <c r="T54" s="10">
        <v>102</v>
      </c>
      <c r="U54" s="17">
        <v>282514890</v>
      </c>
      <c r="V54" s="17">
        <v>287220620</v>
      </c>
    </row>
    <row r="55" spans="1:22" ht="15" customHeight="1">
      <c r="A55" s="86">
        <v>48</v>
      </c>
      <c r="B55" s="70" t="s">
        <v>83</v>
      </c>
      <c r="C55" s="70" t="s">
        <v>41</v>
      </c>
      <c r="D55" s="17">
        <v>1612909444.26</v>
      </c>
      <c r="E55" s="17">
        <v>64404632.990000002</v>
      </c>
      <c r="F55" s="17">
        <v>0</v>
      </c>
      <c r="G55" s="17">
        <v>1982298.04</v>
      </c>
      <c r="H55" s="12">
        <f t="shared" si="21"/>
        <v>62422334.950000003</v>
      </c>
      <c r="I55" s="44">
        <v>1526120694.0699999</v>
      </c>
      <c r="J55" s="13">
        <f t="shared" si="14"/>
        <v>4.821263753047829E-4</v>
      </c>
      <c r="K55" s="44">
        <v>1681979815.21</v>
      </c>
      <c r="L55" s="13">
        <f t="shared" si="22"/>
        <v>4.8239014850656747E-4</v>
      </c>
      <c r="M55" s="13">
        <f t="shared" si="23"/>
        <v>0.10212765068032763</v>
      </c>
      <c r="N55" s="19">
        <f t="shared" si="24"/>
        <v>1.1785504332895364E-3</v>
      </c>
      <c r="O55" s="20">
        <f t="shared" si="25"/>
        <v>3.7112416204713131E-2</v>
      </c>
      <c r="P55" s="23">
        <f t="shared" si="26"/>
        <v>10.892246976328408</v>
      </c>
      <c r="Q55" s="23">
        <f t="shared" si="27"/>
        <v>0.40423760319002805</v>
      </c>
      <c r="R55" s="10">
        <v>10</v>
      </c>
      <c r="S55" s="10">
        <v>10</v>
      </c>
      <c r="T55" s="10">
        <v>840</v>
      </c>
      <c r="U55" s="17">
        <v>142420538.59999999</v>
      </c>
      <c r="V55" s="17">
        <v>154419911.59999999</v>
      </c>
    </row>
    <row r="56" spans="1:22" ht="15" customHeight="1">
      <c r="A56" s="86">
        <v>49</v>
      </c>
      <c r="B56" s="10" t="s">
        <v>208</v>
      </c>
      <c r="C56" s="10" t="s">
        <v>209</v>
      </c>
      <c r="D56" s="17">
        <v>595944174.92999995</v>
      </c>
      <c r="E56" s="17">
        <v>18526578.07</v>
      </c>
      <c r="F56" s="17">
        <v>0</v>
      </c>
      <c r="G56" s="17">
        <v>1687128.21</v>
      </c>
      <c r="H56" s="12">
        <f t="shared" si="21"/>
        <v>16839449.859999999</v>
      </c>
      <c r="I56" s="44">
        <v>928919975</v>
      </c>
      <c r="J56" s="13">
        <f t="shared" si="14"/>
        <v>2.9346094462592831E-4</v>
      </c>
      <c r="K56" s="44">
        <v>939815758</v>
      </c>
      <c r="L56" s="13">
        <f t="shared" si="22"/>
        <v>2.6953823046552388E-4</v>
      </c>
      <c r="M56" s="13">
        <f t="shared" si="23"/>
        <v>1.1729517389267035E-2</v>
      </c>
      <c r="N56" s="19">
        <f t="shared" si="24"/>
        <v>1.7951691016442821E-3</v>
      </c>
      <c r="O56" s="20">
        <f t="shared" si="25"/>
        <v>1.7917820292602499E-2</v>
      </c>
      <c r="P56" s="23">
        <f t="shared" si="26"/>
        <v>1</v>
      </c>
      <c r="Q56" s="23">
        <f t="shared" si="27"/>
        <v>1.7917820292602499E-2</v>
      </c>
      <c r="R56" s="10">
        <v>1</v>
      </c>
      <c r="S56" s="10">
        <v>1</v>
      </c>
      <c r="T56" s="10">
        <v>125</v>
      </c>
      <c r="U56" s="17">
        <v>928919975</v>
      </c>
      <c r="V56" s="17">
        <v>939815758</v>
      </c>
    </row>
    <row r="57" spans="1:22" ht="15" customHeight="1">
      <c r="A57" s="86">
        <v>50</v>
      </c>
      <c r="B57" s="10" t="s">
        <v>282</v>
      </c>
      <c r="C57" s="10" t="s">
        <v>281</v>
      </c>
      <c r="D57" s="17">
        <v>610091044.95000005</v>
      </c>
      <c r="E57" s="17">
        <v>11178305.77</v>
      </c>
      <c r="F57" s="17"/>
      <c r="G57" s="17"/>
      <c r="H57" s="12">
        <f t="shared" si="21"/>
        <v>11178305.77</v>
      </c>
      <c r="I57" s="44">
        <v>600058049.96000004</v>
      </c>
      <c r="J57" s="13">
        <f t="shared" si="14"/>
        <v>1.8956810802960082E-4</v>
      </c>
      <c r="K57" s="44">
        <v>734470604.02999997</v>
      </c>
      <c r="L57" s="13">
        <f t="shared" si="22"/>
        <v>2.1064544327335132E-4</v>
      </c>
      <c r="M57" s="13">
        <f t="shared" si="23"/>
        <v>0.22399925153734693</v>
      </c>
      <c r="N57" s="19">
        <f t="shared" si="24"/>
        <v>0</v>
      </c>
      <c r="O57" s="20">
        <f t="shared" si="25"/>
        <v>1.5219541406647521E-2</v>
      </c>
      <c r="P57" s="23">
        <f t="shared" si="26"/>
        <v>1</v>
      </c>
      <c r="Q57" s="23">
        <f t="shared" si="27"/>
        <v>1.5219541406647521E-2</v>
      </c>
      <c r="R57" s="10">
        <v>1</v>
      </c>
      <c r="S57" s="10">
        <v>1</v>
      </c>
      <c r="T57" s="10">
        <v>708</v>
      </c>
      <c r="U57" s="17">
        <v>600058049.96000004</v>
      </c>
      <c r="V57" s="17">
        <v>734470604.02999997</v>
      </c>
    </row>
    <row r="58" spans="1:22" ht="15" customHeight="1">
      <c r="A58" s="86">
        <v>51</v>
      </c>
      <c r="B58" s="75" t="s">
        <v>210</v>
      </c>
      <c r="C58" s="76" t="s">
        <v>211</v>
      </c>
      <c r="D58" s="17">
        <v>13587375363.5</v>
      </c>
      <c r="E58" s="17">
        <v>237887366.78</v>
      </c>
      <c r="F58" s="17">
        <v>0</v>
      </c>
      <c r="G58" s="17">
        <v>16477654.449999999</v>
      </c>
      <c r="H58" s="12">
        <f t="shared" si="21"/>
        <v>221409712.33000001</v>
      </c>
      <c r="I58" s="44">
        <v>11633257938.99</v>
      </c>
      <c r="J58" s="13">
        <f t="shared" si="14"/>
        <v>3.6751355937340944E-3</v>
      </c>
      <c r="K58" s="44">
        <v>13350664418.209999</v>
      </c>
      <c r="L58" s="13">
        <f t="shared" si="22"/>
        <v>3.8289573591331039E-3</v>
      </c>
      <c r="M58" s="13">
        <f t="shared" si="23"/>
        <v>0.14762902088364635</v>
      </c>
      <c r="N58" s="19">
        <f t="shared" si="24"/>
        <v>1.2342198061337576E-3</v>
      </c>
      <c r="O58" s="20">
        <f t="shared" si="25"/>
        <v>1.6584171798071881E-2</v>
      </c>
      <c r="P58" s="23">
        <f t="shared" si="26"/>
        <v>100.00220710149046</v>
      </c>
      <c r="Q58" s="23">
        <f t="shared" si="27"/>
        <v>1.6584537827574817</v>
      </c>
      <c r="R58" s="10">
        <v>100</v>
      </c>
      <c r="S58" s="10">
        <v>100</v>
      </c>
      <c r="T58" s="10">
        <v>133</v>
      </c>
      <c r="U58" s="17">
        <v>116292579.39</v>
      </c>
      <c r="V58" s="17">
        <v>133503697.62</v>
      </c>
    </row>
    <row r="59" spans="1:22" ht="15" customHeight="1">
      <c r="A59" s="86">
        <v>52</v>
      </c>
      <c r="B59" s="75" t="s">
        <v>212</v>
      </c>
      <c r="C59" s="76" t="s">
        <v>109</v>
      </c>
      <c r="D59" s="17">
        <f>32243115.34+33931627.4</f>
        <v>66174742.739999995</v>
      </c>
      <c r="E59" s="17">
        <v>1284317.5900000001</v>
      </c>
      <c r="F59" s="17">
        <v>0</v>
      </c>
      <c r="G59" s="17">
        <v>75527.070000000007</v>
      </c>
      <c r="H59" s="12">
        <f t="shared" si="21"/>
        <v>1208790.52</v>
      </c>
      <c r="I59" s="44">
        <v>65183867.149999999</v>
      </c>
      <c r="J59" s="13">
        <f t="shared" si="14"/>
        <v>2.0592644945771585E-5</v>
      </c>
      <c r="K59" s="44">
        <v>66240699.93</v>
      </c>
      <c r="L59" s="13">
        <f t="shared" si="22"/>
        <v>1.8997767266560295E-5</v>
      </c>
      <c r="M59" s="13">
        <f t="shared" si="23"/>
        <v>1.6213103428921082E-2</v>
      </c>
      <c r="N59" s="19">
        <f t="shared" si="24"/>
        <v>1.140191303531113E-3</v>
      </c>
      <c r="O59" s="20">
        <f t="shared" si="25"/>
        <v>1.8248456330887081E-2</v>
      </c>
      <c r="P59" s="23">
        <f t="shared" si="26"/>
        <v>1282.1690558039602</v>
      </c>
      <c r="Q59" s="23">
        <f t="shared" si="27"/>
        <v>23.397606023653292</v>
      </c>
      <c r="R59" s="10">
        <v>1000</v>
      </c>
      <c r="S59" s="10">
        <v>1000</v>
      </c>
      <c r="T59" s="10">
        <v>18</v>
      </c>
      <c r="U59" s="17">
        <v>51664</v>
      </c>
      <c r="V59" s="17">
        <v>51663</v>
      </c>
    </row>
    <row r="60" spans="1:22">
      <c r="A60" s="86">
        <v>53</v>
      </c>
      <c r="B60" s="18" t="s">
        <v>84</v>
      </c>
      <c r="C60" s="18" t="s">
        <v>45</v>
      </c>
      <c r="D60" s="17">
        <v>1692667027818.04</v>
      </c>
      <c r="E60" s="17">
        <v>30289246205.139999</v>
      </c>
      <c r="F60" s="17">
        <v>0</v>
      </c>
      <c r="G60" s="17">
        <v>2703896144.6100001</v>
      </c>
      <c r="H60" s="12">
        <f t="shared" si="21"/>
        <v>27585350060.529999</v>
      </c>
      <c r="I60" s="44">
        <v>1534109823218.1299</v>
      </c>
      <c r="J60" s="13">
        <f t="shared" si="14"/>
        <v>0.48465027128037408</v>
      </c>
      <c r="K60" s="44">
        <v>1694737852797.72</v>
      </c>
      <c r="L60" s="13">
        <f t="shared" si="22"/>
        <v>0.48604914107647784</v>
      </c>
      <c r="M60" s="13">
        <f t="shared" si="23"/>
        <v>0.10470438761850685</v>
      </c>
      <c r="N60" s="19">
        <f t="shared" si="24"/>
        <v>1.595465717689809E-3</v>
      </c>
      <c r="O60" s="20">
        <f t="shared" si="25"/>
        <v>1.627706020432089E-2</v>
      </c>
      <c r="P60" s="23">
        <f t="shared" si="26"/>
        <v>1</v>
      </c>
      <c r="Q60" s="23">
        <f t="shared" si="27"/>
        <v>1.627706020432089E-2</v>
      </c>
      <c r="R60" s="10">
        <v>100</v>
      </c>
      <c r="S60" s="10">
        <v>100</v>
      </c>
      <c r="T60" s="10">
        <v>204877</v>
      </c>
      <c r="U60" s="17">
        <v>1534109823218.1299</v>
      </c>
      <c r="V60" s="17">
        <v>1694737852797.72</v>
      </c>
    </row>
    <row r="61" spans="1:22">
      <c r="A61" s="86">
        <v>54</v>
      </c>
      <c r="B61" s="18" t="s">
        <v>290</v>
      </c>
      <c r="C61" s="18" t="s">
        <v>289</v>
      </c>
      <c r="D61" s="17">
        <v>2068738158.6199999</v>
      </c>
      <c r="E61" s="17">
        <v>235785211.31999999</v>
      </c>
      <c r="F61" s="17"/>
      <c r="G61" s="17">
        <v>19723314.280000001</v>
      </c>
      <c r="H61" s="12">
        <f t="shared" si="21"/>
        <v>216061897.03999999</v>
      </c>
      <c r="I61" s="44">
        <v>4513463774.9300003</v>
      </c>
      <c r="J61" s="13">
        <f t="shared" si="14"/>
        <v>1.4258766939809495E-3</v>
      </c>
      <c r="K61" s="44">
        <v>4974134622.9499998</v>
      </c>
      <c r="L61" s="13">
        <f t="shared" si="22"/>
        <v>1.4265768933481096E-3</v>
      </c>
      <c r="M61" s="13">
        <f t="shared" si="23"/>
        <v>0.1020659234220051</v>
      </c>
      <c r="N61" s="19">
        <f t="shared" si="24"/>
        <v>3.9651750053163494E-3</v>
      </c>
      <c r="O61" s="20">
        <f t="shared" si="25"/>
        <v>4.3437082712461973E-2</v>
      </c>
      <c r="P61" s="23">
        <f t="shared" si="26"/>
        <v>99.999999998994809</v>
      </c>
      <c r="Q61" s="23">
        <f t="shared" si="27"/>
        <v>4.3437082712025346</v>
      </c>
      <c r="R61" s="10">
        <v>100</v>
      </c>
      <c r="S61" s="10">
        <v>100</v>
      </c>
      <c r="T61" s="10">
        <v>633</v>
      </c>
      <c r="U61" s="17">
        <v>45134637.75</v>
      </c>
      <c r="V61" s="17">
        <v>49741346.229999997</v>
      </c>
    </row>
    <row r="62" spans="1:22">
      <c r="A62" s="86">
        <v>55</v>
      </c>
      <c r="B62" s="18" t="s">
        <v>85</v>
      </c>
      <c r="C62" s="18" t="s">
        <v>86</v>
      </c>
      <c r="D62" s="17">
        <v>5240434298.04</v>
      </c>
      <c r="E62" s="17">
        <v>95609153.769999996</v>
      </c>
      <c r="F62" s="17">
        <v>0</v>
      </c>
      <c r="G62" s="17">
        <v>7488878.4299999997</v>
      </c>
      <c r="H62" s="12">
        <f t="shared" si="21"/>
        <v>88120275.340000004</v>
      </c>
      <c r="I62" s="44">
        <v>5029179279.5699997</v>
      </c>
      <c r="J62" s="13">
        <f t="shared" si="14"/>
        <v>1.5887996186924043E-3</v>
      </c>
      <c r="K62" s="44">
        <v>5255187470.5</v>
      </c>
      <c r="L62" s="13">
        <f t="shared" si="22"/>
        <v>1.5071825722283352E-3</v>
      </c>
      <c r="M62" s="13">
        <f t="shared" si="23"/>
        <v>4.4939378448509842E-2</v>
      </c>
      <c r="N62" s="19">
        <f t="shared" si="24"/>
        <v>1.4250449621519357E-3</v>
      </c>
      <c r="O62" s="20">
        <f t="shared" si="25"/>
        <v>1.6768245820850968E-2</v>
      </c>
      <c r="P62" s="23">
        <f t="shared" si="26"/>
        <v>1.0159204396842052</v>
      </c>
      <c r="Q62" s="23">
        <f t="shared" si="27"/>
        <v>1.7035203667051753E-2</v>
      </c>
      <c r="R62" s="10">
        <v>1</v>
      </c>
      <c r="S62" s="10">
        <v>1</v>
      </c>
      <c r="T62" s="10">
        <v>520</v>
      </c>
      <c r="U62" s="17">
        <v>4794578716.1300001</v>
      </c>
      <c r="V62" s="17">
        <v>5172833683.8400002</v>
      </c>
    </row>
    <row r="63" spans="1:22">
      <c r="A63" s="86">
        <v>56</v>
      </c>
      <c r="B63" s="18" t="s">
        <v>87</v>
      </c>
      <c r="C63" s="18" t="s">
        <v>49</v>
      </c>
      <c r="D63" s="17">
        <v>49863170299</v>
      </c>
      <c r="E63" s="17">
        <v>2742826030</v>
      </c>
      <c r="F63" s="17">
        <v>0</v>
      </c>
      <c r="G63" s="17">
        <v>233616174</v>
      </c>
      <c r="H63" s="12">
        <f t="shared" si="21"/>
        <v>2509209856</v>
      </c>
      <c r="I63" s="44">
        <v>146973779187</v>
      </c>
      <c r="J63" s="13">
        <f t="shared" si="14"/>
        <v>4.6431409848259129E-2</v>
      </c>
      <c r="K63" s="44">
        <v>162379492217</v>
      </c>
      <c r="L63" s="13">
        <f t="shared" si="22"/>
        <v>4.6570277869357121E-2</v>
      </c>
      <c r="M63" s="13">
        <f t="shared" si="23"/>
        <v>0.10481946586131367</v>
      </c>
      <c r="N63" s="19">
        <f t="shared" si="24"/>
        <v>1.4387049177848213E-3</v>
      </c>
      <c r="O63" s="20">
        <f t="shared" si="25"/>
        <v>1.5452750970835363E-2</v>
      </c>
      <c r="P63" s="23">
        <f t="shared" si="26"/>
        <v>1.0079676030808138</v>
      </c>
      <c r="Q63" s="23">
        <f t="shared" si="27"/>
        <v>1.5575872357077639E-2</v>
      </c>
      <c r="R63" s="10">
        <v>1</v>
      </c>
      <c r="S63" s="10">
        <v>1</v>
      </c>
      <c r="T63" s="10">
        <v>15008</v>
      </c>
      <c r="U63" s="17">
        <v>142198690808.60001</v>
      </c>
      <c r="V63" s="17">
        <v>161095943679.82999</v>
      </c>
    </row>
    <row r="64" spans="1:22">
      <c r="A64" s="86">
        <v>57</v>
      </c>
      <c r="B64" s="71" t="s">
        <v>88</v>
      </c>
      <c r="C64" s="18" t="s">
        <v>89</v>
      </c>
      <c r="D64" s="17">
        <v>746576450.16999996</v>
      </c>
      <c r="E64" s="17">
        <v>28891324.190000001</v>
      </c>
      <c r="F64" s="17">
        <v>0</v>
      </c>
      <c r="G64" s="17">
        <v>2460506.7000000002</v>
      </c>
      <c r="H64" s="12">
        <f t="shared" si="21"/>
        <v>26430817.490000002</v>
      </c>
      <c r="I64" s="44">
        <v>1741864893.6700001</v>
      </c>
      <c r="J64" s="13">
        <f t="shared" si="14"/>
        <v>5.5028348067027023E-4</v>
      </c>
      <c r="K64" s="44">
        <v>1546714605.4300001</v>
      </c>
      <c r="L64" s="13">
        <f t="shared" si="22"/>
        <v>4.4359622003995299E-4</v>
      </c>
      <c r="M64" s="13">
        <f t="shared" si="23"/>
        <v>-0.11203526114406645</v>
      </c>
      <c r="N64" s="19">
        <f t="shared" si="24"/>
        <v>1.5907955426049385E-3</v>
      </c>
      <c r="O64" s="20">
        <f t="shared" si="25"/>
        <v>1.7088360966664568E-2</v>
      </c>
      <c r="P64" s="23">
        <f t="shared" si="26"/>
        <v>1.0175029509878799</v>
      </c>
      <c r="Q64" s="23">
        <f t="shared" si="27"/>
        <v>1.7387457711127298E-2</v>
      </c>
      <c r="R64" s="10">
        <v>1</v>
      </c>
      <c r="S64" s="10">
        <v>1</v>
      </c>
      <c r="T64" s="10">
        <v>155</v>
      </c>
      <c r="U64" s="17">
        <v>1670250528.4200001</v>
      </c>
      <c r="V64" s="17">
        <v>1520108225.6600001</v>
      </c>
    </row>
    <row r="65" spans="1:24">
      <c r="A65" s="86">
        <v>58</v>
      </c>
      <c r="B65" s="18" t="s">
        <v>90</v>
      </c>
      <c r="C65" s="18" t="s">
        <v>91</v>
      </c>
      <c r="D65" s="17">
        <v>5854790125.96</v>
      </c>
      <c r="E65" s="17">
        <v>90681605.579999998</v>
      </c>
      <c r="F65" s="17">
        <v>0</v>
      </c>
      <c r="G65" s="17">
        <v>7820130.6100000003</v>
      </c>
      <c r="H65" s="12">
        <f t="shared" si="21"/>
        <v>82861474.969999999</v>
      </c>
      <c r="I65" s="44">
        <v>4973945921.8100004</v>
      </c>
      <c r="J65" s="13">
        <f t="shared" si="14"/>
        <v>1.5713505016755039E-3</v>
      </c>
      <c r="K65" s="44">
        <v>5865116853.1300001</v>
      </c>
      <c r="L65" s="13">
        <f t="shared" si="22"/>
        <v>1.6821097163026949E-3</v>
      </c>
      <c r="M65" s="13">
        <f t="shared" si="23"/>
        <v>0.17916779662045579</v>
      </c>
      <c r="N65" s="19">
        <f t="shared" si="24"/>
        <v>1.3333290377371902E-3</v>
      </c>
      <c r="O65" s="20">
        <f t="shared" si="25"/>
        <v>1.4127847244131178E-2</v>
      </c>
      <c r="P65" s="23">
        <f t="shared" si="26"/>
        <v>1.0143692004530895</v>
      </c>
      <c r="Q65" s="23">
        <f t="shared" si="27"/>
        <v>1.4330853113152726E-2</v>
      </c>
      <c r="R65" s="10">
        <v>1</v>
      </c>
      <c r="S65" s="10">
        <v>1</v>
      </c>
      <c r="T65" s="10">
        <v>444</v>
      </c>
      <c r="U65" s="17">
        <v>4768468156.0500002</v>
      </c>
      <c r="V65" s="17">
        <v>5782033652.5500002</v>
      </c>
    </row>
    <row r="66" spans="1:24">
      <c r="A66" s="86">
        <v>59</v>
      </c>
      <c r="B66" s="18" t="s">
        <v>284</v>
      </c>
      <c r="C66" s="18" t="s">
        <v>285</v>
      </c>
      <c r="D66" s="17">
        <v>2756099528.3200002</v>
      </c>
      <c r="E66" s="17">
        <v>122491536.81999999</v>
      </c>
      <c r="F66" s="17"/>
      <c r="G66" s="17">
        <v>11848605.279999999</v>
      </c>
      <c r="H66" s="12">
        <f t="shared" si="21"/>
        <v>110642931.53999999</v>
      </c>
      <c r="I66" s="44">
        <v>5973087393.0200005</v>
      </c>
      <c r="J66" s="13">
        <f t="shared" si="14"/>
        <v>1.886995560289112E-3</v>
      </c>
      <c r="K66" s="44">
        <v>6517832158.5799999</v>
      </c>
      <c r="L66" s="13">
        <f t="shared" si="22"/>
        <v>1.8693078207515424E-3</v>
      </c>
      <c r="M66" s="13">
        <f t="shared" si="23"/>
        <v>9.1199865281826359E-2</v>
      </c>
      <c r="N66" s="19">
        <f t="shared" si="24"/>
        <v>1.8178751756291593E-3</v>
      </c>
      <c r="O66" s="20">
        <f t="shared" si="25"/>
        <v>1.6975418950356199E-2</v>
      </c>
      <c r="P66" s="23">
        <f t="shared" si="26"/>
        <v>1.0007612382558602</v>
      </c>
      <c r="Q66" s="23">
        <f t="shared" si="27"/>
        <v>1.6988341288670463E-2</v>
      </c>
      <c r="R66" s="10">
        <v>1</v>
      </c>
      <c r="S66" s="10">
        <v>1</v>
      </c>
      <c r="T66" s="10">
        <v>2307</v>
      </c>
      <c r="U66" s="17">
        <v>5994636346.2299995</v>
      </c>
      <c r="V66" s="17">
        <v>6512874309.5</v>
      </c>
    </row>
    <row r="67" spans="1:24">
      <c r="A67" s="86">
        <v>60</v>
      </c>
      <c r="B67" s="18" t="s">
        <v>92</v>
      </c>
      <c r="C67" s="18" t="s">
        <v>93</v>
      </c>
      <c r="D67" s="17">
        <v>116813936068.92999</v>
      </c>
      <c r="E67" s="17">
        <v>1907784141.0899999</v>
      </c>
      <c r="F67" s="17">
        <v>0</v>
      </c>
      <c r="G67" s="17">
        <v>126848522.56</v>
      </c>
      <c r="H67" s="12">
        <f t="shared" si="21"/>
        <v>1780935618.53</v>
      </c>
      <c r="I67" s="44">
        <v>98399490399.610001</v>
      </c>
      <c r="J67" s="13">
        <f t="shared" si="14"/>
        <v>3.108600114168017E-2</v>
      </c>
      <c r="K67" s="44">
        <v>117456230032.60001</v>
      </c>
      <c r="L67" s="13">
        <f t="shared" si="22"/>
        <v>3.3686330677739636E-2</v>
      </c>
      <c r="M67" s="13">
        <f t="shared" si="23"/>
        <v>0.19366705615647717</v>
      </c>
      <c r="N67" s="19">
        <f t="shared" si="24"/>
        <v>1.0799641919785198E-3</v>
      </c>
      <c r="O67" s="20">
        <f t="shared" si="25"/>
        <v>1.5162547086993178E-2</v>
      </c>
      <c r="P67" s="23">
        <f t="shared" si="26"/>
        <v>1.0143844258666486</v>
      </c>
      <c r="Q67" s="23">
        <f t="shared" si="27"/>
        <v>1.5380651621515602E-2</v>
      </c>
      <c r="R67" s="10">
        <v>1</v>
      </c>
      <c r="S67" s="10">
        <v>1</v>
      </c>
      <c r="T67" s="10">
        <v>5954</v>
      </c>
      <c r="U67" s="17">
        <v>94150695072.160004</v>
      </c>
      <c r="V67" s="17">
        <v>115790648039.82001</v>
      </c>
    </row>
    <row r="68" spans="1:24" ht="15" customHeight="1">
      <c r="A68" s="122" t="s">
        <v>50</v>
      </c>
      <c r="B68" s="122"/>
      <c r="C68" s="122"/>
      <c r="D68" s="122"/>
      <c r="E68" s="122"/>
      <c r="F68" s="122"/>
      <c r="G68" s="122"/>
      <c r="H68" s="122"/>
      <c r="I68" s="25">
        <f>SUM(I27:I67)</f>
        <v>3165395573111.3892</v>
      </c>
      <c r="J68" s="34">
        <f>(I68/$I$229)</f>
        <v>0.54086719670299144</v>
      </c>
      <c r="K68" s="36">
        <f>SUM(K27:K67)</f>
        <v>3486762365312.0703</v>
      </c>
      <c r="L68" s="34">
        <f>(K68/$K$229)</f>
        <v>0.55162400830787706</v>
      </c>
      <c r="M68" s="34">
        <f t="shared" si="16"/>
        <v>0.10152500209785703</v>
      </c>
      <c r="N68" s="19"/>
      <c r="O68" s="19"/>
      <c r="P68" s="37"/>
      <c r="Q68" s="37"/>
      <c r="R68" s="36"/>
      <c r="S68" s="36"/>
      <c r="T68" s="36">
        <f>SUM(T27:T67)</f>
        <v>443503</v>
      </c>
      <c r="U68" s="36"/>
      <c r="V68" s="36"/>
    </row>
    <row r="69" spans="1:24" ht="6.9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5"/>
    </row>
    <row r="70" spans="1:24">
      <c r="A70" s="121" t="s">
        <v>94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</row>
    <row r="71" spans="1:24">
      <c r="A71" s="86">
        <v>61</v>
      </c>
      <c r="B71" s="18" t="s">
        <v>95</v>
      </c>
      <c r="C71" s="18" t="s">
        <v>23</v>
      </c>
      <c r="D71" s="60">
        <v>584787632.92999995</v>
      </c>
      <c r="E71" s="60">
        <v>8467973.8699999992</v>
      </c>
      <c r="F71" s="60">
        <v>0</v>
      </c>
      <c r="G71" s="60">
        <v>832097.59</v>
      </c>
      <c r="H71" s="61">
        <f>(E71+F71)-G71</f>
        <v>7635876.2799999993</v>
      </c>
      <c r="I71" s="10">
        <v>549228316.78999996</v>
      </c>
      <c r="J71" s="62">
        <f t="shared" ref="J71:J107" si="29">(I71/$I$108)</f>
        <v>2.6261896827442744E-3</v>
      </c>
      <c r="K71" s="60">
        <v>594737619.32000005</v>
      </c>
      <c r="L71" s="62">
        <f t="shared" ref="L71" si="30">(K71/$K$108)</f>
        <v>2.7148056955861428E-3</v>
      </c>
      <c r="M71" s="62">
        <f t="shared" ref="M71:M108" si="31">((K71-I71)/I71)</f>
        <v>8.2860444625255519E-2</v>
      </c>
      <c r="N71" s="63">
        <f t="shared" ref="N71" si="32">(G71/K71)</f>
        <v>1.39910031410387E-3</v>
      </c>
      <c r="O71" s="64">
        <f t="shared" ref="O71" si="33">H71/K71</f>
        <v>1.2839067232253719E-2</v>
      </c>
      <c r="P71" s="66">
        <f t="shared" ref="P71" si="34">K71/V71</f>
        <v>1.6623624390728236</v>
      </c>
      <c r="Q71" s="66">
        <f t="shared" ref="Q71" si="35">H71/V71</f>
        <v>2.134318311962926E-2</v>
      </c>
      <c r="R71" s="60">
        <v>1.61</v>
      </c>
      <c r="S71" s="60">
        <v>1.61</v>
      </c>
      <c r="T71" s="65">
        <v>378</v>
      </c>
      <c r="U71" s="60">
        <v>352450477.63</v>
      </c>
      <c r="V71" s="60">
        <v>357766516.69999999</v>
      </c>
    </row>
    <row r="72" spans="1:24" ht="12.9" customHeight="1">
      <c r="A72" s="86">
        <v>62</v>
      </c>
      <c r="B72" s="18" t="s">
        <v>96</v>
      </c>
      <c r="C72" s="70" t="s">
        <v>25</v>
      </c>
      <c r="D72" s="10">
        <v>1065177290.3</v>
      </c>
      <c r="E72" s="10">
        <v>16993665.609999999</v>
      </c>
      <c r="F72" s="10">
        <v>17421219.760000002</v>
      </c>
      <c r="G72" s="10">
        <v>2824996.17</v>
      </c>
      <c r="H72" s="12">
        <f t="shared" ref="H72:H107" si="36">(E72+F72)-G72</f>
        <v>31589889.200000003</v>
      </c>
      <c r="I72" s="10">
        <v>1300044634</v>
      </c>
      <c r="J72" s="62">
        <f t="shared" si="29"/>
        <v>6.2162923879674585E-3</v>
      </c>
      <c r="K72" s="10">
        <v>1311720853</v>
      </c>
      <c r="L72" s="62">
        <f t="shared" ref="L72:L107" si="37">(K72/$K$108)</f>
        <v>5.9876273621552638E-3</v>
      </c>
      <c r="M72" s="62">
        <f t="shared" ref="M72:M107" si="38">((K72-I72)/I72)</f>
        <v>8.9813985571206168E-3</v>
      </c>
      <c r="N72" s="63">
        <f t="shared" ref="N72:N107" si="39">(G72/K72)</f>
        <v>2.1536565219185395E-3</v>
      </c>
      <c r="O72" s="64">
        <f t="shared" ref="O72:O107" si="40">H72/K72</f>
        <v>2.4082783412150269E-2</v>
      </c>
      <c r="P72" s="66">
        <f t="shared" ref="P72:P107" si="41">K72/V72</f>
        <v>1.3086935869208156</v>
      </c>
      <c r="Q72" s="66">
        <f t="shared" ref="Q72:Q107" si="42">H72/V72</f>
        <v>3.1516984206684057E-2</v>
      </c>
      <c r="R72" s="10">
        <v>1.3087</v>
      </c>
      <c r="S72" s="10">
        <v>1.3087</v>
      </c>
      <c r="T72" s="16">
        <v>1083</v>
      </c>
      <c r="U72" s="10">
        <v>1017755633</v>
      </c>
      <c r="V72" s="10">
        <v>1002313197</v>
      </c>
    </row>
    <row r="73" spans="1:24" ht="15" customHeight="1">
      <c r="A73" s="86">
        <v>63</v>
      </c>
      <c r="B73" s="18" t="s">
        <v>97</v>
      </c>
      <c r="C73" s="18" t="s">
        <v>98</v>
      </c>
      <c r="D73" s="10">
        <v>627687105.66999996</v>
      </c>
      <c r="E73" s="10">
        <v>10172196.380000001</v>
      </c>
      <c r="F73" s="10">
        <v>0</v>
      </c>
      <c r="G73" s="10">
        <v>2117456.59</v>
      </c>
      <c r="H73" s="12">
        <f t="shared" si="36"/>
        <v>8054739.790000001</v>
      </c>
      <c r="I73" s="10">
        <v>789967443</v>
      </c>
      <c r="J73" s="62">
        <f t="shared" si="29"/>
        <v>3.7773076971625093E-3</v>
      </c>
      <c r="K73" s="10">
        <v>795853454</v>
      </c>
      <c r="L73" s="62">
        <f t="shared" si="37"/>
        <v>3.6328414742646279E-3</v>
      </c>
      <c r="M73" s="62">
        <f t="shared" si="38"/>
        <v>7.4509538996279873E-3</v>
      </c>
      <c r="N73" s="63">
        <f t="shared" si="39"/>
        <v>2.6606111707595855E-3</v>
      </c>
      <c r="O73" s="64">
        <f t="shared" si="40"/>
        <v>1.0120883121781363E-2</v>
      </c>
      <c r="P73" s="66">
        <f t="shared" si="41"/>
        <v>1.1501896384730543</v>
      </c>
      <c r="Q73" s="66">
        <f t="shared" si="42"/>
        <v>1.1640934898869743E-2</v>
      </c>
      <c r="R73" s="10">
        <v>1.1501999999999999</v>
      </c>
      <c r="S73" s="10">
        <v>1.1501999999999999</v>
      </c>
      <c r="T73" s="16">
        <v>404</v>
      </c>
      <c r="U73" s="10">
        <v>693824728</v>
      </c>
      <c r="V73" s="10">
        <v>691932380</v>
      </c>
    </row>
    <row r="74" spans="1:24">
      <c r="A74" s="86">
        <v>64</v>
      </c>
      <c r="B74" s="18" t="s">
        <v>99</v>
      </c>
      <c r="C74" s="70" t="s">
        <v>100</v>
      </c>
      <c r="D74" s="10">
        <v>246100625.47999999</v>
      </c>
      <c r="E74" s="10">
        <v>3892378.09</v>
      </c>
      <c r="F74" s="10">
        <v>0</v>
      </c>
      <c r="G74" s="10">
        <v>487965.04</v>
      </c>
      <c r="H74" s="12">
        <f t="shared" si="36"/>
        <v>3404413.05</v>
      </c>
      <c r="I74" s="10">
        <v>278475823.73000002</v>
      </c>
      <c r="J74" s="62">
        <f t="shared" si="29"/>
        <v>1.3315597772666679E-3</v>
      </c>
      <c r="K74" s="10">
        <v>292268768.29000002</v>
      </c>
      <c r="L74" s="62">
        <f t="shared" si="37"/>
        <v>1.3341226299134095E-3</v>
      </c>
      <c r="M74" s="62">
        <f t="shared" si="38"/>
        <v>4.9530132904367086E-2</v>
      </c>
      <c r="N74" s="63">
        <f t="shared" si="39"/>
        <v>1.6695764068633662E-3</v>
      </c>
      <c r="O74" s="64">
        <f t="shared" si="40"/>
        <v>1.1648227314599737E-2</v>
      </c>
      <c r="P74" s="66">
        <f t="shared" si="41"/>
        <v>1150.2116028728847</v>
      </c>
      <c r="Q74" s="66">
        <f t="shared" si="42"/>
        <v>13.397926210153482</v>
      </c>
      <c r="R74" s="10">
        <v>1203.71</v>
      </c>
      <c r="S74" s="10">
        <v>1203.71</v>
      </c>
      <c r="T74" s="16">
        <v>101</v>
      </c>
      <c r="U74" s="10">
        <v>254310</v>
      </c>
      <c r="V74" s="10">
        <v>254100</v>
      </c>
    </row>
    <row r="75" spans="1:24">
      <c r="A75" s="86">
        <v>65</v>
      </c>
      <c r="B75" s="18" t="s">
        <v>101</v>
      </c>
      <c r="C75" s="70" t="s">
        <v>102</v>
      </c>
      <c r="D75" s="10">
        <v>1593021295.3800001</v>
      </c>
      <c r="E75" s="10">
        <v>12579487.439999999</v>
      </c>
      <c r="F75" s="10">
        <v>0</v>
      </c>
      <c r="G75" s="10">
        <v>2332776.5</v>
      </c>
      <c r="H75" s="12">
        <f t="shared" si="36"/>
        <v>10246710.939999999</v>
      </c>
      <c r="I75" s="10">
        <v>1622577220.74</v>
      </c>
      <c r="J75" s="62">
        <f t="shared" si="29"/>
        <v>7.7585139482029943E-3</v>
      </c>
      <c r="K75" s="10">
        <v>1620984671.6400001</v>
      </c>
      <c r="L75" s="62">
        <f t="shared" si="37"/>
        <v>7.3993274951358341E-3</v>
      </c>
      <c r="M75" s="62">
        <f t="shared" si="38"/>
        <v>-9.8149356446258968E-4</v>
      </c>
      <c r="N75" s="63">
        <f t="shared" si="39"/>
        <v>1.4391107706403282E-3</v>
      </c>
      <c r="O75" s="64">
        <f t="shared" si="40"/>
        <v>6.3212879919666894E-3</v>
      </c>
      <c r="P75" s="66">
        <f t="shared" si="41"/>
        <v>1.0310939649518462</v>
      </c>
      <c r="Q75" s="66">
        <f t="shared" si="42"/>
        <v>6.5178418992394276E-3</v>
      </c>
      <c r="R75" s="10">
        <v>1.0310999999999999</v>
      </c>
      <c r="S75" s="10">
        <v>1.0310999999999999</v>
      </c>
      <c r="T75" s="16">
        <v>931</v>
      </c>
      <c r="U75" s="10">
        <v>1439770356.0999999</v>
      </c>
      <c r="V75" s="10">
        <v>1572101793.5699999</v>
      </c>
    </row>
    <row r="76" spans="1:24">
      <c r="A76" s="86">
        <v>66</v>
      </c>
      <c r="B76" s="18" t="s">
        <v>103</v>
      </c>
      <c r="C76" s="18" t="s">
        <v>104</v>
      </c>
      <c r="D76" s="10">
        <v>464490138.69999999</v>
      </c>
      <c r="E76" s="10">
        <v>6697770.6299999999</v>
      </c>
      <c r="F76" s="10">
        <v>0</v>
      </c>
      <c r="G76" s="10">
        <v>1014829.71</v>
      </c>
      <c r="H76" s="12">
        <f t="shared" si="36"/>
        <v>5682940.9199999999</v>
      </c>
      <c r="I76" s="10">
        <v>460643585.25999999</v>
      </c>
      <c r="J76" s="62">
        <f t="shared" si="29"/>
        <v>2.2026130009146876E-3</v>
      </c>
      <c r="K76" s="10">
        <v>466372526.18000001</v>
      </c>
      <c r="L76" s="62">
        <f t="shared" si="37"/>
        <v>2.1288560689770785E-3</v>
      </c>
      <c r="M76" s="62">
        <f t="shared" si="38"/>
        <v>1.2436819057767718E-2</v>
      </c>
      <c r="N76" s="63">
        <f t="shared" si="39"/>
        <v>2.1760066321066234E-3</v>
      </c>
      <c r="O76" s="64">
        <f t="shared" si="40"/>
        <v>1.2185411020130774E-2</v>
      </c>
      <c r="P76" s="66">
        <f t="shared" si="41"/>
        <v>2.6726750297522974</v>
      </c>
      <c r="Q76" s="66">
        <f t="shared" si="42"/>
        <v>3.2567643760771987E-2</v>
      </c>
      <c r="R76" s="10">
        <v>2.6692999999999998</v>
      </c>
      <c r="S76" s="10">
        <v>2.6692999999999998</v>
      </c>
      <c r="T76" s="16">
        <v>1391</v>
      </c>
      <c r="U76" s="10">
        <v>174479184.87</v>
      </c>
      <c r="V76" s="10">
        <v>174496532.87</v>
      </c>
    </row>
    <row r="77" spans="1:24">
      <c r="A77" s="86">
        <v>67</v>
      </c>
      <c r="B77" s="75" t="s">
        <v>245</v>
      </c>
      <c r="C77" s="76" t="s">
        <v>214</v>
      </c>
      <c r="D77" s="10">
        <v>174362395.41</v>
      </c>
      <c r="E77" s="10">
        <v>11201197.220000001</v>
      </c>
      <c r="F77" s="10">
        <v>0</v>
      </c>
      <c r="G77" s="10">
        <v>395678.51</v>
      </c>
      <c r="H77" s="12">
        <f t="shared" si="36"/>
        <v>10805518.710000001</v>
      </c>
      <c r="I77" s="10">
        <v>161909708.37</v>
      </c>
      <c r="J77" s="62">
        <f t="shared" si="29"/>
        <v>7.7418733277003946E-4</v>
      </c>
      <c r="K77" s="10">
        <v>171814802.22</v>
      </c>
      <c r="L77" s="62">
        <f t="shared" si="37"/>
        <v>7.8428501661989428E-4</v>
      </c>
      <c r="M77" s="62">
        <f t="shared" si="38"/>
        <v>6.1176651787702763E-2</v>
      </c>
      <c r="N77" s="63">
        <f t="shared" si="39"/>
        <v>2.3029360968175143E-3</v>
      </c>
      <c r="O77" s="64">
        <f t="shared" si="40"/>
        <v>6.2890499365497579E-2</v>
      </c>
      <c r="P77" s="66">
        <f t="shared" si="41"/>
        <v>11.85775558606351</v>
      </c>
      <c r="Q77" s="66">
        <f t="shared" si="42"/>
        <v>0.74574017016155247</v>
      </c>
      <c r="R77" s="10">
        <v>12.47</v>
      </c>
      <c r="S77" s="10">
        <v>12.47</v>
      </c>
      <c r="T77" s="16">
        <v>39</v>
      </c>
      <c r="U77" s="10">
        <v>12973293.25</v>
      </c>
      <c r="V77" s="10">
        <v>14489656.24</v>
      </c>
    </row>
    <row r="78" spans="1:24">
      <c r="A78" s="86">
        <v>68</v>
      </c>
      <c r="B78" s="70" t="s">
        <v>105</v>
      </c>
      <c r="C78" s="18" t="s">
        <v>59</v>
      </c>
      <c r="D78" s="10">
        <v>2101578303.4100001</v>
      </c>
      <c r="E78" s="10">
        <v>18531884.5</v>
      </c>
      <c r="F78" s="10">
        <v>0</v>
      </c>
      <c r="G78" s="10">
        <v>3422382.69</v>
      </c>
      <c r="H78" s="12">
        <f t="shared" si="36"/>
        <v>15109501.810000001</v>
      </c>
      <c r="I78" s="10">
        <v>1911921059.6700001</v>
      </c>
      <c r="J78" s="62">
        <f t="shared" si="29"/>
        <v>9.1420402183063042E-3</v>
      </c>
      <c r="K78" s="10">
        <v>2085831319.29</v>
      </c>
      <c r="L78" s="62">
        <f t="shared" si="37"/>
        <v>9.5212183687234681E-3</v>
      </c>
      <c r="M78" s="62">
        <f t="shared" si="38"/>
        <v>9.0961004242516685E-2</v>
      </c>
      <c r="N78" s="63">
        <f t="shared" si="39"/>
        <v>1.6407763457904885E-3</v>
      </c>
      <c r="O78" s="64">
        <f t="shared" si="40"/>
        <v>7.2438752214839461E-3</v>
      </c>
      <c r="P78" s="66">
        <f t="shared" si="41"/>
        <v>4683.0529582292229</v>
      </c>
      <c r="Q78" s="66">
        <f t="shared" si="42"/>
        <v>33.923451285013762</v>
      </c>
      <c r="R78" s="10">
        <v>4683.05</v>
      </c>
      <c r="S78" s="10">
        <v>4683.05</v>
      </c>
      <c r="T78" s="16">
        <v>1126</v>
      </c>
      <c r="U78" s="10">
        <v>411724.76</v>
      </c>
      <c r="V78" s="10">
        <v>445399.9</v>
      </c>
    </row>
    <row r="79" spans="1:24">
      <c r="A79" s="86">
        <v>69</v>
      </c>
      <c r="B79" s="18" t="s">
        <v>106</v>
      </c>
      <c r="C79" s="18" t="s">
        <v>61</v>
      </c>
      <c r="D79" s="10">
        <v>320259774.73000002</v>
      </c>
      <c r="E79" s="10">
        <v>4175751.57</v>
      </c>
      <c r="F79" s="10">
        <v>0</v>
      </c>
      <c r="G79" s="10">
        <v>709899.69</v>
      </c>
      <c r="H79" s="12">
        <f t="shared" si="36"/>
        <v>3465851.88</v>
      </c>
      <c r="I79" s="10">
        <v>335723845.93000001</v>
      </c>
      <c r="J79" s="62">
        <f t="shared" si="29"/>
        <v>1.6052968746870107E-3</v>
      </c>
      <c r="K79" s="10">
        <v>339211288.89999998</v>
      </c>
      <c r="L79" s="62">
        <f t="shared" si="37"/>
        <v>1.5484016971479785E-3</v>
      </c>
      <c r="M79" s="62">
        <f t="shared" si="38"/>
        <v>1.0387832178972229E-2</v>
      </c>
      <c r="N79" s="63">
        <f t="shared" si="39"/>
        <v>2.0927950019059638E-3</v>
      </c>
      <c r="O79" s="64">
        <f t="shared" si="40"/>
        <v>1.0217383658542504E-2</v>
      </c>
      <c r="P79" s="66">
        <f t="shared" si="41"/>
        <v>113.54976102453824</v>
      </c>
      <c r="Q79" s="66">
        <f t="shared" si="42"/>
        <v>1.1601814727235236</v>
      </c>
      <c r="R79" s="10">
        <v>112.98</v>
      </c>
      <c r="S79" s="10">
        <v>112.98</v>
      </c>
      <c r="T79" s="16">
        <v>91</v>
      </c>
      <c r="U79" s="10">
        <v>2989853</v>
      </c>
      <c r="V79" s="10">
        <v>2987336</v>
      </c>
      <c r="W79" s="14"/>
      <c r="X79" s="14"/>
    </row>
    <row r="80" spans="1:24">
      <c r="A80" s="86">
        <v>70</v>
      </c>
      <c r="B80" s="70" t="s">
        <v>107</v>
      </c>
      <c r="C80" s="70" t="s">
        <v>63</v>
      </c>
      <c r="D80" s="10">
        <v>399194423.89999998</v>
      </c>
      <c r="E80" s="10">
        <v>18643775.010000002</v>
      </c>
      <c r="F80" s="10">
        <v>1367218.32</v>
      </c>
      <c r="G80" s="10">
        <v>821395.3</v>
      </c>
      <c r="H80" s="12">
        <f t="shared" si="36"/>
        <v>19189598.030000001</v>
      </c>
      <c r="I80" s="10">
        <v>390425765.51999998</v>
      </c>
      <c r="J80" s="62">
        <f t="shared" si="29"/>
        <v>1.8668595298923741E-3</v>
      </c>
      <c r="K80" s="10">
        <v>411256508.39999998</v>
      </c>
      <c r="L80" s="62">
        <f t="shared" si="37"/>
        <v>1.8772673445942968E-3</v>
      </c>
      <c r="M80" s="62">
        <f t="shared" si="38"/>
        <v>5.3353914417651103E-2</v>
      </c>
      <c r="N80" s="63">
        <f t="shared" si="39"/>
        <v>1.9972821906105551E-3</v>
      </c>
      <c r="O80" s="64">
        <f t="shared" si="40"/>
        <v>4.6660898096561293E-2</v>
      </c>
      <c r="P80" s="66">
        <f t="shared" si="41"/>
        <v>1.4498661895213709</v>
      </c>
      <c r="Q80" s="66">
        <f t="shared" si="42"/>
        <v>6.7652058522906316E-2</v>
      </c>
      <c r="R80" s="10">
        <v>1.4499</v>
      </c>
      <c r="S80" s="10">
        <v>1.4499</v>
      </c>
      <c r="T80" s="16">
        <v>385</v>
      </c>
      <c r="U80" s="10">
        <v>262291347.25999999</v>
      </c>
      <c r="V80" s="10">
        <v>283651354.43000001</v>
      </c>
    </row>
    <row r="81" spans="1:22">
      <c r="A81" s="86">
        <v>71</v>
      </c>
      <c r="B81" s="75" t="s">
        <v>257</v>
      </c>
      <c r="C81" s="76" t="s">
        <v>63</v>
      </c>
      <c r="D81" s="15">
        <v>22241227.239999998</v>
      </c>
      <c r="E81" s="10">
        <v>878445.82</v>
      </c>
      <c r="F81" s="10">
        <v>1109462</v>
      </c>
      <c r="G81" s="10">
        <v>374954.4</v>
      </c>
      <c r="H81" s="12">
        <f t="shared" si="36"/>
        <v>1612953.42</v>
      </c>
      <c r="I81" s="10">
        <v>21462167.960000001</v>
      </c>
      <c r="J81" s="62">
        <f t="shared" si="29"/>
        <v>1.0262348524798963E-4</v>
      </c>
      <c r="K81" s="10">
        <v>23406911.5</v>
      </c>
      <c r="L81" s="62">
        <f t="shared" si="37"/>
        <v>1.0684579988220002E-4</v>
      </c>
      <c r="M81" s="62">
        <f t="shared" si="38"/>
        <v>9.0612632592592904E-2</v>
      </c>
      <c r="N81" s="63">
        <f t="shared" si="39"/>
        <v>1.6018960895374856E-2</v>
      </c>
      <c r="O81" s="64">
        <f t="shared" si="40"/>
        <v>6.8909280064565537E-2</v>
      </c>
      <c r="P81" s="66">
        <f t="shared" si="41"/>
        <v>0.90254801399687556</v>
      </c>
      <c r="Q81" s="66">
        <f t="shared" si="42"/>
        <v>6.2193933868228121E-2</v>
      </c>
      <c r="R81" s="16">
        <v>0.90249999999999997</v>
      </c>
      <c r="S81" s="17">
        <v>0.90249999999999997</v>
      </c>
      <c r="T81" s="16">
        <v>1</v>
      </c>
      <c r="U81" s="10">
        <v>25055830.969999999</v>
      </c>
      <c r="V81" s="10">
        <v>25934256.280000001</v>
      </c>
    </row>
    <row r="82" spans="1:22">
      <c r="A82" s="86">
        <v>72</v>
      </c>
      <c r="B82" s="18" t="s">
        <v>239</v>
      </c>
      <c r="C82" s="18" t="s">
        <v>47</v>
      </c>
      <c r="D82" s="10">
        <v>134062914.39</v>
      </c>
      <c r="E82" s="10">
        <v>812396.36</v>
      </c>
      <c r="F82" s="10">
        <v>0</v>
      </c>
      <c r="G82" s="10">
        <v>337078.15</v>
      </c>
      <c r="H82" s="12">
        <f t="shared" si="36"/>
        <v>475318.20999999996</v>
      </c>
      <c r="I82" s="10">
        <v>150955491.63</v>
      </c>
      <c r="J82" s="62">
        <f t="shared" si="29"/>
        <v>7.2180865871829313E-4</v>
      </c>
      <c r="K82" s="10">
        <v>147705752.11000001</v>
      </c>
      <c r="L82" s="62">
        <f t="shared" si="37"/>
        <v>6.7423415649667858E-4</v>
      </c>
      <c r="M82" s="62">
        <f t="shared" si="38"/>
        <v>-2.1527799253340626E-2</v>
      </c>
      <c r="N82" s="63">
        <f t="shared" si="39"/>
        <v>2.2820922353042139E-3</v>
      </c>
      <c r="O82" s="64">
        <f t="shared" si="40"/>
        <v>3.2180074452755171E-3</v>
      </c>
      <c r="P82" s="66">
        <f t="shared" si="41"/>
        <v>129.60115049576959</v>
      </c>
      <c r="Q82" s="66">
        <f t="shared" si="42"/>
        <v>0.41705746721165932</v>
      </c>
      <c r="R82" s="10">
        <v>129.60120000000001</v>
      </c>
      <c r="S82" s="10">
        <v>129.60120000000001</v>
      </c>
      <c r="T82" s="16">
        <v>286</v>
      </c>
      <c r="U82" s="10">
        <v>1130400.54</v>
      </c>
      <c r="V82" s="10">
        <v>1139694.76</v>
      </c>
    </row>
    <row r="83" spans="1:22">
      <c r="A83" s="86">
        <v>73</v>
      </c>
      <c r="B83" s="18" t="s">
        <v>108</v>
      </c>
      <c r="C83" s="18" t="s">
        <v>109</v>
      </c>
      <c r="D83" s="10">
        <f>1267342139+271118414</f>
        <v>1538460553</v>
      </c>
      <c r="E83" s="10">
        <v>34170730.909999996</v>
      </c>
      <c r="F83" s="10">
        <v>0</v>
      </c>
      <c r="G83" s="10">
        <v>3553051.38</v>
      </c>
      <c r="H83" s="12">
        <f t="shared" si="36"/>
        <v>30617679.529999997</v>
      </c>
      <c r="I83" s="10">
        <v>2088009929.5</v>
      </c>
      <c r="J83" s="62">
        <f t="shared" si="29"/>
        <v>9.9840266182363389E-3</v>
      </c>
      <c r="K83" s="10">
        <v>2206939091.3200002</v>
      </c>
      <c r="L83" s="62">
        <f t="shared" si="37"/>
        <v>1.0074040417651047E-2</v>
      </c>
      <c r="M83" s="62">
        <f t="shared" si="38"/>
        <v>5.6958139968462336E-2</v>
      </c>
      <c r="N83" s="63">
        <f t="shared" si="39"/>
        <v>1.6099453736509201E-3</v>
      </c>
      <c r="O83" s="64">
        <f t="shared" si="40"/>
        <v>1.3873368617385425E-2</v>
      </c>
      <c r="P83" s="66">
        <f t="shared" si="41"/>
        <v>1341.6271551955119</v>
      </c>
      <c r="Q83" s="66">
        <f t="shared" si="42"/>
        <v>18.6128880711215</v>
      </c>
      <c r="R83" s="10">
        <v>1208.76</v>
      </c>
      <c r="S83" s="10">
        <v>1208.76</v>
      </c>
      <c r="T83" s="16">
        <v>317</v>
      </c>
      <c r="U83" s="10">
        <v>1571971.99</v>
      </c>
      <c r="V83" s="10">
        <v>1644971.99</v>
      </c>
    </row>
    <row r="84" spans="1:22">
      <c r="A84" s="86">
        <v>74</v>
      </c>
      <c r="B84" s="18" t="s">
        <v>110</v>
      </c>
      <c r="C84" s="18" t="s">
        <v>65</v>
      </c>
      <c r="D84" s="10">
        <v>226526423.31999999</v>
      </c>
      <c r="E84" s="10">
        <v>2552681.02</v>
      </c>
      <c r="F84" s="10">
        <v>0</v>
      </c>
      <c r="G84" s="10">
        <v>563349.62</v>
      </c>
      <c r="H84" s="12">
        <f t="shared" si="36"/>
        <v>1989331.4</v>
      </c>
      <c r="I84" s="10">
        <v>157516688.84</v>
      </c>
      <c r="J84" s="62">
        <f t="shared" si="29"/>
        <v>7.5318167407929988E-4</v>
      </c>
      <c r="K84" s="10">
        <v>157516688.84</v>
      </c>
      <c r="L84" s="62">
        <f t="shared" si="37"/>
        <v>7.1901825295940514E-4</v>
      </c>
      <c r="M84" s="62">
        <f t="shared" si="38"/>
        <v>0</v>
      </c>
      <c r="N84" s="63">
        <f t="shared" si="39"/>
        <v>3.5764440209394639E-3</v>
      </c>
      <c r="O84" s="64">
        <f t="shared" si="40"/>
        <v>1.2629337339744957E-2</v>
      </c>
      <c r="P84" s="66">
        <f t="shared" si="41"/>
        <v>1072.8631092705984</v>
      </c>
      <c r="Q84" s="66">
        <f t="shared" si="42"/>
        <v>13.549550126346045</v>
      </c>
      <c r="R84" s="10">
        <v>1051.42</v>
      </c>
      <c r="S84" s="10">
        <v>1061.33</v>
      </c>
      <c r="T84" s="16">
        <v>283</v>
      </c>
      <c r="U84" s="10">
        <v>146730</v>
      </c>
      <c r="V84" s="10">
        <v>146819</v>
      </c>
    </row>
    <row r="85" spans="1:22">
      <c r="A85" s="86">
        <v>75</v>
      </c>
      <c r="B85" s="18" t="s">
        <v>111</v>
      </c>
      <c r="C85" s="70" t="s">
        <v>68</v>
      </c>
      <c r="D85" s="10">
        <v>668919429.16999996</v>
      </c>
      <c r="E85" s="10">
        <v>7408157.2599999998</v>
      </c>
      <c r="F85" s="10">
        <v>0</v>
      </c>
      <c r="G85" s="10">
        <v>963125.17</v>
      </c>
      <c r="H85" s="12">
        <f t="shared" si="36"/>
        <v>6445032.0899999999</v>
      </c>
      <c r="I85" s="10">
        <v>683039633.20000005</v>
      </c>
      <c r="J85" s="62">
        <f t="shared" si="29"/>
        <v>3.2660217668659254E-3</v>
      </c>
      <c r="K85" s="10">
        <v>685282493.35000002</v>
      </c>
      <c r="L85" s="62">
        <f t="shared" si="37"/>
        <v>3.1281169302173491E-3</v>
      </c>
      <c r="M85" s="62">
        <f t="shared" si="38"/>
        <v>3.2836456934311553E-3</v>
      </c>
      <c r="N85" s="63">
        <f t="shared" si="39"/>
        <v>1.4054425428143764E-3</v>
      </c>
      <c r="O85" s="64">
        <f t="shared" si="40"/>
        <v>9.4049273876726271E-3</v>
      </c>
      <c r="P85" s="66">
        <f t="shared" si="41"/>
        <v>1.1492306748913932</v>
      </c>
      <c r="Q85" s="66">
        <f t="shared" si="42"/>
        <v>1.0808431049039559E-2</v>
      </c>
      <c r="R85" s="10">
        <v>1.1429</v>
      </c>
      <c r="S85" s="10">
        <v>1.1429</v>
      </c>
      <c r="T85" s="16">
        <v>51</v>
      </c>
      <c r="U85" s="10">
        <v>558078040.13999999</v>
      </c>
      <c r="V85" s="10">
        <v>596296729.90999997</v>
      </c>
    </row>
    <row r="86" spans="1:22">
      <c r="A86" s="86">
        <v>76</v>
      </c>
      <c r="B86" s="18" t="s">
        <v>246</v>
      </c>
      <c r="C86" s="18" t="s">
        <v>29</v>
      </c>
      <c r="D86" s="10">
        <v>12093082309.620001</v>
      </c>
      <c r="E86" s="10">
        <v>118545974.16</v>
      </c>
      <c r="F86" s="10">
        <v>0</v>
      </c>
      <c r="G86" s="10">
        <v>14358137.75</v>
      </c>
      <c r="H86" s="12">
        <f t="shared" si="36"/>
        <v>104187836.41</v>
      </c>
      <c r="I86" s="10">
        <v>12007497616.719999</v>
      </c>
      <c r="J86" s="62">
        <f t="shared" si="29"/>
        <v>5.7415041054162709E-2</v>
      </c>
      <c r="K86" s="10">
        <v>11777511441.139999</v>
      </c>
      <c r="L86" s="62">
        <f t="shared" si="37"/>
        <v>5.3760942811714632E-2</v>
      </c>
      <c r="M86" s="62">
        <f t="shared" si="38"/>
        <v>-1.9153547468521052E-2</v>
      </c>
      <c r="N86" s="63">
        <f t="shared" si="39"/>
        <v>1.2191147358894189E-3</v>
      </c>
      <c r="O86" s="64">
        <f t="shared" si="40"/>
        <v>8.8463371002181074E-3</v>
      </c>
      <c r="P86" s="66">
        <f t="shared" si="41"/>
        <v>1728.3244816874378</v>
      </c>
      <c r="Q86" s="66">
        <f t="shared" si="42"/>
        <v>15.289340983566811</v>
      </c>
      <c r="R86" s="10">
        <v>1728.32</v>
      </c>
      <c r="S86" s="10">
        <v>1728.32</v>
      </c>
      <c r="T86" s="16">
        <v>2077</v>
      </c>
      <c r="U86" s="10">
        <v>6969956.3700000001</v>
      </c>
      <c r="V86" s="10">
        <v>6814409.8899999997</v>
      </c>
    </row>
    <row r="87" spans="1:22" ht="14.4" customHeight="1">
      <c r="A87" s="86">
        <v>77</v>
      </c>
      <c r="B87" s="18" t="s">
        <v>112</v>
      </c>
      <c r="C87" s="18" t="s">
        <v>74</v>
      </c>
      <c r="D87" s="10">
        <v>22249131.539999999</v>
      </c>
      <c r="E87" s="10">
        <v>300427</v>
      </c>
      <c r="F87" s="10">
        <v>0</v>
      </c>
      <c r="G87" s="10">
        <v>254386.8</v>
      </c>
      <c r="H87" s="12">
        <f t="shared" si="36"/>
        <v>46040.200000000012</v>
      </c>
      <c r="I87" s="10">
        <v>23744674.989999998</v>
      </c>
      <c r="J87" s="62">
        <f t="shared" si="29"/>
        <v>1.1353751904728701E-4</v>
      </c>
      <c r="K87" s="10">
        <v>23231361.07</v>
      </c>
      <c r="L87" s="62">
        <f t="shared" si="37"/>
        <v>1.0604446280220917E-4</v>
      </c>
      <c r="M87" s="62">
        <f t="shared" si="38"/>
        <v>-2.1618064690975082E-2</v>
      </c>
      <c r="N87" s="63">
        <f t="shared" si="39"/>
        <v>1.0950146193909592E-2</v>
      </c>
      <c r="O87" s="64">
        <f t="shared" si="40"/>
        <v>1.9818124242171236E-3</v>
      </c>
      <c r="P87" s="66">
        <f t="shared" si="41"/>
        <v>0.70857506821431204</v>
      </c>
      <c r="Q87" s="66">
        <f t="shared" si="42"/>
        <v>1.4042628736776195E-3</v>
      </c>
      <c r="R87" s="10">
        <v>0.70860000000000001</v>
      </c>
      <c r="S87" s="10">
        <v>0.70860000000000001</v>
      </c>
      <c r="T87" s="16">
        <v>730</v>
      </c>
      <c r="U87" s="10">
        <v>32786026.649999999</v>
      </c>
      <c r="V87" s="10">
        <v>32786026.649999999</v>
      </c>
    </row>
    <row r="88" spans="1:22" ht="14.4" customHeight="1">
      <c r="A88" s="86">
        <v>78</v>
      </c>
      <c r="B88" s="18" t="s">
        <v>240</v>
      </c>
      <c r="C88" s="70" t="s">
        <v>35</v>
      </c>
      <c r="D88" s="10">
        <v>12515120754.08</v>
      </c>
      <c r="E88" s="10">
        <v>102303865.78</v>
      </c>
      <c r="F88" s="10">
        <v>0</v>
      </c>
      <c r="G88" s="10">
        <v>2765193.79</v>
      </c>
      <c r="H88" s="12">
        <f t="shared" si="36"/>
        <v>99538671.989999995</v>
      </c>
      <c r="I88" s="10">
        <v>9767916590.7700005</v>
      </c>
      <c r="J88" s="62">
        <f t="shared" si="29"/>
        <v>4.6706262201690378E-2</v>
      </c>
      <c r="K88" s="10">
        <v>10005759659.07</v>
      </c>
      <c r="L88" s="62">
        <f t="shared" si="37"/>
        <v>4.5673406942320562E-2</v>
      </c>
      <c r="M88" s="62">
        <f t="shared" si="38"/>
        <v>2.4349416386780405E-2</v>
      </c>
      <c r="N88" s="63">
        <f t="shared" si="39"/>
        <v>2.7636020494390079E-4</v>
      </c>
      <c r="O88" s="64">
        <f t="shared" si="40"/>
        <v>9.9481374110131048E-3</v>
      </c>
      <c r="P88" s="66">
        <f t="shared" si="41"/>
        <v>1</v>
      </c>
      <c r="Q88" s="66">
        <f t="shared" si="42"/>
        <v>9.9481374110131048E-3</v>
      </c>
      <c r="R88" s="10">
        <v>1</v>
      </c>
      <c r="S88" s="10">
        <v>1</v>
      </c>
      <c r="T88" s="16">
        <v>4344</v>
      </c>
      <c r="U88" s="10">
        <v>9767916590.7700005</v>
      </c>
      <c r="V88" s="10">
        <v>10005759659.07</v>
      </c>
    </row>
    <row r="89" spans="1:22">
      <c r="A89" s="86">
        <v>79</v>
      </c>
      <c r="B89" s="70" t="s">
        <v>113</v>
      </c>
      <c r="C89" s="70" t="s">
        <v>114</v>
      </c>
      <c r="D89" s="10">
        <v>1575339733.6700001</v>
      </c>
      <c r="E89" s="10">
        <v>21680261.879999999</v>
      </c>
      <c r="F89" s="10">
        <v>0</v>
      </c>
      <c r="G89" s="10">
        <v>2702492.99</v>
      </c>
      <c r="H89" s="12">
        <f t="shared" si="36"/>
        <v>18977768.890000001</v>
      </c>
      <c r="I89" s="10">
        <v>1679547438.5599999</v>
      </c>
      <c r="J89" s="62">
        <f t="shared" si="29"/>
        <v>8.0309226964208752E-3</v>
      </c>
      <c r="K89" s="10">
        <v>1557526491.46</v>
      </c>
      <c r="L89" s="62">
        <f t="shared" si="37"/>
        <v>7.1096592054769921E-3</v>
      </c>
      <c r="M89" s="62">
        <f t="shared" si="38"/>
        <v>-7.2651087012235549E-2</v>
      </c>
      <c r="N89" s="63">
        <f t="shared" si="39"/>
        <v>1.7351184745928315E-3</v>
      </c>
      <c r="O89" s="64">
        <f t="shared" si="40"/>
        <v>1.2184556085598614E-2</v>
      </c>
      <c r="P89" s="66">
        <f t="shared" si="41"/>
        <v>258.6617709073339</v>
      </c>
      <c r="Q89" s="66">
        <f t="shared" si="42"/>
        <v>3.1516788548206698</v>
      </c>
      <c r="R89" s="10">
        <v>258.66180000000003</v>
      </c>
      <c r="S89" s="10">
        <v>261.62009999999998</v>
      </c>
      <c r="T89" s="16">
        <v>565</v>
      </c>
      <c r="U89" s="10">
        <v>6465524.8899999997</v>
      </c>
      <c r="V89" s="10">
        <v>6021479.2699999996</v>
      </c>
    </row>
    <row r="90" spans="1:22">
      <c r="A90" s="86">
        <v>80</v>
      </c>
      <c r="B90" s="18" t="s">
        <v>115</v>
      </c>
      <c r="C90" s="70" t="s">
        <v>37</v>
      </c>
      <c r="D90" s="10">
        <v>1146485218.3699999</v>
      </c>
      <c r="E90" s="10">
        <v>13150421.689999999</v>
      </c>
      <c r="F90" s="10">
        <v>0</v>
      </c>
      <c r="G90" s="10">
        <v>1709243.61</v>
      </c>
      <c r="H90" s="12">
        <f t="shared" si="36"/>
        <v>11441178.08</v>
      </c>
      <c r="I90" s="10">
        <v>1143227987.72</v>
      </c>
      <c r="J90" s="62">
        <f t="shared" si="29"/>
        <v>5.4664580368362888E-3</v>
      </c>
      <c r="K90" s="10">
        <v>1136855916.1500001</v>
      </c>
      <c r="L90" s="62">
        <f t="shared" si="37"/>
        <v>5.1894193606814836E-3</v>
      </c>
      <c r="M90" s="62">
        <f t="shared" si="38"/>
        <v>-5.573754000466777E-3</v>
      </c>
      <c r="N90" s="63">
        <f t="shared" si="39"/>
        <v>1.5034830585993779E-3</v>
      </c>
      <c r="O90" s="64">
        <f t="shared" si="40"/>
        <v>1.0063876976377029E-2</v>
      </c>
      <c r="P90" s="66">
        <f t="shared" si="41"/>
        <v>3.8625062698511314</v>
      </c>
      <c r="Q90" s="66">
        <f t="shared" si="42"/>
        <v>3.8871787920266722E-2</v>
      </c>
      <c r="R90" s="10">
        <v>3.86</v>
      </c>
      <c r="S90" s="10">
        <v>3.86</v>
      </c>
      <c r="T90" s="16">
        <v>770</v>
      </c>
      <c r="U90" s="10">
        <v>299906401</v>
      </c>
      <c r="V90" s="10">
        <v>294331151</v>
      </c>
    </row>
    <row r="91" spans="1:22">
      <c r="A91" s="86">
        <v>81</v>
      </c>
      <c r="B91" s="75" t="s">
        <v>244</v>
      </c>
      <c r="C91" s="76" t="s">
        <v>39</v>
      </c>
      <c r="D91" s="10">
        <v>632205605.02999997</v>
      </c>
      <c r="E91" s="10">
        <v>8526761.9600000009</v>
      </c>
      <c r="F91" s="10">
        <v>0</v>
      </c>
      <c r="G91" s="10">
        <v>1289140.4099999999</v>
      </c>
      <c r="H91" s="12">
        <f t="shared" si="36"/>
        <v>7237621.5500000007</v>
      </c>
      <c r="I91" s="10">
        <v>616462354.95000005</v>
      </c>
      <c r="J91" s="62">
        <f t="shared" si="29"/>
        <v>2.9476759061367571E-3</v>
      </c>
      <c r="K91" s="10">
        <v>631728157.89999998</v>
      </c>
      <c r="L91" s="62">
        <f t="shared" si="37"/>
        <v>2.883656835244336E-3</v>
      </c>
      <c r="M91" s="62">
        <f t="shared" si="38"/>
        <v>2.4763560706376149E-2</v>
      </c>
      <c r="N91" s="63">
        <f t="shared" si="39"/>
        <v>2.0406568772957335E-3</v>
      </c>
      <c r="O91" s="64">
        <f t="shared" si="40"/>
        <v>1.1456860770714113E-2</v>
      </c>
      <c r="P91" s="66">
        <f t="shared" si="41"/>
        <v>116.93683360845738</v>
      </c>
      <c r="Q91" s="66">
        <f t="shared" si="42"/>
        <v>1.3397290216202589</v>
      </c>
      <c r="R91" s="10">
        <v>113.52</v>
      </c>
      <c r="S91" s="10">
        <v>113.52</v>
      </c>
      <c r="T91" s="16">
        <v>71</v>
      </c>
      <c r="U91" s="10">
        <v>5408152.5700000003</v>
      </c>
      <c r="V91" s="10">
        <v>5402302.5800000001</v>
      </c>
    </row>
    <row r="92" spans="1:22">
      <c r="A92" s="86">
        <v>82</v>
      </c>
      <c r="B92" s="18" t="s">
        <v>243</v>
      </c>
      <c r="C92" s="18" t="s">
        <v>43</v>
      </c>
      <c r="D92" s="10">
        <v>946486059.32000005</v>
      </c>
      <c r="E92" s="10">
        <v>10753229.529999999</v>
      </c>
      <c r="F92" s="10">
        <v>0</v>
      </c>
      <c r="G92" s="10">
        <v>2100928.54</v>
      </c>
      <c r="H92" s="12">
        <f t="shared" si="36"/>
        <v>8652300.9899999984</v>
      </c>
      <c r="I92" s="10">
        <v>939487119.63</v>
      </c>
      <c r="J92" s="62">
        <f t="shared" si="29"/>
        <v>4.4922508640187521E-3</v>
      </c>
      <c r="K92" s="10">
        <v>960607242.62</v>
      </c>
      <c r="L92" s="62">
        <f t="shared" si="37"/>
        <v>4.3848950003663864E-3</v>
      </c>
      <c r="M92" s="62">
        <f t="shared" si="38"/>
        <v>2.2480481689113298E-2</v>
      </c>
      <c r="N92" s="63">
        <f t="shared" si="39"/>
        <v>2.1870838015647692E-3</v>
      </c>
      <c r="O92" s="64">
        <f t="shared" si="40"/>
        <v>9.0071161304190808E-3</v>
      </c>
      <c r="P92" s="66">
        <f t="shared" si="41"/>
        <v>106.69043055583785</v>
      </c>
      <c r="Q92" s="66">
        <f t="shared" si="42"/>
        <v>0.96097309802084396</v>
      </c>
      <c r="R92" s="10">
        <v>106.69</v>
      </c>
      <c r="S92" s="10">
        <v>106.69</v>
      </c>
      <c r="T92" s="16">
        <v>693</v>
      </c>
      <c r="U92" s="10">
        <v>8937663</v>
      </c>
      <c r="V92" s="10">
        <v>9003687</v>
      </c>
    </row>
    <row r="93" spans="1:22">
      <c r="A93" s="86">
        <v>83</v>
      </c>
      <c r="B93" s="18" t="s">
        <v>118</v>
      </c>
      <c r="C93" s="18" t="s">
        <v>21</v>
      </c>
      <c r="D93" s="10">
        <v>1513216873.54</v>
      </c>
      <c r="E93" s="10">
        <v>19317715.77</v>
      </c>
      <c r="F93" s="10">
        <v>72561189.640000001</v>
      </c>
      <c r="G93" s="10">
        <v>2357717.29</v>
      </c>
      <c r="H93" s="12">
        <f t="shared" si="36"/>
        <v>89521188.11999999</v>
      </c>
      <c r="I93" s="10">
        <v>1475735724.3699999</v>
      </c>
      <c r="J93" s="62">
        <f t="shared" si="29"/>
        <v>7.0563767659479245E-3</v>
      </c>
      <c r="K93" s="10">
        <v>1501485811.0599999</v>
      </c>
      <c r="L93" s="62">
        <f t="shared" si="37"/>
        <v>6.8538496629288121E-3</v>
      </c>
      <c r="M93" s="62">
        <f t="shared" si="38"/>
        <v>1.7448982405703379E-2</v>
      </c>
      <c r="N93" s="63">
        <f t="shared" si="39"/>
        <v>1.5702561240558968E-3</v>
      </c>
      <c r="O93" s="64">
        <f t="shared" si="40"/>
        <v>5.9621734325148869E-2</v>
      </c>
      <c r="P93" s="66">
        <f t="shared" si="41"/>
        <v>370.74918091497136</v>
      </c>
      <c r="Q93" s="66">
        <f t="shared" si="42"/>
        <v>22.104709165778978</v>
      </c>
      <c r="R93" s="10">
        <v>370.75</v>
      </c>
      <c r="S93" s="10">
        <v>370.75</v>
      </c>
      <c r="T93" s="16">
        <v>90</v>
      </c>
      <c r="U93" s="10">
        <v>4028573.93</v>
      </c>
      <c r="V93" s="10">
        <v>4049869.53</v>
      </c>
    </row>
    <row r="94" spans="1:22">
      <c r="A94" s="86">
        <v>84</v>
      </c>
      <c r="B94" s="75" t="s">
        <v>247</v>
      </c>
      <c r="C94" s="76" t="s">
        <v>248</v>
      </c>
      <c r="D94" s="10">
        <v>1015812387.4400001</v>
      </c>
      <c r="E94" s="10">
        <v>23045563.82</v>
      </c>
      <c r="F94" s="10">
        <v>2661037.21</v>
      </c>
      <c r="G94" s="10">
        <v>3748530.04</v>
      </c>
      <c r="H94" s="12">
        <f t="shared" si="36"/>
        <v>21958070.990000002</v>
      </c>
      <c r="I94" s="10">
        <v>1533012800.3800001</v>
      </c>
      <c r="J94" s="62">
        <f t="shared" si="29"/>
        <v>7.3302527870430572E-3</v>
      </c>
      <c r="K94" s="10">
        <v>1533758990.0899999</v>
      </c>
      <c r="L94" s="62">
        <f t="shared" si="37"/>
        <v>7.0011674168410183E-3</v>
      </c>
      <c r="M94" s="62">
        <f t="shared" si="38"/>
        <v>4.8674721425342028E-4</v>
      </c>
      <c r="N94" s="63">
        <f t="shared" si="39"/>
        <v>2.4440150403161054E-3</v>
      </c>
      <c r="O94" s="64">
        <f t="shared" si="40"/>
        <v>1.4316506786187781E-2</v>
      </c>
      <c r="P94" s="66">
        <f t="shared" si="41"/>
        <v>102.55696434034175</v>
      </c>
      <c r="Q94" s="66">
        <f t="shared" si="42"/>
        <v>1.468257475949321</v>
      </c>
      <c r="R94" s="10">
        <v>102.49</v>
      </c>
      <c r="S94" s="10">
        <v>102.49</v>
      </c>
      <c r="T94" s="16">
        <v>399</v>
      </c>
      <c r="U94" s="10">
        <v>14590832</v>
      </c>
      <c r="V94" s="10">
        <v>14955191</v>
      </c>
    </row>
    <row r="95" spans="1:22">
      <c r="A95" s="86">
        <v>85</v>
      </c>
      <c r="B95" s="70" t="s">
        <v>119</v>
      </c>
      <c r="C95" s="70" t="s">
        <v>41</v>
      </c>
      <c r="D95" s="10">
        <v>64540838</v>
      </c>
      <c r="E95" s="10">
        <v>2366391.7000000002</v>
      </c>
      <c r="F95" s="10">
        <v>0</v>
      </c>
      <c r="G95" s="10">
        <v>155092.16</v>
      </c>
      <c r="H95" s="12">
        <f t="shared" si="36"/>
        <v>2211299.54</v>
      </c>
      <c r="I95" s="10">
        <v>65265480.310000002</v>
      </c>
      <c r="J95" s="62">
        <f t="shared" si="29"/>
        <v>3.120733687425789E-4</v>
      </c>
      <c r="K95" s="10">
        <v>64761162.619999997</v>
      </c>
      <c r="L95" s="62">
        <f t="shared" si="37"/>
        <v>2.9561602868602004E-4</v>
      </c>
      <c r="M95" s="62">
        <f t="shared" si="38"/>
        <v>-7.727173501284006E-3</v>
      </c>
      <c r="N95" s="63">
        <f t="shared" si="39"/>
        <v>2.3948328554574674E-3</v>
      </c>
      <c r="O95" s="64">
        <f t="shared" si="40"/>
        <v>3.4145457717849728E-2</v>
      </c>
      <c r="P95" s="66">
        <f t="shared" si="41"/>
        <v>13.225500594641609</v>
      </c>
      <c r="Q95" s="66">
        <f t="shared" si="42"/>
        <v>0.45159077135173142</v>
      </c>
      <c r="R95" s="10">
        <v>12.78</v>
      </c>
      <c r="S95" s="10">
        <v>13.26</v>
      </c>
      <c r="T95" s="16">
        <v>59</v>
      </c>
      <c r="U95" s="10">
        <v>4973379.95</v>
      </c>
      <c r="V95" s="10">
        <v>4896688.95</v>
      </c>
    </row>
    <row r="96" spans="1:22">
      <c r="A96" s="86">
        <v>86</v>
      </c>
      <c r="B96" s="75" t="s">
        <v>262</v>
      </c>
      <c r="C96" s="76" t="s">
        <v>263</v>
      </c>
      <c r="D96" s="10">
        <v>658120667.84000003</v>
      </c>
      <c r="E96" s="10">
        <v>9826704.8599999994</v>
      </c>
      <c r="F96" s="10">
        <v>0</v>
      </c>
      <c r="G96" s="10">
        <v>961614.18</v>
      </c>
      <c r="H96" s="12">
        <f t="shared" si="36"/>
        <v>8865090.6799999997</v>
      </c>
      <c r="I96" s="10">
        <v>564555490.97000003</v>
      </c>
      <c r="J96" s="62">
        <f t="shared" si="29"/>
        <v>2.6994780866131727E-3</v>
      </c>
      <c r="K96" s="10">
        <v>641058776.21000004</v>
      </c>
      <c r="L96" s="62">
        <f t="shared" si="37"/>
        <v>2.9262484166551282E-3</v>
      </c>
      <c r="M96" s="62">
        <f t="shared" si="38"/>
        <v>0.1355106565495531</v>
      </c>
      <c r="N96" s="63">
        <f t="shared" si="39"/>
        <v>1.5000405823708612E-3</v>
      </c>
      <c r="O96" s="64">
        <f t="shared" si="40"/>
        <v>1.3828826636476693E-2</v>
      </c>
      <c r="P96" s="66">
        <f t="shared" si="41"/>
        <v>145.40484094752938</v>
      </c>
      <c r="Q96" s="66">
        <f t="shared" si="42"/>
        <v>2.0107783375678512</v>
      </c>
      <c r="R96" s="10">
        <v>145.4</v>
      </c>
      <c r="S96" s="10">
        <v>145.4</v>
      </c>
      <c r="T96" s="16">
        <v>148</v>
      </c>
      <c r="U96" s="10">
        <v>3940692.69</v>
      </c>
      <c r="V96" s="10">
        <v>4408785.6500000004</v>
      </c>
    </row>
    <row r="97" spans="1:23">
      <c r="A97" s="86">
        <v>87</v>
      </c>
      <c r="B97" s="18" t="s">
        <v>120</v>
      </c>
      <c r="C97" s="18" t="s">
        <v>121</v>
      </c>
      <c r="D97" s="10">
        <v>9525896793.3999996</v>
      </c>
      <c r="E97" s="10">
        <v>160588395.49000001</v>
      </c>
      <c r="F97" s="10">
        <v>0</v>
      </c>
      <c r="G97" s="10">
        <v>15058109.17</v>
      </c>
      <c r="H97" s="12">
        <f t="shared" si="36"/>
        <v>145530286.32000002</v>
      </c>
      <c r="I97" s="10">
        <v>9278945766</v>
      </c>
      <c r="J97" s="62">
        <f t="shared" si="29"/>
        <v>4.4368199694864226E-2</v>
      </c>
      <c r="K97" s="10">
        <v>9527700508</v>
      </c>
      <c r="L97" s="62">
        <f t="shared" si="37"/>
        <v>4.3491204801423863E-2</v>
      </c>
      <c r="M97" s="62">
        <f t="shared" si="38"/>
        <v>2.6808513410164488E-2</v>
      </c>
      <c r="N97" s="63">
        <f t="shared" si="39"/>
        <v>1.5804557623695617E-3</v>
      </c>
      <c r="O97" s="64">
        <f t="shared" si="40"/>
        <v>1.5274439640268343E-2</v>
      </c>
      <c r="P97" s="66">
        <f t="shared" si="41"/>
        <v>1.099999999919183</v>
      </c>
      <c r="Q97" s="66">
        <f t="shared" si="42"/>
        <v>1.6801883603060744E-2</v>
      </c>
      <c r="R97" s="10">
        <v>1.1000000000000001</v>
      </c>
      <c r="S97" s="10">
        <v>1.1000000000000001</v>
      </c>
      <c r="T97" s="16">
        <v>4873</v>
      </c>
      <c r="U97" s="10">
        <v>8591616450</v>
      </c>
      <c r="V97" s="10">
        <v>8661545917</v>
      </c>
    </row>
    <row r="98" spans="1:23">
      <c r="A98" s="86">
        <v>88</v>
      </c>
      <c r="B98" s="70" t="s">
        <v>122</v>
      </c>
      <c r="C98" s="18" t="s">
        <v>45</v>
      </c>
      <c r="D98" s="10">
        <v>7785610207.7600002</v>
      </c>
      <c r="E98" s="10">
        <v>102952453.53</v>
      </c>
      <c r="F98" s="10">
        <v>0</v>
      </c>
      <c r="G98" s="10">
        <v>9156852.8300000001</v>
      </c>
      <c r="H98" s="12">
        <f t="shared" si="36"/>
        <v>93795600.700000003</v>
      </c>
      <c r="I98" s="10">
        <v>4804337616.6999998</v>
      </c>
      <c r="J98" s="62">
        <f t="shared" si="29"/>
        <v>2.2972416926969854E-2</v>
      </c>
      <c r="K98" s="10">
        <v>7753850761.8400002</v>
      </c>
      <c r="L98" s="62">
        <f t="shared" si="37"/>
        <v>3.5394092331062166E-2</v>
      </c>
      <c r="M98" s="62">
        <f t="shared" si="38"/>
        <v>0.61392711762958074</v>
      </c>
      <c r="N98" s="63">
        <f t="shared" si="39"/>
        <v>1.1809426195129741E-3</v>
      </c>
      <c r="O98" s="64">
        <f t="shared" si="40"/>
        <v>1.2096647663327244E-2</v>
      </c>
      <c r="P98" s="66">
        <f t="shared" si="41"/>
        <v>5176.0064386113318</v>
      </c>
      <c r="Q98" s="66">
        <f t="shared" si="42"/>
        <v>62.612326190994537</v>
      </c>
      <c r="R98" s="10">
        <v>5176.01</v>
      </c>
      <c r="S98" s="10">
        <v>5176.01</v>
      </c>
      <c r="T98" s="16">
        <v>236</v>
      </c>
      <c r="U98" s="10">
        <v>928604.1</v>
      </c>
      <c r="V98" s="10">
        <v>1498037.31</v>
      </c>
    </row>
    <row r="99" spans="1:23">
      <c r="A99" s="86">
        <v>89</v>
      </c>
      <c r="B99" s="18" t="s">
        <v>123</v>
      </c>
      <c r="C99" s="18" t="s">
        <v>45</v>
      </c>
      <c r="D99" s="10">
        <v>16812289903.99</v>
      </c>
      <c r="E99" s="10">
        <v>151616181.88</v>
      </c>
      <c r="F99" s="10">
        <v>0</v>
      </c>
      <c r="G99" s="10">
        <v>29208959.75</v>
      </c>
      <c r="H99" s="12">
        <f t="shared" si="36"/>
        <v>122407222.13</v>
      </c>
      <c r="I99" s="10">
        <v>17288634930.959999</v>
      </c>
      <c r="J99" s="62">
        <f t="shared" si="29"/>
        <v>8.2667323035675824E-2</v>
      </c>
      <c r="K99" s="10">
        <v>16809136621.65</v>
      </c>
      <c r="L99" s="62">
        <f t="shared" si="37"/>
        <v>7.6728860519226366E-2</v>
      </c>
      <c r="M99" s="62">
        <f t="shared" si="38"/>
        <v>-2.7734885444965204E-2</v>
      </c>
      <c r="N99" s="63">
        <f t="shared" si="39"/>
        <v>1.7376835233987658E-3</v>
      </c>
      <c r="O99" s="64">
        <f t="shared" si="40"/>
        <v>7.2821837840463931E-3</v>
      </c>
      <c r="P99" s="66">
        <f t="shared" si="41"/>
        <v>259.13405301303237</v>
      </c>
      <c r="Q99" s="66">
        <f t="shared" si="42"/>
        <v>1.8870617987457226</v>
      </c>
      <c r="R99" s="10">
        <v>259.13</v>
      </c>
      <c r="S99" s="10">
        <v>259.13</v>
      </c>
      <c r="T99" s="16">
        <v>6149</v>
      </c>
      <c r="U99" s="10">
        <v>66723148.200000003</v>
      </c>
      <c r="V99" s="10">
        <v>64866567.810000002</v>
      </c>
    </row>
    <row r="100" spans="1:23">
      <c r="A100" s="86">
        <v>90</v>
      </c>
      <c r="B100" s="70" t="s">
        <v>124</v>
      </c>
      <c r="C100" s="18" t="s">
        <v>45</v>
      </c>
      <c r="D100" s="10">
        <v>538363569.96000004</v>
      </c>
      <c r="E100" s="10">
        <v>23686391.59</v>
      </c>
      <c r="F100" s="10">
        <v>14380459.23</v>
      </c>
      <c r="G100" s="10">
        <v>1543615.55</v>
      </c>
      <c r="H100" s="12">
        <f t="shared" si="36"/>
        <v>36523235.270000003</v>
      </c>
      <c r="I100" s="10">
        <v>492000160.75999999</v>
      </c>
      <c r="J100" s="62">
        <f t="shared" si="29"/>
        <v>2.3525475773866038E-3</v>
      </c>
      <c r="K100" s="10">
        <v>535954126.11000001</v>
      </c>
      <c r="L100" s="62">
        <f t="shared" si="37"/>
        <v>2.4464760036533848E-3</v>
      </c>
      <c r="M100" s="62">
        <f t="shared" si="38"/>
        <v>8.9337298756373737E-2</v>
      </c>
      <c r="N100" s="63">
        <f t="shared" si="39"/>
        <v>2.8801262548414194E-3</v>
      </c>
      <c r="O100" s="64">
        <f t="shared" si="40"/>
        <v>6.8146196643896942E-2</v>
      </c>
      <c r="P100" s="66">
        <f t="shared" si="41"/>
        <v>8874.6704186884763</v>
      </c>
      <c r="Q100" s="66">
        <f t="shared" si="42"/>
        <v>604.77503550172014</v>
      </c>
      <c r="R100" s="10">
        <v>8852.59</v>
      </c>
      <c r="S100" s="10">
        <v>8889.7999999999993</v>
      </c>
      <c r="T100" s="16">
        <v>15</v>
      </c>
      <c r="U100" s="10">
        <v>60391.44</v>
      </c>
      <c r="V100" s="10">
        <v>60391.44</v>
      </c>
    </row>
    <row r="101" spans="1:23">
      <c r="A101" s="86">
        <v>91</v>
      </c>
      <c r="B101" s="18" t="s">
        <v>125</v>
      </c>
      <c r="C101" s="18" t="s">
        <v>45</v>
      </c>
      <c r="D101" s="10">
        <v>6267366855.4499998</v>
      </c>
      <c r="E101" s="10">
        <v>98563605.159999996</v>
      </c>
      <c r="F101" s="10">
        <v>0</v>
      </c>
      <c r="G101" s="10">
        <v>13210207.57</v>
      </c>
      <c r="H101" s="12">
        <f t="shared" si="36"/>
        <v>85353397.590000004</v>
      </c>
      <c r="I101" s="10">
        <v>6119802077.5699997</v>
      </c>
      <c r="J101" s="62">
        <f t="shared" si="29"/>
        <v>2.9262440746835025E-2</v>
      </c>
      <c r="K101" s="10">
        <v>6288731182.0600004</v>
      </c>
      <c r="L101" s="62">
        <f t="shared" si="37"/>
        <v>2.8706244025032263E-2</v>
      </c>
      <c r="M101" s="62">
        <f t="shared" si="38"/>
        <v>2.7603687561915023E-2</v>
      </c>
      <c r="N101" s="63">
        <f t="shared" si="39"/>
        <v>2.1006157184274383E-3</v>
      </c>
      <c r="O101" s="64">
        <f t="shared" si="40"/>
        <v>1.3572435379888632E-2</v>
      </c>
      <c r="P101" s="66">
        <f t="shared" si="41"/>
        <v>151.4378602327667</v>
      </c>
      <c r="Q101" s="66">
        <f t="shared" si="42"/>
        <v>2.0553805720778322</v>
      </c>
      <c r="R101" s="10">
        <v>151.44</v>
      </c>
      <c r="S101" s="10">
        <v>151.44</v>
      </c>
      <c r="T101" s="16">
        <v>4735</v>
      </c>
      <c r="U101" s="10">
        <v>40964193.189999998</v>
      </c>
      <c r="V101" s="10">
        <v>41526809.560000002</v>
      </c>
    </row>
    <row r="102" spans="1:23">
      <c r="A102" s="86">
        <v>92</v>
      </c>
      <c r="B102" s="18" t="s">
        <v>126</v>
      </c>
      <c r="C102" s="18" t="s">
        <v>45</v>
      </c>
      <c r="D102" s="10">
        <v>6734633622.2299995</v>
      </c>
      <c r="E102" s="10">
        <v>60471358.359999999</v>
      </c>
      <c r="F102" s="10">
        <v>197501568.75</v>
      </c>
      <c r="G102" s="10">
        <v>12892142.67</v>
      </c>
      <c r="H102" s="12">
        <f t="shared" si="36"/>
        <v>245080784.44000003</v>
      </c>
      <c r="I102" s="10">
        <v>7457130029.1599998</v>
      </c>
      <c r="J102" s="62">
        <f t="shared" si="29"/>
        <v>3.565700701653822E-2</v>
      </c>
      <c r="K102" s="10">
        <v>7256502163.5100002</v>
      </c>
      <c r="L102" s="62">
        <f t="shared" si="37"/>
        <v>3.3123839426963314E-2</v>
      </c>
      <c r="M102" s="62">
        <f t="shared" si="38"/>
        <v>-2.6904166196039782E-2</v>
      </c>
      <c r="N102" s="63">
        <f t="shared" si="39"/>
        <v>1.7766332014382004E-3</v>
      </c>
      <c r="O102" s="64">
        <f t="shared" si="40"/>
        <v>3.3773955952554065E-2</v>
      </c>
      <c r="P102" s="66">
        <f t="shared" si="41"/>
        <v>386.9606763649544</v>
      </c>
      <c r="Q102" s="66">
        <f t="shared" si="42"/>
        <v>13.069192838920499</v>
      </c>
      <c r="R102" s="10">
        <v>386.49</v>
      </c>
      <c r="S102" s="10">
        <v>387.28</v>
      </c>
      <c r="T102" s="16">
        <v>10353</v>
      </c>
      <c r="U102" s="10">
        <v>19976759.460000001</v>
      </c>
      <c r="V102" s="10">
        <v>18752557.059999999</v>
      </c>
    </row>
    <row r="103" spans="1:23">
      <c r="A103" s="86">
        <v>93</v>
      </c>
      <c r="B103" s="18" t="s">
        <v>127</v>
      </c>
      <c r="C103" s="18" t="s">
        <v>49</v>
      </c>
      <c r="D103" s="10">
        <v>78840119578</v>
      </c>
      <c r="E103" s="10">
        <v>720571999</v>
      </c>
      <c r="F103" s="10">
        <v>0</v>
      </c>
      <c r="G103" s="10">
        <v>134750876</v>
      </c>
      <c r="H103" s="12">
        <f t="shared" si="36"/>
        <v>585821123</v>
      </c>
      <c r="I103" s="10">
        <v>87535796114</v>
      </c>
      <c r="J103" s="62">
        <f t="shared" si="29"/>
        <v>0.41856109307869321</v>
      </c>
      <c r="K103" s="10">
        <v>86330003159</v>
      </c>
      <c r="L103" s="62">
        <f t="shared" si="37"/>
        <v>0.39407156477505412</v>
      </c>
      <c r="M103" s="62">
        <f t="shared" si="38"/>
        <v>-1.377485564225253E-2</v>
      </c>
      <c r="N103" s="63">
        <f t="shared" si="39"/>
        <v>1.5608811660972593E-3</v>
      </c>
      <c r="O103" s="64">
        <f t="shared" si="40"/>
        <v>6.7858346063193386E-3</v>
      </c>
      <c r="P103" s="66">
        <f t="shared" si="41"/>
        <v>1.9135460110314142</v>
      </c>
      <c r="Q103" s="66">
        <f t="shared" si="42"/>
        <v>1.2985006742441298E-2</v>
      </c>
      <c r="R103" s="10">
        <v>1.91</v>
      </c>
      <c r="S103" s="10">
        <v>1.91</v>
      </c>
      <c r="T103" s="16">
        <v>1370</v>
      </c>
      <c r="U103" s="10">
        <v>45916185340</v>
      </c>
      <c r="V103" s="10">
        <v>45115195904</v>
      </c>
    </row>
    <row r="104" spans="1:23">
      <c r="A104" s="86">
        <v>94</v>
      </c>
      <c r="B104" s="83" t="s">
        <v>261</v>
      </c>
      <c r="C104" s="18" t="s">
        <v>49</v>
      </c>
      <c r="D104" s="10">
        <v>21049061725</v>
      </c>
      <c r="E104" s="24">
        <v>650456855</v>
      </c>
      <c r="F104" s="10"/>
      <c r="G104" s="10">
        <v>69576259</v>
      </c>
      <c r="H104" s="12">
        <f t="shared" si="36"/>
        <v>580880596</v>
      </c>
      <c r="I104" s="10">
        <v>33085681698</v>
      </c>
      <c r="J104" s="62">
        <f t="shared" si="29"/>
        <v>0.15820246929305939</v>
      </c>
      <c r="K104" s="10">
        <v>41066635528</v>
      </c>
      <c r="L104" s="62">
        <f t="shared" si="37"/>
        <v>0.1874573465815827</v>
      </c>
      <c r="M104" s="62">
        <f t="shared" si="38"/>
        <v>0.24122077649324788</v>
      </c>
      <c r="N104" s="63">
        <f t="shared" si="39"/>
        <v>1.6942283706821225E-3</v>
      </c>
      <c r="O104" s="64">
        <f t="shared" si="40"/>
        <v>1.4144830433063959E-2</v>
      </c>
      <c r="P104" s="66">
        <f t="shared" si="41"/>
        <v>119.39773942053358</v>
      </c>
      <c r="Q104" s="66">
        <f t="shared" si="42"/>
        <v>1.6888607781946039</v>
      </c>
      <c r="R104" s="10">
        <v>119.4</v>
      </c>
      <c r="S104" s="10">
        <v>119.4</v>
      </c>
      <c r="T104" s="16">
        <v>183</v>
      </c>
      <c r="U104" s="10">
        <v>277746733</v>
      </c>
      <c r="V104" s="10">
        <v>343948183</v>
      </c>
    </row>
    <row r="105" spans="1:23">
      <c r="A105" s="86">
        <v>95</v>
      </c>
      <c r="B105" s="75" t="s">
        <v>241</v>
      </c>
      <c r="C105" s="75" t="s">
        <v>242</v>
      </c>
      <c r="D105" s="10">
        <v>107115472.64</v>
      </c>
      <c r="E105" s="10">
        <v>2652249.06</v>
      </c>
      <c r="F105" s="10" t="s">
        <v>295</v>
      </c>
      <c r="G105" s="10">
        <v>924674.34</v>
      </c>
      <c r="H105" s="12">
        <v>2652249.06</v>
      </c>
      <c r="I105" s="10">
        <v>106029183.69</v>
      </c>
      <c r="J105" s="62">
        <f t="shared" si="29"/>
        <v>5.0698906040371405E-4</v>
      </c>
      <c r="K105" s="10">
        <v>109021957.69</v>
      </c>
      <c r="L105" s="62">
        <f t="shared" si="37"/>
        <v>4.9765379230452583E-4</v>
      </c>
      <c r="M105" s="62">
        <f t="shared" si="38"/>
        <v>2.8225945874958761E-2</v>
      </c>
      <c r="N105" s="63">
        <f t="shared" si="39"/>
        <v>8.481542247014846E-3</v>
      </c>
      <c r="O105" s="64">
        <f t="shared" si="40"/>
        <v>2.4327659456836893E-2</v>
      </c>
      <c r="P105" s="66">
        <f t="shared" si="41"/>
        <v>117.90308609070557</v>
      </c>
      <c r="Q105" s="66">
        <f t="shared" si="42"/>
        <v>2.8683061273248076</v>
      </c>
      <c r="R105" s="10">
        <v>117.90309999999999</v>
      </c>
      <c r="S105" s="10">
        <v>117.90309999999999</v>
      </c>
      <c r="T105" s="16">
        <v>83</v>
      </c>
      <c r="U105" s="10">
        <v>907706.99789999996</v>
      </c>
      <c r="V105" s="10">
        <v>924674.33470000001</v>
      </c>
    </row>
    <row r="106" spans="1:23">
      <c r="A106" s="86">
        <v>96</v>
      </c>
      <c r="B106" s="75" t="s">
        <v>287</v>
      </c>
      <c r="C106" s="75" t="s">
        <v>285</v>
      </c>
      <c r="D106" s="10">
        <v>292335260.69</v>
      </c>
      <c r="E106" s="10">
        <v>4017528.56</v>
      </c>
      <c r="F106" s="10">
        <v>0</v>
      </c>
      <c r="G106" s="10">
        <v>508123.75</v>
      </c>
      <c r="H106" s="12">
        <f t="shared" si="36"/>
        <v>3509404.81</v>
      </c>
      <c r="I106" s="10">
        <v>302205805.63</v>
      </c>
      <c r="J106" s="62">
        <f t="shared" si="29"/>
        <v>1.4450270398464967E-3</v>
      </c>
      <c r="K106" s="10">
        <v>319167326.44</v>
      </c>
      <c r="L106" s="62">
        <f t="shared" si="37"/>
        <v>1.4569067896781276E-3</v>
      </c>
      <c r="M106" s="62">
        <f t="shared" si="38"/>
        <v>5.6125727878194774E-2</v>
      </c>
      <c r="N106" s="63">
        <f t="shared" si="39"/>
        <v>1.5920293460725584E-3</v>
      </c>
      <c r="O106" s="64">
        <f t="shared" si="40"/>
        <v>1.0995501479252233E-2</v>
      </c>
      <c r="P106" s="66">
        <f t="shared" si="41"/>
        <v>1.3084575411349042</v>
      </c>
      <c r="Q106" s="66">
        <f t="shared" si="42"/>
        <v>1.4387146829087578E-2</v>
      </c>
      <c r="R106" s="10">
        <v>1.3085</v>
      </c>
      <c r="S106" s="10">
        <v>1.3085</v>
      </c>
      <c r="T106" s="16">
        <v>36</v>
      </c>
      <c r="U106" s="10">
        <v>242204909.5</v>
      </c>
      <c r="V106" s="10">
        <v>243926391.5</v>
      </c>
    </row>
    <row r="107" spans="1:23">
      <c r="A107" s="86">
        <v>97</v>
      </c>
      <c r="B107" s="70" t="s">
        <v>128</v>
      </c>
      <c r="C107" s="70" t="s">
        <v>93</v>
      </c>
      <c r="D107" s="10">
        <v>1907583768.0699999</v>
      </c>
      <c r="E107" s="10">
        <v>17087291.620000001</v>
      </c>
      <c r="F107" s="10">
        <v>0</v>
      </c>
      <c r="G107" s="10">
        <v>3318139.89</v>
      </c>
      <c r="H107" s="12">
        <f t="shared" si="36"/>
        <v>13769151.73</v>
      </c>
      <c r="I107" s="10">
        <v>1946134377.1600001</v>
      </c>
      <c r="J107" s="62">
        <f t="shared" si="29"/>
        <v>9.3056345900055463E-3</v>
      </c>
      <c r="K107" s="10">
        <v>1930000604.27</v>
      </c>
      <c r="L107" s="62">
        <f t="shared" si="37"/>
        <v>8.8098960999770312E-3</v>
      </c>
      <c r="M107" s="62">
        <f t="shared" si="38"/>
        <v>-8.2901638650174653E-3</v>
      </c>
      <c r="N107" s="63">
        <f t="shared" si="39"/>
        <v>1.7192429280378633E-3</v>
      </c>
      <c r="O107" s="64">
        <f t="shared" si="40"/>
        <v>7.1342732740791136E-3</v>
      </c>
      <c r="P107" s="66">
        <f t="shared" si="41"/>
        <v>29.139049652510927</v>
      </c>
      <c r="Q107" s="66">
        <f t="shared" si="42"/>
        <v>0.20788594316797299</v>
      </c>
      <c r="R107" s="10">
        <v>29.139099999999999</v>
      </c>
      <c r="S107" s="10">
        <v>29.139099999999999</v>
      </c>
      <c r="T107" s="15">
        <v>1291</v>
      </c>
      <c r="U107" s="10">
        <v>68149957.540000007</v>
      </c>
      <c r="V107" s="10">
        <v>66234164.369999997</v>
      </c>
    </row>
    <row r="108" spans="1:23">
      <c r="A108" s="122" t="s">
        <v>50</v>
      </c>
      <c r="B108" s="122"/>
      <c r="C108" s="122"/>
      <c r="D108" s="122"/>
      <c r="E108" s="122"/>
      <c r="F108" s="122"/>
      <c r="G108" s="122"/>
      <c r="H108" s="122"/>
      <c r="I108" s="36">
        <f>SUM(I71:I107)</f>
        <v>209135052353.13998</v>
      </c>
      <c r="J108" s="34">
        <f>(I108/$I$229)</f>
        <v>3.573464576100098E-2</v>
      </c>
      <c r="K108" s="36">
        <f>SUM(K71:K107)</f>
        <v>219071891696.31998</v>
      </c>
      <c r="L108" s="34">
        <f>(K108/$K$229)</f>
        <v>3.4658316898030797E-2</v>
      </c>
      <c r="M108" s="34">
        <f t="shared" si="31"/>
        <v>4.7513983100264348E-2</v>
      </c>
      <c r="N108" s="19"/>
      <c r="O108" s="19"/>
      <c r="P108" s="37"/>
      <c r="Q108" s="37"/>
      <c r="R108" s="36"/>
      <c r="S108" s="36"/>
      <c r="T108" s="36">
        <f>SUM(T71:T107)</f>
        <v>46137</v>
      </c>
      <c r="U108" s="36"/>
      <c r="V108" s="10"/>
    </row>
    <row r="109" spans="1:23" ht="6.9" customHeight="1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5"/>
    </row>
    <row r="110" spans="1:23">
      <c r="A110" s="121" t="s">
        <v>129</v>
      </c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</row>
    <row r="111" spans="1:23">
      <c r="A111" s="125" t="s">
        <v>130</v>
      </c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</row>
    <row r="112" spans="1:23">
      <c r="A112" s="79">
        <v>98</v>
      </c>
      <c r="B112" s="18" t="s">
        <v>131</v>
      </c>
      <c r="C112" s="18" t="s">
        <v>21</v>
      </c>
      <c r="D112" s="16">
        <f>1945150.32*FX_RATE</f>
        <v>2982993053.8372803</v>
      </c>
      <c r="E112" s="16">
        <f>12996.03*FX_RATE</f>
        <v>19930113.790620003</v>
      </c>
      <c r="F112" s="16">
        <f>101525.8*FX_RATE</f>
        <v>155695296.69320002</v>
      </c>
      <c r="G112" s="16">
        <f>3972.09*FX_RATE</f>
        <v>6091414.5078600002</v>
      </c>
      <c r="H112" s="12">
        <f>(E112+F112)-G112</f>
        <v>169533995.97596002</v>
      </c>
      <c r="I112" s="28">
        <v>2965704464.0945849</v>
      </c>
      <c r="J112" s="13">
        <f t="shared" ref="J112:J128" si="43">(I112/$I$148)</f>
        <v>1.5460672788624981E-3</v>
      </c>
      <c r="K112" s="28">
        <f>1915147.9*FX_RATE</f>
        <v>2936982722.6366</v>
      </c>
      <c r="L112" s="13">
        <f t="shared" ref="L112:L128" si="44">(K112/$K$148)</f>
        <v>1.4950536512401708E-3</v>
      </c>
      <c r="M112" s="13">
        <f t="shared" ref="M112" si="45">((K112-I112)/I112)</f>
        <v>-9.6846269767319956E-3</v>
      </c>
      <c r="N112" s="19">
        <f t="shared" ref="N112" si="46">(G112/K112)</f>
        <v>2.0740382505184066E-3</v>
      </c>
      <c r="O112" s="20">
        <f t="shared" ref="O112" si="47">H112/K112</f>
        <v>5.7723865608499486E-2</v>
      </c>
      <c r="P112" s="23">
        <f t="shared" ref="P112" si="48">K112/V112</f>
        <v>172152.14439040373</v>
      </c>
      <c r="Q112" s="23">
        <f t="shared" ref="Q112" si="49">H112/V112</f>
        <v>9937.287247006665</v>
      </c>
      <c r="R112" s="10">
        <f>112.257*FX_RATE</f>
        <v>172152.17137800003</v>
      </c>
      <c r="S112" s="10">
        <f>112.257*FX_RATE</f>
        <v>172152.17137800003</v>
      </c>
      <c r="T112" s="10">
        <v>190</v>
      </c>
      <c r="U112" s="10">
        <v>17046.61</v>
      </c>
      <c r="V112" s="10">
        <v>17060.39</v>
      </c>
    </row>
    <row r="113" spans="1:24">
      <c r="A113" s="79">
        <v>99</v>
      </c>
      <c r="B113" s="75" t="s">
        <v>230</v>
      </c>
      <c r="C113" s="76" t="s">
        <v>54</v>
      </c>
      <c r="D113" s="16">
        <f>3677694.74*FX_RATE</f>
        <v>5639943479.3059607</v>
      </c>
      <c r="E113" s="16">
        <f>27127.41*FX_RATE</f>
        <v>41601348.115139998</v>
      </c>
      <c r="F113" s="16">
        <v>0</v>
      </c>
      <c r="G113" s="16">
        <f>5915.83*FX_RATE</f>
        <v>9072244.7598200012</v>
      </c>
      <c r="H113" s="12">
        <f t="shared" ref="H113:H128" si="50">(E113+F113)-G113</f>
        <v>32529103.355319999</v>
      </c>
      <c r="I113" s="28">
        <v>4788975541.4162703</v>
      </c>
      <c r="J113" s="13">
        <f t="shared" si="43"/>
        <v>2.4965664898498039E-3</v>
      </c>
      <c r="K113" s="28">
        <f>3685093.33*FX_RATE</f>
        <v>5651289616.59482</v>
      </c>
      <c r="L113" s="13">
        <f t="shared" si="44"/>
        <v>2.8767554914047627E-3</v>
      </c>
      <c r="M113" s="13">
        <f t="shared" ref="M113:M128" si="51">((K113-I113)/I113)</f>
        <v>0.18006232600710523</v>
      </c>
      <c r="N113" s="19">
        <f t="shared" ref="N113:N128" si="52">(G113/K113)</f>
        <v>1.6053406169769927E-3</v>
      </c>
      <c r="O113" s="20">
        <f t="shared" ref="O113:O128" si="53">H113/K113</f>
        <v>5.7560496032267386E-3</v>
      </c>
      <c r="P113" s="23">
        <f t="shared" ref="P113:P128" si="54">K113/V113</f>
        <v>157694.31575014588</v>
      </c>
      <c r="Q113" s="23">
        <f t="shared" ref="Q113:Q128" si="55">H113/V113</f>
        <v>907.69630360473911</v>
      </c>
      <c r="R113" s="10">
        <f>100*FX_RATE</f>
        <v>153355.40000000002</v>
      </c>
      <c r="S113" s="10">
        <f>100*FX_RATE</f>
        <v>153355.40000000002</v>
      </c>
      <c r="T113" s="10">
        <v>78</v>
      </c>
      <c r="U113" s="10">
        <v>30405.59</v>
      </c>
      <c r="V113" s="10">
        <v>35836.99</v>
      </c>
    </row>
    <row r="114" spans="1:24" ht="12.9" customHeight="1">
      <c r="A114" s="79">
        <v>100</v>
      </c>
      <c r="B114" s="18" t="s">
        <v>132</v>
      </c>
      <c r="C114" s="70" t="s">
        <v>25</v>
      </c>
      <c r="D114" s="16">
        <f>791588.03*FX_RATE</f>
        <v>1213942989.75862</v>
      </c>
      <c r="E114" s="16">
        <f>90578.83*FX_RATE</f>
        <v>138907527.06182</v>
      </c>
      <c r="F114" s="16">
        <f>-22506*FX_RATE</f>
        <v>-34514166.324000001</v>
      </c>
      <c r="G114" s="16">
        <f>17953.81*FX_RATE</f>
        <v>27533137.140740003</v>
      </c>
      <c r="H114" s="12">
        <f t="shared" si="50"/>
        <v>76860223.597079992</v>
      </c>
      <c r="I114" s="28">
        <v>16294525196.735998</v>
      </c>
      <c r="J114" s="13">
        <f t="shared" si="43"/>
        <v>8.4945862058326046E-3</v>
      </c>
      <c r="K114" s="28">
        <f>10985236*FX_RATE</f>
        <v>16846452608.744001</v>
      </c>
      <c r="L114" s="13">
        <f t="shared" si="44"/>
        <v>8.5755868732305066E-3</v>
      </c>
      <c r="M114" s="13">
        <f t="shared" si="51"/>
        <v>3.3871954251146967E-2</v>
      </c>
      <c r="N114" s="19">
        <f t="shared" si="52"/>
        <v>1.6343581512495498E-3</v>
      </c>
      <c r="O114" s="20">
        <f t="shared" si="53"/>
        <v>4.5623981132494554E-3</v>
      </c>
      <c r="P114" s="23">
        <f t="shared" si="54"/>
        <v>1826.3271558037668</v>
      </c>
      <c r="Q114" s="23">
        <f t="shared" si="55"/>
        <v>8.3324315698153502</v>
      </c>
      <c r="R114" s="10">
        <f>1.1909*FX_RATE</f>
        <v>1826.3094586000002</v>
      </c>
      <c r="S114" s="10">
        <f>1.1909*FX_RATE</f>
        <v>1826.3094586000002</v>
      </c>
      <c r="T114" s="10">
        <v>314</v>
      </c>
      <c r="U114" s="10">
        <v>9020088</v>
      </c>
      <c r="V114" s="10">
        <v>9224225</v>
      </c>
    </row>
    <row r="115" spans="1:24" ht="12.9" customHeight="1">
      <c r="A115" s="79">
        <v>101</v>
      </c>
      <c r="B115" s="18" t="s">
        <v>270</v>
      </c>
      <c r="C115" s="70" t="s">
        <v>25</v>
      </c>
      <c r="D115" s="16">
        <f>1576059.81*FX_RATE</f>
        <v>2416972825.8647404</v>
      </c>
      <c r="E115" s="16">
        <f>22910.59*FX_RATE</f>
        <v>35134626.936860003</v>
      </c>
      <c r="F115" s="16">
        <v>0</v>
      </c>
      <c r="G115" s="16">
        <f>3787.99*FX_RATE</f>
        <v>5809087.2164599998</v>
      </c>
      <c r="H115" s="12">
        <f t="shared" si="50"/>
        <v>29325539.720400002</v>
      </c>
      <c r="I115" s="28">
        <v>3230696565.8429999</v>
      </c>
      <c r="J115" s="13">
        <f t="shared" si="43"/>
        <v>1.6842117307559218E-3</v>
      </c>
      <c r="K115" s="28">
        <f>2166496 *FX_RATE</f>
        <v>3322438606.7840004</v>
      </c>
      <c r="L115" s="13">
        <f t="shared" si="44"/>
        <v>1.6912676849642921E-3</v>
      </c>
      <c r="M115" s="13">
        <f t="shared" si="51"/>
        <v>2.8396984697032914E-2</v>
      </c>
      <c r="N115" s="19">
        <f t="shared" si="52"/>
        <v>1.7484408002599588E-3</v>
      </c>
      <c r="O115" s="20">
        <f t="shared" si="53"/>
        <v>8.826510642069036E-3</v>
      </c>
      <c r="P115" s="23">
        <f t="shared" si="54"/>
        <v>1576.6075082469131</v>
      </c>
      <c r="Q115" s="23">
        <f t="shared" si="55"/>
        <v>13.915942949907324</v>
      </c>
      <c r="R115" s="10">
        <f>1.0281*FX_RATE</f>
        <v>1576.6468674</v>
      </c>
      <c r="S115" s="10">
        <f>1.0281*FX_RATE</f>
        <v>1576.6468674</v>
      </c>
      <c r="T115" s="10">
        <v>84</v>
      </c>
      <c r="U115" s="10">
        <v>2060042</v>
      </c>
      <c r="V115" s="10">
        <v>2107334</v>
      </c>
    </row>
    <row r="116" spans="1:24" ht="12.9" customHeight="1">
      <c r="A116" s="79">
        <v>102</v>
      </c>
      <c r="B116" s="75" t="s">
        <v>235</v>
      </c>
      <c r="C116" s="76" t="s">
        <v>102</v>
      </c>
      <c r="D116" s="16">
        <f>14031965.5*FX_RATE</f>
        <v>21518776820.387001</v>
      </c>
      <c r="E116" s="16">
        <f>175733.38*FX_RATE</f>
        <v>269496627.83252001</v>
      </c>
      <c r="F116" s="16">
        <v>0</v>
      </c>
      <c r="G116" s="16">
        <f>16220.71*FX_RATE</f>
        <v>24875334.703340001</v>
      </c>
      <c r="H116" s="12">
        <f t="shared" si="50"/>
        <v>244621293.12918001</v>
      </c>
      <c r="I116" s="28">
        <v>17925999427.697716</v>
      </c>
      <c r="J116" s="13">
        <f t="shared" si="43"/>
        <v>9.3450987755560131E-3</v>
      </c>
      <c r="K116" s="28">
        <f>14033217.8*FX_RATE</f>
        <v>21520697290.061203</v>
      </c>
      <c r="L116" s="13">
        <f t="shared" si="44"/>
        <v>1.0954983430020502E-2</v>
      </c>
      <c r="M116" s="13">
        <f t="shared" si="51"/>
        <v>0.2005298436420381</v>
      </c>
      <c r="N116" s="19">
        <f t="shared" si="52"/>
        <v>1.1558795873602133E-3</v>
      </c>
      <c r="O116" s="20">
        <f t="shared" si="53"/>
        <v>1.1366792155110711E-2</v>
      </c>
      <c r="P116" s="23">
        <f t="shared" si="54"/>
        <v>1674.409492957866</v>
      </c>
      <c r="Q116" s="23">
        <f t="shared" si="55"/>
        <v>19.032664688996373</v>
      </c>
      <c r="R116" s="10">
        <f>1.0918*FX_RATE</f>
        <v>1674.3342572000004</v>
      </c>
      <c r="S116" s="10">
        <f>1.0918*FX_RATE</f>
        <v>1674.3342572000004</v>
      </c>
      <c r="T116" s="10">
        <v>488</v>
      </c>
      <c r="U116" s="10">
        <v>10812023.880000001</v>
      </c>
      <c r="V116" s="10">
        <v>12852708.6</v>
      </c>
    </row>
    <row r="117" spans="1:24" ht="12.9" customHeight="1">
      <c r="A117" s="79">
        <v>103</v>
      </c>
      <c r="B117" s="75" t="s">
        <v>236</v>
      </c>
      <c r="C117" s="76" t="s">
        <v>214</v>
      </c>
      <c r="D117" s="16">
        <f>620869.2*FX_RATE</f>
        <v>952136445.13679993</v>
      </c>
      <c r="E117" s="16">
        <f>12804.98*FX_RATE</f>
        <v>19637128.298920002</v>
      </c>
      <c r="F117" s="16">
        <v>0</v>
      </c>
      <c r="G117" s="16">
        <f>1106.19*FX_RATE</f>
        <v>1696402.0992600003</v>
      </c>
      <c r="H117" s="12">
        <f t="shared" si="50"/>
        <v>17940726.199660003</v>
      </c>
      <c r="I117" s="28">
        <v>796229658.246315</v>
      </c>
      <c r="J117" s="13">
        <f t="shared" si="43"/>
        <v>4.1508674784637478E-4</v>
      </c>
      <c r="K117" s="28">
        <f>614051.78*FX_RATE</f>
        <v>941681563.42612004</v>
      </c>
      <c r="L117" s="13">
        <f t="shared" si="44"/>
        <v>4.7935741972697049E-4</v>
      </c>
      <c r="M117" s="13">
        <f t="shared" si="51"/>
        <v>0.18267581931092705</v>
      </c>
      <c r="N117" s="19">
        <f t="shared" si="52"/>
        <v>1.8014604566409696E-3</v>
      </c>
      <c r="O117" s="20">
        <f t="shared" si="53"/>
        <v>1.9051797227914561E-2</v>
      </c>
      <c r="P117" s="23">
        <f t="shared" si="54"/>
        <v>1668.3999386312328</v>
      </c>
      <c r="Q117" s="23">
        <f t="shared" si="55"/>
        <v>31.786017325867341</v>
      </c>
      <c r="R117" s="10">
        <f>1*FX_RATE</f>
        <v>1533.5540000000001</v>
      </c>
      <c r="S117" s="10">
        <f>1*FX_RATE</f>
        <v>1533.5540000000001</v>
      </c>
      <c r="T117" s="10">
        <v>37</v>
      </c>
      <c r="U117" s="10">
        <v>466162.19</v>
      </c>
      <c r="V117" s="10">
        <v>564421.96</v>
      </c>
    </row>
    <row r="118" spans="1:24" ht="12.9" customHeight="1">
      <c r="A118" s="79">
        <v>104</v>
      </c>
      <c r="B118" s="75" t="s">
        <v>237</v>
      </c>
      <c r="C118" s="76" t="s">
        <v>47</v>
      </c>
      <c r="D118" s="16">
        <f>321350.25*FX_RATE</f>
        <v>492807961.28850001</v>
      </c>
      <c r="E118" s="16">
        <f>4324.6*FX_RATE</f>
        <v>6632007.6284000007</v>
      </c>
      <c r="F118" s="16">
        <v>0</v>
      </c>
      <c r="G118" s="16">
        <f>784.38*FX_RATE</f>
        <v>1202889.0865200001</v>
      </c>
      <c r="H118" s="12">
        <f t="shared" si="50"/>
        <v>5429118.5418800004</v>
      </c>
      <c r="I118" s="28">
        <v>452429747.39363998</v>
      </c>
      <c r="J118" s="13">
        <f t="shared" si="43"/>
        <v>2.3585857488429222E-4</v>
      </c>
      <c r="K118" s="28">
        <f>378614.69 *FX_RATE</f>
        <v>580626072.30826008</v>
      </c>
      <c r="L118" s="13">
        <f t="shared" si="44"/>
        <v>2.9556426148479991E-4</v>
      </c>
      <c r="M118" s="13">
        <f t="shared" si="51"/>
        <v>0.28335078684178983</v>
      </c>
      <c r="N118" s="19">
        <f t="shared" si="52"/>
        <v>2.071710424125382E-3</v>
      </c>
      <c r="O118" s="20">
        <f t="shared" si="53"/>
        <v>9.3504560005318333E-3</v>
      </c>
      <c r="P118" s="23">
        <f t="shared" si="54"/>
        <v>2028.1281417223465</v>
      </c>
      <c r="Q118" s="23">
        <f t="shared" si="55"/>
        <v>18.963922952615192</v>
      </c>
      <c r="R118" s="10">
        <f>1.3225*FX_RATE</f>
        <v>2028.1251650000002</v>
      </c>
      <c r="S118" s="10">
        <f>1.3225*FX_RATE</f>
        <v>2028.1251650000002</v>
      </c>
      <c r="T118" s="10">
        <v>57</v>
      </c>
      <c r="U118" s="10">
        <v>220565.57</v>
      </c>
      <c r="V118" s="10">
        <v>286286.68</v>
      </c>
    </row>
    <row r="119" spans="1:24" ht="12.9" customHeight="1">
      <c r="A119" s="79">
        <v>105</v>
      </c>
      <c r="B119" s="75" t="s">
        <v>238</v>
      </c>
      <c r="C119" s="76" t="s">
        <v>168</v>
      </c>
      <c r="D119" s="16">
        <f>370266.01*FX_RATE</f>
        <v>567822920.69954002</v>
      </c>
      <c r="E119" s="16">
        <f>3666.11*FX_RATE</f>
        <v>5622177.6549400007</v>
      </c>
      <c r="F119" s="16">
        <v>0</v>
      </c>
      <c r="G119" s="16">
        <f>548.88*FX_RATE</f>
        <v>841737.11952000007</v>
      </c>
      <c r="H119" s="12">
        <f t="shared" si="50"/>
        <v>4780440.5354200006</v>
      </c>
      <c r="I119" s="28">
        <v>819962520.06672001</v>
      </c>
      <c r="J119" s="13">
        <f t="shared" si="43"/>
        <v>4.2745905315815685E-4</v>
      </c>
      <c r="K119" s="28">
        <f>540887.37*FX_RATE</f>
        <v>829479989.81298006</v>
      </c>
      <c r="L119" s="13">
        <f t="shared" si="44"/>
        <v>4.2224187355357427E-4</v>
      </c>
      <c r="M119" s="13">
        <f t="shared" si="51"/>
        <v>1.1607200955338317E-2</v>
      </c>
      <c r="N119" s="19">
        <f t="shared" si="52"/>
        <v>1.0147768841413324E-3</v>
      </c>
      <c r="O119" s="20">
        <f t="shared" si="53"/>
        <v>5.763177646392446E-3</v>
      </c>
      <c r="P119" s="23">
        <f t="shared" si="54"/>
        <v>161944.55092014448</v>
      </c>
      <c r="Q119" s="23">
        <f t="shared" si="55"/>
        <v>933.31521581803997</v>
      </c>
      <c r="R119" s="10">
        <f>107.69*FX_RATE</f>
        <v>165148.43025999999</v>
      </c>
      <c r="S119" s="10">
        <f>106.06*FX_RATE</f>
        <v>162648.73724000002</v>
      </c>
      <c r="T119" s="10">
        <v>66</v>
      </c>
      <c r="U119" s="10">
        <v>5094</v>
      </c>
      <c r="V119" s="10">
        <v>5122</v>
      </c>
    </row>
    <row r="120" spans="1:24" ht="15" customHeight="1">
      <c r="A120" s="79">
        <v>106</v>
      </c>
      <c r="B120" s="18" t="s">
        <v>133</v>
      </c>
      <c r="C120" s="70" t="s">
        <v>68</v>
      </c>
      <c r="D120" s="16">
        <f>733574.96*FX_RATE</f>
        <v>1124976814.20784</v>
      </c>
      <c r="E120" s="16">
        <f>30998.18*FX_RATE</f>
        <v>47537382.931720003</v>
      </c>
      <c r="F120" s="16">
        <v>0</v>
      </c>
      <c r="G120" s="16">
        <f>4802.65*FX_RATE</f>
        <v>7365123.1180999996</v>
      </c>
      <c r="H120" s="12">
        <f t="shared" si="50"/>
        <v>40172259.813620001</v>
      </c>
      <c r="I120" s="28">
        <v>5239210735.5323992</v>
      </c>
      <c r="J120" s="13">
        <f t="shared" si="43"/>
        <v>2.7312810104106939E-3</v>
      </c>
      <c r="K120" s="28">
        <f>3472748.67*FX_RATE</f>
        <v>5325647613.8731804</v>
      </c>
      <c r="L120" s="13">
        <f t="shared" si="44"/>
        <v>2.7109893595805043E-3</v>
      </c>
      <c r="M120" s="13">
        <f t="shared" si="51"/>
        <v>1.6498072458617691E-2</v>
      </c>
      <c r="N120" s="19">
        <f t="shared" si="52"/>
        <v>1.3829535207913561E-3</v>
      </c>
      <c r="O120" s="20">
        <f t="shared" si="53"/>
        <v>7.5431689676523578E-3</v>
      </c>
      <c r="P120" s="23">
        <f t="shared" si="54"/>
        <v>169509.3329838475</v>
      </c>
      <c r="Q120" s="23">
        <f t="shared" si="55"/>
        <v>1278.6375402912088</v>
      </c>
      <c r="R120" s="10">
        <v>111.41</v>
      </c>
      <c r="S120" s="10">
        <v>111.41</v>
      </c>
      <c r="T120" s="10">
        <v>60</v>
      </c>
      <c r="U120" s="10">
        <v>30795.27</v>
      </c>
      <c r="V120" s="10">
        <v>31418.02</v>
      </c>
    </row>
    <row r="121" spans="1:24" ht="15" customHeight="1">
      <c r="A121" s="79">
        <v>107</v>
      </c>
      <c r="B121" s="18" t="s">
        <v>134</v>
      </c>
      <c r="C121" s="18" t="s">
        <v>135</v>
      </c>
      <c r="D121" s="16">
        <v>57264506808.849998</v>
      </c>
      <c r="E121" s="16">
        <v>438598193.74000001</v>
      </c>
      <c r="F121" s="16">
        <v>0</v>
      </c>
      <c r="G121" s="16">
        <v>92562901.430000007</v>
      </c>
      <c r="H121" s="12">
        <f t="shared" si="50"/>
        <v>346035292.31</v>
      </c>
      <c r="I121" s="28">
        <v>55997277819.339996</v>
      </c>
      <c r="J121" s="13">
        <f t="shared" si="43"/>
        <v>2.919224082844863E-2</v>
      </c>
      <c r="K121" s="28">
        <v>56894600745.620003</v>
      </c>
      <c r="L121" s="13">
        <f t="shared" si="44"/>
        <v>2.8961859368457601E-2</v>
      </c>
      <c r="M121" s="13">
        <f t="shared" si="51"/>
        <v>1.6024402635695524E-2</v>
      </c>
      <c r="N121" s="19">
        <f t="shared" si="52"/>
        <v>1.6269189029703473E-3</v>
      </c>
      <c r="O121" s="20">
        <f t="shared" si="53"/>
        <v>6.0820409630282773E-3</v>
      </c>
      <c r="P121" s="23">
        <f t="shared" si="54"/>
        <v>202387.4766311702</v>
      </c>
      <c r="Q121" s="23">
        <f t="shared" si="55"/>
        <v>1230.9289232747053</v>
      </c>
      <c r="R121" s="10">
        <f>131.82*FX_RATE</f>
        <v>202153.08828</v>
      </c>
      <c r="S121" s="10">
        <f>131.82*FX_RATE</f>
        <v>202153.08828</v>
      </c>
      <c r="T121" s="10">
        <v>2462</v>
      </c>
      <c r="U121" s="10">
        <v>279119</v>
      </c>
      <c r="V121" s="10">
        <v>281117.2</v>
      </c>
    </row>
    <row r="122" spans="1:24">
      <c r="A122" s="79">
        <v>108</v>
      </c>
      <c r="B122" s="18" t="s">
        <v>136</v>
      </c>
      <c r="C122" s="18" t="s">
        <v>135</v>
      </c>
      <c r="D122" s="16">
        <v>163975987017.98001</v>
      </c>
      <c r="E122" s="16">
        <v>1349540163.01</v>
      </c>
      <c r="F122" s="16">
        <v>0</v>
      </c>
      <c r="G122" s="16">
        <v>260536544.11000001</v>
      </c>
      <c r="H122" s="12">
        <f t="shared" si="50"/>
        <v>1089003618.9000001</v>
      </c>
      <c r="I122" s="28">
        <v>155402052630.03</v>
      </c>
      <c r="J122" s="13">
        <f t="shared" si="43"/>
        <v>8.1013476409460106E-2</v>
      </c>
      <c r="K122" s="28">
        <v>162758150648.79001</v>
      </c>
      <c r="L122" s="13">
        <f t="shared" si="44"/>
        <v>8.2851072129605907E-2</v>
      </c>
      <c r="M122" s="13">
        <f t="shared" si="51"/>
        <v>4.7335912841980778E-2</v>
      </c>
      <c r="N122" s="19">
        <f t="shared" si="52"/>
        <v>1.6007588134384894E-3</v>
      </c>
      <c r="O122" s="20">
        <f t="shared" si="53"/>
        <v>6.6909313884373264E-3</v>
      </c>
      <c r="P122" s="23">
        <f t="shared" si="54"/>
        <v>191052.54768789632</v>
      </c>
      <c r="Q122" s="23">
        <f t="shared" si="55"/>
        <v>1278.3194881658646</v>
      </c>
      <c r="R122" s="10">
        <f>124.44*FX_RATE</f>
        <v>190835.45976</v>
      </c>
      <c r="S122" s="10">
        <f>124.44*FX_RATE</f>
        <v>190835.45976</v>
      </c>
      <c r="T122" s="10">
        <v>925</v>
      </c>
      <c r="U122" s="10">
        <v>820870.75</v>
      </c>
      <c r="V122" s="10">
        <v>851902.54</v>
      </c>
    </row>
    <row r="123" spans="1:24">
      <c r="A123" s="79">
        <v>109</v>
      </c>
      <c r="B123" s="75" t="s">
        <v>272</v>
      </c>
      <c r="C123" s="76" t="s">
        <v>273</v>
      </c>
      <c r="D123" s="16">
        <f>758414.1*FX_RATE</f>
        <v>1163068976.7114</v>
      </c>
      <c r="E123" s="16">
        <f>3976.27*FX_RATE</f>
        <v>6097824.76358</v>
      </c>
      <c r="F123" s="16">
        <v>0</v>
      </c>
      <c r="G123" s="16">
        <f>834.28*FX_RATE</f>
        <v>1279413.4311200001</v>
      </c>
      <c r="H123" s="12">
        <f t="shared" si="50"/>
        <v>4818411.3324600002</v>
      </c>
      <c r="I123" s="45">
        <v>999805168.37654996</v>
      </c>
      <c r="J123" s="13">
        <f t="shared" si="43"/>
        <v>5.212137874083516E-4</v>
      </c>
      <c r="K123" s="28">
        <f>750681.51*FX_RATE</f>
        <v>1151210632.3865402</v>
      </c>
      <c r="L123" s="13">
        <f t="shared" si="44"/>
        <v>5.8601695067205255E-4</v>
      </c>
      <c r="M123" s="13">
        <f t="shared" si="51"/>
        <v>0.15143496833071721</v>
      </c>
      <c r="N123" s="19">
        <f t="shared" si="52"/>
        <v>1.1113634595848777E-3</v>
      </c>
      <c r="O123" s="20">
        <f t="shared" si="53"/>
        <v>4.1855167046807905E-3</v>
      </c>
      <c r="P123" s="23">
        <f t="shared" si="54"/>
        <v>158668.83594584197</v>
      </c>
      <c r="Q123" s="23">
        <f t="shared" si="55"/>
        <v>664.11106336357739</v>
      </c>
      <c r="R123" s="10">
        <f>1*FX_RATE</f>
        <v>1533.5540000000001</v>
      </c>
      <c r="S123" s="10">
        <f>1*FX_RATE</f>
        <v>1533.5540000000001</v>
      </c>
      <c r="T123" s="10">
        <v>8</v>
      </c>
      <c r="U123" s="10">
        <v>6259.7960000000003</v>
      </c>
      <c r="V123" s="10">
        <v>7255.43</v>
      </c>
    </row>
    <row r="124" spans="1:24" s="3" customFormat="1">
      <c r="A124" s="79">
        <v>110</v>
      </c>
      <c r="B124" s="75" t="s">
        <v>137</v>
      </c>
      <c r="C124" s="76" t="s">
        <v>138</v>
      </c>
      <c r="D124" s="16">
        <f>160013.86*FX_RATE</f>
        <v>245389895.05844</v>
      </c>
      <c r="E124" s="16">
        <v>0</v>
      </c>
      <c r="F124" s="16">
        <v>0</v>
      </c>
      <c r="G124" s="16">
        <f>3535.16*FX_RATE</f>
        <v>5421358.7586399997</v>
      </c>
      <c r="H124" s="12">
        <f t="shared" si="50"/>
        <v>-5421358.7586399997</v>
      </c>
      <c r="I124" s="28">
        <v>250475256.18314996</v>
      </c>
      <c r="J124" s="13">
        <f t="shared" si="43"/>
        <v>1.3057659737774843E-4</v>
      </c>
      <c r="K124" s="28">
        <f>163740.3*FX_RATE</f>
        <v>251104592.0262</v>
      </c>
      <c r="L124" s="13">
        <f t="shared" si="44"/>
        <v>1.2782330459708147E-4</v>
      </c>
      <c r="M124" s="13">
        <f t="shared" si="51"/>
        <v>2.5125669203422485E-3</v>
      </c>
      <c r="N124" s="19">
        <f t="shared" si="52"/>
        <v>2.1590042280367143E-2</v>
      </c>
      <c r="O124" s="20">
        <f t="shared" si="53"/>
        <v>-2.1590042280367143E-2</v>
      </c>
      <c r="P124" s="23">
        <f t="shared" si="54"/>
        <v>196682.53468019111</v>
      </c>
      <c r="Q124" s="23">
        <f t="shared" si="55"/>
        <v>-4246.3842395551028</v>
      </c>
      <c r="R124" s="10">
        <f>128.253*FX_RATE</f>
        <v>196682.90116199999</v>
      </c>
      <c r="S124" s="10">
        <f>128.253*FX_RATE</f>
        <v>196682.90116199999</v>
      </c>
      <c r="T124" s="10">
        <v>7</v>
      </c>
      <c r="U124" s="10">
        <v>1276.7</v>
      </c>
      <c r="V124" s="10">
        <v>1276.7</v>
      </c>
      <c r="W124" s="6"/>
      <c r="X124" s="6"/>
    </row>
    <row r="125" spans="1:24">
      <c r="A125" s="79">
        <v>111</v>
      </c>
      <c r="B125" s="18" t="s">
        <v>139</v>
      </c>
      <c r="C125" s="18" t="s">
        <v>140</v>
      </c>
      <c r="D125" s="16">
        <f xml:space="preserve"> 10873809.09*FX_RATE</f>
        <v>16675573425.20586</v>
      </c>
      <c r="E125" s="16">
        <f>64120.61*FX_RATE</f>
        <v>98332417.947940007</v>
      </c>
      <c r="F125" s="16">
        <v>0</v>
      </c>
      <c r="G125" s="16">
        <f>18342.92*FX_RATE</f>
        <v>28129858.337679997</v>
      </c>
      <c r="H125" s="12">
        <f t="shared" si="50"/>
        <v>70202559.61026001</v>
      </c>
      <c r="I125" s="28">
        <v>21215621665.769115</v>
      </c>
      <c r="J125" s="13">
        <f t="shared" si="43"/>
        <v>1.1060029364114618E-2</v>
      </c>
      <c r="K125" s="28">
        <f>10832198.8*FX_RATE</f>
        <v>16611761798.535202</v>
      </c>
      <c r="L125" s="13">
        <f t="shared" si="44"/>
        <v>8.4561189070042047E-3</v>
      </c>
      <c r="M125" s="13">
        <f t="shared" si="51"/>
        <v>-0.21700329784170916</v>
      </c>
      <c r="N125" s="19">
        <f t="shared" si="52"/>
        <v>1.6933699555070939E-3</v>
      </c>
      <c r="O125" s="20">
        <f t="shared" si="53"/>
        <v>4.2260755037102898E-3</v>
      </c>
      <c r="P125" s="23">
        <f t="shared" si="54"/>
        <v>2186.5234145813142</v>
      </c>
      <c r="Q125" s="23">
        <f t="shared" si="55"/>
        <v>9.2404130406510721</v>
      </c>
      <c r="R125" s="10">
        <f>1.43*FX_RATE</f>
        <v>2192.9822199999999</v>
      </c>
      <c r="S125" s="10">
        <f>1.43*FX_RATE</f>
        <v>2192.9822199999999</v>
      </c>
      <c r="T125" s="10">
        <v>118</v>
      </c>
      <c r="U125" s="10">
        <v>7851814</v>
      </c>
      <c r="V125" s="10">
        <v>7597340</v>
      </c>
    </row>
    <row r="126" spans="1:24">
      <c r="A126" s="79">
        <v>112</v>
      </c>
      <c r="B126" s="18" t="s">
        <v>141</v>
      </c>
      <c r="C126" s="18" t="s">
        <v>49</v>
      </c>
      <c r="D126" s="16">
        <f xml:space="preserve"> 109396339*FX_RATE</f>
        <v>167765193258.806</v>
      </c>
      <c r="E126" s="16">
        <f>728272*FX_RATE</f>
        <v>1116844438.688</v>
      </c>
      <c r="F126" s="16">
        <v>0</v>
      </c>
      <c r="G126" s="16">
        <f>164740*FX_RATE</f>
        <v>252637685.96000001</v>
      </c>
      <c r="H126" s="12">
        <f t="shared" si="50"/>
        <v>864206752.72799993</v>
      </c>
      <c r="I126" s="28">
        <v>176953947590.76147</v>
      </c>
      <c r="J126" s="13">
        <f t="shared" si="43"/>
        <v>9.2248810206093532E-2</v>
      </c>
      <c r="K126" s="28">
        <f>119567206*FX_RATE</f>
        <v>183362767030.12402</v>
      </c>
      <c r="L126" s="13">
        <f t="shared" si="44"/>
        <v>9.3339730001471777E-2</v>
      </c>
      <c r="M126" s="13">
        <f t="shared" si="51"/>
        <v>3.6217442598026249E-2</v>
      </c>
      <c r="N126" s="19">
        <f t="shared" si="52"/>
        <v>1.3778025389336269E-3</v>
      </c>
      <c r="O126" s="20">
        <f t="shared" si="53"/>
        <v>4.7130983390211521E-3</v>
      </c>
      <c r="P126" s="23">
        <f t="shared" si="54"/>
        <v>186716.57196288713</v>
      </c>
      <c r="Q126" s="23">
        <f t="shared" si="55"/>
        <v>880.01356518600664</v>
      </c>
      <c r="R126" s="10">
        <f>121.8*FX_RATE</f>
        <v>186786.87720000002</v>
      </c>
      <c r="S126" s="10">
        <f>121.8*FX_RATE</f>
        <v>186786.87720000002</v>
      </c>
      <c r="T126" s="10">
        <v>1068</v>
      </c>
      <c r="U126" s="10">
        <v>949385</v>
      </c>
      <c r="V126" s="10">
        <v>982037.99</v>
      </c>
    </row>
    <row r="127" spans="1:24" ht="13.95" customHeight="1">
      <c r="A127" s="79">
        <v>113</v>
      </c>
      <c r="B127" s="18" t="s">
        <v>142</v>
      </c>
      <c r="C127" s="18" t="s">
        <v>143</v>
      </c>
      <c r="D127" s="16">
        <f>19786935.08*FX_RATE</f>
        <v>30344333439.67432</v>
      </c>
      <c r="E127" s="16">
        <f>299028.24*FX_RATE</f>
        <v>458575953.56496</v>
      </c>
      <c r="F127" s="16">
        <f>30439.42*FX_RATE</f>
        <v>46680494.29868</v>
      </c>
      <c r="G127" s="16">
        <f>47848.78*FX_RATE</f>
        <v>73378687.964120001</v>
      </c>
      <c r="H127" s="12">
        <f t="shared" si="50"/>
        <v>431877759.89952004</v>
      </c>
      <c r="I127" s="28">
        <v>31130014029.189999</v>
      </c>
      <c r="J127" s="13">
        <f t="shared" si="43"/>
        <v>1.6228554349819461E-2</v>
      </c>
      <c r="K127" s="28">
        <f>21183107.86*FX_RATE</f>
        <v>32485439791.134441</v>
      </c>
      <c r="L127" s="13">
        <f t="shared" si="44"/>
        <v>1.6536520626269837E-2</v>
      </c>
      <c r="M127" s="13">
        <f t="shared" si="51"/>
        <v>4.354080151308274E-2</v>
      </c>
      <c r="N127" s="19">
        <f t="shared" si="52"/>
        <v>2.2588177483792503E-3</v>
      </c>
      <c r="O127" s="20">
        <f t="shared" si="53"/>
        <v>1.3294502480997139E-2</v>
      </c>
      <c r="P127" s="23">
        <f t="shared" si="54"/>
        <v>159496.45165648431</v>
      </c>
      <c r="Q127" s="23">
        <f t="shared" si="55"/>
        <v>2120.4259722573711</v>
      </c>
      <c r="R127" s="10">
        <f>104*FX_RATE</f>
        <v>159489.61600000001</v>
      </c>
      <c r="S127" s="10">
        <f>104*FX_RATE</f>
        <v>159489.61600000001</v>
      </c>
      <c r="T127" s="10">
        <v>713</v>
      </c>
      <c r="U127" s="10">
        <v>191532</v>
      </c>
      <c r="V127" s="10">
        <v>203675</v>
      </c>
    </row>
    <row r="128" spans="1:24">
      <c r="A128" s="79">
        <v>114</v>
      </c>
      <c r="B128" s="18" t="s">
        <v>144</v>
      </c>
      <c r="C128" s="18" t="s">
        <v>41</v>
      </c>
      <c r="D128" s="16">
        <f>1712960.76*FX_RATE</f>
        <v>2626917825.3410401</v>
      </c>
      <c r="E128" s="16">
        <f>32843.99*FX_RATE</f>
        <v>50368032.240460001</v>
      </c>
      <c r="F128" s="16">
        <v>0</v>
      </c>
      <c r="G128" s="16">
        <f>2162.32*FX_RATE</f>
        <v>3316034.4852800006</v>
      </c>
      <c r="H128" s="12">
        <f t="shared" si="50"/>
        <v>47051997.755180001</v>
      </c>
      <c r="I128" s="28">
        <v>2732785649.4286199</v>
      </c>
      <c r="J128" s="13">
        <f t="shared" si="43"/>
        <v>1.4246431240465777E-3</v>
      </c>
      <c r="K128" s="28">
        <f>1710798.44*FX_RATE</f>
        <v>2623601790.8557601</v>
      </c>
      <c r="L128" s="13">
        <f t="shared" si="44"/>
        <v>1.3355289449227333E-3</v>
      </c>
      <c r="M128" s="13">
        <f t="shared" si="51"/>
        <v>-3.995331964498873E-2</v>
      </c>
      <c r="N128" s="19">
        <f t="shared" si="52"/>
        <v>1.2639244632465297E-3</v>
      </c>
      <c r="O128" s="20">
        <f t="shared" si="53"/>
        <v>1.7934123203900046E-2</v>
      </c>
      <c r="P128" s="23">
        <f t="shared" si="54"/>
        <v>211317.66500871175</v>
      </c>
      <c r="Q128" s="23">
        <f t="shared" si="55"/>
        <v>3789.7970394267136</v>
      </c>
      <c r="R128" s="10">
        <f>139.41*FX_RATE</f>
        <v>213792.76314</v>
      </c>
      <c r="S128" s="10">
        <f>144.74*FX_RATE</f>
        <v>221966.60596000002</v>
      </c>
      <c r="T128" s="10">
        <v>52</v>
      </c>
      <c r="U128" s="10">
        <v>12403.44</v>
      </c>
      <c r="V128" s="10">
        <v>12415.44</v>
      </c>
    </row>
    <row r="129" spans="1:22" ht="8.1" customHeight="1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</row>
    <row r="130" spans="1:22">
      <c r="A130" s="125" t="s">
        <v>145</v>
      </c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</row>
    <row r="131" spans="1:22">
      <c r="A131" s="86">
        <v>115</v>
      </c>
      <c r="B131" s="18" t="s">
        <v>146</v>
      </c>
      <c r="C131" s="70" t="s">
        <v>100</v>
      </c>
      <c r="D131" s="43">
        <f xml:space="preserve"> 1031268.8 *FX_RATE</f>
        <v>1581506393.3152001</v>
      </c>
      <c r="E131" s="10">
        <f>8382.02 *FX_RATE</f>
        <v>12854280.299080001</v>
      </c>
      <c r="F131" s="10">
        <v>0</v>
      </c>
      <c r="G131" s="10">
        <f>2009.44 *FX_RATE</f>
        <v>3081584.74976</v>
      </c>
      <c r="H131" s="12">
        <f>(E131+F131)-G131</f>
        <v>9772695.5493200012</v>
      </c>
      <c r="I131" s="10">
        <v>1814055275.2260149</v>
      </c>
      <c r="J131" s="13">
        <f t="shared" ref="J131:J147" si="56">(I131/$I$148)</f>
        <v>9.45694871835819E-4</v>
      </c>
      <c r="K131" s="10">
        <f>1198289.82 *FX_RATE</f>
        <v>1837642146.6202803</v>
      </c>
      <c r="L131" s="13">
        <f t="shared" ref="L131" si="57">(K131/$K$148)</f>
        <v>9.3544084539628884E-4</v>
      </c>
      <c r="M131" s="13">
        <f t="shared" ref="M131:M148" si="58">((K131-I131)/I131)</f>
        <v>1.3002289244646475E-2</v>
      </c>
      <c r="N131" s="19">
        <f t="shared" ref="N131" si="59">(G131/K131)</f>
        <v>1.6769232004324294E-3</v>
      </c>
      <c r="O131" s="20">
        <f t="shared" ref="O131" si="60">H131/K131</f>
        <v>5.3180623699198241E-3</v>
      </c>
      <c r="P131" s="21">
        <f t="shared" ref="P131" si="61">K131/V131</f>
        <v>166830.88031051116</v>
      </c>
      <c r="Q131" s="21">
        <f t="shared" ref="Q131" si="62">H131/V131</f>
        <v>887.2170267199275</v>
      </c>
      <c r="R131" s="10">
        <f xml:space="preserve"> 108.79*FX_RATE</f>
        <v>166835.33966000003</v>
      </c>
      <c r="S131" s="10">
        <f xml:space="preserve"> 108.79*FX_RATE</f>
        <v>166835.33966000003</v>
      </c>
      <c r="T131" s="10">
        <v>24</v>
      </c>
      <c r="U131" s="16">
        <v>11108</v>
      </c>
      <c r="V131" s="16">
        <v>11015</v>
      </c>
    </row>
    <row r="132" spans="1:22">
      <c r="A132" s="86">
        <v>116</v>
      </c>
      <c r="B132" s="18" t="s">
        <v>147</v>
      </c>
      <c r="C132" s="70" t="s">
        <v>27</v>
      </c>
      <c r="D132" s="43">
        <f>9832606.04*FX_RATE</f>
        <v>15078832323.06616</v>
      </c>
      <c r="E132" s="10">
        <f>80964.6*FX_RATE</f>
        <v>124163586.18840002</v>
      </c>
      <c r="F132" s="10">
        <v>0</v>
      </c>
      <c r="G132" s="10">
        <f>14035.2*FX_RATE</f>
        <v>21523737.100800004</v>
      </c>
      <c r="H132" s="12">
        <f t="shared" ref="H132:H147" si="63">(E132+F132)-G132</f>
        <v>102639849.08760001</v>
      </c>
      <c r="I132" s="10">
        <v>19265562812.923576</v>
      </c>
      <c r="J132" s="13">
        <f t="shared" si="56"/>
        <v>1.0043433738777733E-2</v>
      </c>
      <c r="K132" s="10">
        <f>12634752.61*FX_RATE</f>
        <v>19376075404.075939</v>
      </c>
      <c r="L132" s="13">
        <f t="shared" ref="L132:L147" si="64">(K132/$K$148)</f>
        <v>9.8632763673744354E-3</v>
      </c>
      <c r="M132" s="13">
        <f t="shared" ref="M132:M147" si="65">((K132-I132)/I132)</f>
        <v>5.7362762887066873E-3</v>
      </c>
      <c r="N132" s="19">
        <f t="shared" ref="N132:N147" si="66">(G132/K132)</f>
        <v>1.1108409031207777E-3</v>
      </c>
      <c r="O132" s="20">
        <f t="shared" ref="O132:O147" si="67">H132/K132</f>
        <v>5.2972465758472816E-3</v>
      </c>
      <c r="P132" s="21">
        <f t="shared" ref="P132:P147" si="68">K132/V132</f>
        <v>213100.63856338811</v>
      </c>
      <c r="Q132" s="21">
        <f t="shared" ref="Q132:Q147" si="69">H132/V132</f>
        <v>1128.8466279407769</v>
      </c>
      <c r="R132" s="10">
        <f>138.21*FX_RATE</f>
        <v>211952.49834000002</v>
      </c>
      <c r="S132" s="10">
        <f>138.96*FX_RATE</f>
        <v>213102.66384000002</v>
      </c>
      <c r="T132" s="10">
        <v>609</v>
      </c>
      <c r="U132" s="16">
        <v>91126.83</v>
      </c>
      <c r="V132" s="16">
        <v>90924.53</v>
      </c>
    </row>
    <row r="133" spans="1:22" ht="14.1" customHeight="1">
      <c r="A133" s="86">
        <v>117</v>
      </c>
      <c r="B133" s="18" t="s">
        <v>148</v>
      </c>
      <c r="C133" s="18" t="s">
        <v>61</v>
      </c>
      <c r="D133" s="43">
        <f>11641357.13*FX_RATE</f>
        <v>17852649792.140022</v>
      </c>
      <c r="E133" s="10">
        <f>97006.18*FX_RATE</f>
        <v>148764215.36372</v>
      </c>
      <c r="F133" s="10">
        <v>0</v>
      </c>
      <c r="G133" s="10">
        <f>22211.36*FX_RATE</f>
        <v>34062319.973440006</v>
      </c>
      <c r="H133" s="12">
        <f t="shared" si="63"/>
        <v>114701895.39027999</v>
      </c>
      <c r="I133" s="10">
        <v>16385424893.132505</v>
      </c>
      <c r="J133" s="13">
        <f t="shared" si="56"/>
        <v>8.5419736134312498E-3</v>
      </c>
      <c r="K133" s="10">
        <f>11977305.85*FX_RATE</f>
        <v>18367845295.490902</v>
      </c>
      <c r="L133" s="13">
        <f t="shared" si="64"/>
        <v>9.3500428050819259E-3</v>
      </c>
      <c r="M133" s="13">
        <f t="shared" si="65"/>
        <v>0.12098681696006998</v>
      </c>
      <c r="N133" s="19">
        <f t="shared" si="66"/>
        <v>1.8544537710039359E-3</v>
      </c>
      <c r="O133" s="20">
        <f t="shared" si="67"/>
        <v>6.2447115350235454E-3</v>
      </c>
      <c r="P133" s="21">
        <f t="shared" si="68"/>
        <v>178649.47036415798</v>
      </c>
      <c r="Q133" s="21">
        <f t="shared" si="69"/>
        <v>1115.6144083089043</v>
      </c>
      <c r="R133" s="10">
        <f>115.55*FX_RATE</f>
        <v>177202.16469999999</v>
      </c>
      <c r="S133" s="10">
        <f>115.55*FX_RATE</f>
        <v>177202.16469999999</v>
      </c>
      <c r="T133" s="10">
        <f>385+36+17</f>
        <v>438</v>
      </c>
      <c r="U133" s="16">
        <v>116596</v>
      </c>
      <c r="V133" s="16">
        <v>102815</v>
      </c>
    </row>
    <row r="134" spans="1:22" ht="14.1" customHeight="1">
      <c r="A134" s="86">
        <v>118</v>
      </c>
      <c r="B134" s="75" t="s">
        <v>256</v>
      </c>
      <c r="C134" s="76" t="s">
        <v>63</v>
      </c>
      <c r="D134" s="43">
        <v>193260722.97</v>
      </c>
      <c r="E134" s="10">
        <v>621706.67000000004</v>
      </c>
      <c r="F134" s="10">
        <v>1412907.83</v>
      </c>
      <c r="G134" s="10">
        <v>407412.8</v>
      </c>
      <c r="H134" s="12">
        <f t="shared" si="63"/>
        <v>1627201.7</v>
      </c>
      <c r="I134" s="10">
        <v>187709347.28</v>
      </c>
      <c r="J134" s="13">
        <f t="shared" si="56"/>
        <v>9.7855765225361163E-5</v>
      </c>
      <c r="K134" s="10">
        <v>199330222.99000001</v>
      </c>
      <c r="L134" s="13">
        <f t="shared" si="64"/>
        <v>1.0146786883927828E-4</v>
      </c>
      <c r="M134" s="13">
        <f t="shared" si="65"/>
        <v>6.1908881355095875E-2</v>
      </c>
      <c r="N134" s="19">
        <f t="shared" si="66"/>
        <v>2.0439088156763816E-3</v>
      </c>
      <c r="O134" s="20">
        <f t="shared" si="67"/>
        <v>8.1633466094182486E-3</v>
      </c>
      <c r="P134" s="21">
        <f t="shared" si="68"/>
        <v>1574.0600049196723</v>
      </c>
      <c r="Q134" s="21">
        <f t="shared" si="69"/>
        <v>12.84959740418188</v>
      </c>
      <c r="R134" s="10">
        <v>1.0251999999999999</v>
      </c>
      <c r="S134" s="10">
        <v>1.0251999999999999</v>
      </c>
      <c r="T134" s="10">
        <v>3</v>
      </c>
      <c r="U134" s="16">
        <v>126380.23</v>
      </c>
      <c r="V134" s="16">
        <v>126634.45</v>
      </c>
    </row>
    <row r="135" spans="1:22" ht="15" customHeight="1">
      <c r="A135" s="86">
        <v>119</v>
      </c>
      <c r="B135" s="18" t="s">
        <v>149</v>
      </c>
      <c r="C135" s="70" t="s">
        <v>59</v>
      </c>
      <c r="D135" s="43">
        <f>6464018.97*FX_RATE</f>
        <v>9912922147.5193806</v>
      </c>
      <c r="E135" s="10">
        <f>43578.15*FX_RATE</f>
        <v>66829446.245100006</v>
      </c>
      <c r="F135" s="10">
        <v>0</v>
      </c>
      <c r="G135" s="10">
        <f>8015.27*FX_RATE</f>
        <v>12291849.369580001</v>
      </c>
      <c r="H135" s="12">
        <f t="shared" si="63"/>
        <v>54537596.875520006</v>
      </c>
      <c r="I135" s="10">
        <v>9281941025.9785194</v>
      </c>
      <c r="J135" s="13">
        <f t="shared" si="56"/>
        <v>4.8388183914940194E-3</v>
      </c>
      <c r="K135" s="10">
        <f>6480207.07*FX_RATE</f>
        <v>9937747473.0267811</v>
      </c>
      <c r="L135" s="13">
        <f t="shared" si="64"/>
        <v>5.0587514629005263E-3</v>
      </c>
      <c r="M135" s="13">
        <f t="shared" si="65"/>
        <v>7.0654020017232907E-2</v>
      </c>
      <c r="N135" s="19">
        <f t="shared" si="66"/>
        <v>1.236884857755016E-3</v>
      </c>
      <c r="O135" s="20">
        <f t="shared" si="67"/>
        <v>5.4879233974848892E-3</v>
      </c>
      <c r="P135" s="21">
        <f t="shared" si="68"/>
        <v>2009.1236207566837</v>
      </c>
      <c r="Q135" s="21">
        <f t="shared" si="69"/>
        <v>11.025916526790162</v>
      </c>
      <c r="R135" s="10">
        <f>1.31*FX_RATE</f>
        <v>2008.9557400000001</v>
      </c>
      <c r="S135" s="10">
        <f>1.31*FX_RATE</f>
        <v>2008.9557400000001</v>
      </c>
      <c r="T135" s="10">
        <v>407</v>
      </c>
      <c r="U135" s="16">
        <v>4657784.04</v>
      </c>
      <c r="V135" s="16">
        <v>4946309.6100000003</v>
      </c>
    </row>
    <row r="136" spans="1:22" ht="15" customHeight="1">
      <c r="A136" s="86">
        <v>120</v>
      </c>
      <c r="B136" s="70" t="s">
        <v>268</v>
      </c>
      <c r="C136" s="70" t="s">
        <v>35</v>
      </c>
      <c r="D136" s="43">
        <f>63901326.93*FX_RATE</f>
        <v>97996135518.809219</v>
      </c>
      <c r="E136" s="10">
        <f>387172.61*FX_RATE</f>
        <v>593750104.75593996</v>
      </c>
      <c r="F136" s="10">
        <v>0</v>
      </c>
      <c r="G136" s="10">
        <f>81584.92*FX_RATE</f>
        <v>125114880.40568</v>
      </c>
      <c r="H136" s="12">
        <f t="shared" ref="H136" si="70">(E136+F136)-G136</f>
        <v>468635224.35025996</v>
      </c>
      <c r="I136" s="10">
        <v>97327204910.905487</v>
      </c>
      <c r="J136" s="13">
        <f t="shared" si="56"/>
        <v>5.0738166488829665E-2</v>
      </c>
      <c r="K136" s="10">
        <f>64722126*FX_RATE</f>
        <v>99254875215.804001</v>
      </c>
      <c r="L136" s="13">
        <f t="shared" si="64"/>
        <v>5.0525106072657047E-2</v>
      </c>
      <c r="M136" s="13">
        <f t="shared" si="65"/>
        <v>1.980607895462658E-2</v>
      </c>
      <c r="N136" s="19">
        <f t="shared" si="66"/>
        <v>1.2605414105216507E-3</v>
      </c>
      <c r="O136" s="20">
        <f t="shared" si="67"/>
        <v>4.721533560254185E-3</v>
      </c>
      <c r="P136" s="21">
        <f t="shared" si="68"/>
        <v>153355.4</v>
      </c>
      <c r="Q136" s="21">
        <f t="shared" si="69"/>
        <v>724.07266774620473</v>
      </c>
      <c r="R136" s="10">
        <f>100*FX_RATE</f>
        <v>153355.40000000002</v>
      </c>
      <c r="S136" s="10">
        <f>100*FX_RATE</f>
        <v>153355.40000000002</v>
      </c>
      <c r="T136" s="10">
        <v>1893</v>
      </c>
      <c r="U136" s="16">
        <v>636245.91</v>
      </c>
      <c r="V136" s="16">
        <v>647221.26</v>
      </c>
    </row>
    <row r="137" spans="1:22" ht="15" customHeight="1">
      <c r="A137" s="86">
        <v>121</v>
      </c>
      <c r="B137" s="75" t="s">
        <v>232</v>
      </c>
      <c r="C137" s="76" t="s">
        <v>233</v>
      </c>
      <c r="D137" s="43">
        <f>1031749.36*FX_RATE</f>
        <v>1582243358.02544</v>
      </c>
      <c r="E137" s="10">
        <f>8537.06*FX_RATE</f>
        <v>13092042.51124</v>
      </c>
      <c r="F137" s="10">
        <v>0</v>
      </c>
      <c r="G137" s="10">
        <f xml:space="preserve"> 8777.76*FX_RATE</f>
        <v>13461168.959040001</v>
      </c>
      <c r="H137" s="12">
        <f t="shared" si="63"/>
        <v>-369126.44780000113</v>
      </c>
      <c r="I137" s="10">
        <v>1561511773.96134</v>
      </c>
      <c r="J137" s="13">
        <f t="shared" si="56"/>
        <v>8.1404006653684052E-4</v>
      </c>
      <c r="K137" s="10">
        <f>1031749.36*FX_RATE</f>
        <v>1582243358.02544</v>
      </c>
      <c r="L137" s="13">
        <f t="shared" si="64"/>
        <v>8.0543160548211942E-4</v>
      </c>
      <c r="M137" s="13">
        <f t="shared" si="65"/>
        <v>1.3276610788215102E-2</v>
      </c>
      <c r="N137" s="19">
        <f t="shared" si="66"/>
        <v>8.5076476325606845E-3</v>
      </c>
      <c r="O137" s="20">
        <f t="shared" si="67"/>
        <v>-2.3329309358621821E-4</v>
      </c>
      <c r="P137" s="21">
        <f t="shared" si="68"/>
        <v>1784.7523944720349</v>
      </c>
      <c r="Q137" s="21">
        <f t="shared" si="69"/>
        <v>-0.41637040739179149</v>
      </c>
      <c r="R137" s="10">
        <f>1.1128*FX_RATE</f>
        <v>1706.5388912000001</v>
      </c>
      <c r="S137" s="10">
        <f>1.1638*FX_RATE</f>
        <v>1784.7501451999999</v>
      </c>
      <c r="T137" s="10">
        <v>55</v>
      </c>
      <c r="U137" s="16">
        <v>907777.5</v>
      </c>
      <c r="V137" s="16">
        <v>886533.82</v>
      </c>
    </row>
    <row r="138" spans="1:22" ht="15" customHeight="1">
      <c r="A138" s="86">
        <v>122</v>
      </c>
      <c r="B138" s="75" t="s">
        <v>234</v>
      </c>
      <c r="C138" s="76" t="s">
        <v>39</v>
      </c>
      <c r="D138" s="43">
        <f>2877802.94*FX_RATE</f>
        <v>4413266209.8487606</v>
      </c>
      <c r="E138" s="10">
        <f>33313.84*FX_RATE</f>
        <v>51088572.587359995</v>
      </c>
      <c r="F138" s="10">
        <f>310.47*FX_RATE</f>
        <v>476122.51038000005</v>
      </c>
      <c r="G138" s="10">
        <f>6339.31*FX_RATE</f>
        <v>9721674.2077400014</v>
      </c>
      <c r="H138" s="12">
        <f t="shared" si="63"/>
        <v>41843020.889999993</v>
      </c>
      <c r="I138" s="10">
        <v>4983961130.5019093</v>
      </c>
      <c r="J138" s="13">
        <f t="shared" si="56"/>
        <v>2.598215471663327E-3</v>
      </c>
      <c r="K138" s="10">
        <f>3848059.67*FX_RATE</f>
        <v>5901207299.1671801</v>
      </c>
      <c r="L138" s="13">
        <f t="shared" si="64"/>
        <v>3.0039746067776524E-3</v>
      </c>
      <c r="M138" s="13">
        <f t="shared" si="65"/>
        <v>0.18403959112997731</v>
      </c>
      <c r="N138" s="19">
        <f t="shared" si="66"/>
        <v>1.6474042877822632E-3</v>
      </c>
      <c r="O138" s="20">
        <f t="shared" si="67"/>
        <v>7.0905865136961337E-3</v>
      </c>
      <c r="P138" s="21">
        <f t="shared" si="68"/>
        <v>16623.315822798973</v>
      </c>
      <c r="Q138" s="21">
        <f t="shared" si="69"/>
        <v>117.86905898604996</v>
      </c>
      <c r="R138" s="10">
        <f>10.87*FX_RATE</f>
        <v>16669.73198</v>
      </c>
      <c r="S138" s="10">
        <f>10.87*FX_RATE</f>
        <v>16669.73198</v>
      </c>
      <c r="T138" s="10">
        <v>142</v>
      </c>
      <c r="U138" s="16">
        <v>321245.88</v>
      </c>
      <c r="V138" s="16">
        <v>354995.8</v>
      </c>
    </row>
    <row r="139" spans="1:22">
      <c r="A139" s="86">
        <v>123</v>
      </c>
      <c r="B139" s="70" t="s">
        <v>150</v>
      </c>
      <c r="C139" s="70" t="s">
        <v>43</v>
      </c>
      <c r="D139" s="43">
        <f>17054630.64*FX_RATE</f>
        <v>26154197036.494564</v>
      </c>
      <c r="E139" s="10">
        <f>124662.76*FX_RATE</f>
        <v>191177074.24904001</v>
      </c>
      <c r="F139" s="10">
        <f>-189475.4*FX_RATE</f>
        <v>-290570757.57160002</v>
      </c>
      <c r="G139" s="10">
        <f>28870.02*FX_RATE</f>
        <v>44273734.651080005</v>
      </c>
      <c r="H139" s="12">
        <f t="shared" si="63"/>
        <v>-143667417.97364002</v>
      </c>
      <c r="I139" s="10">
        <v>25506799045.731956</v>
      </c>
      <c r="J139" s="13">
        <f t="shared" si="56"/>
        <v>1.3297086028147701E-2</v>
      </c>
      <c r="K139" s="10">
        <f>17195482.3*FX_RATE</f>
        <v>26370200663.094204</v>
      </c>
      <c r="L139" s="13">
        <f t="shared" si="64"/>
        <v>1.342359438529564E-2</v>
      </c>
      <c r="M139" s="13">
        <f t="shared" si="65"/>
        <v>3.384986159236316E-2</v>
      </c>
      <c r="N139" s="19">
        <f t="shared" si="66"/>
        <v>1.6789305176976629E-3</v>
      </c>
      <c r="O139" s="20">
        <f t="shared" si="67"/>
        <v>-5.4480972598250415E-3</v>
      </c>
      <c r="P139" s="21">
        <f t="shared" si="68"/>
        <v>1633.5607682208133</v>
      </c>
      <c r="Q139" s="21">
        <f t="shared" si="69"/>
        <v>-8.8997979451015023</v>
      </c>
      <c r="R139" s="10">
        <f>1.06*FX_RATE</f>
        <v>1625.5672400000001</v>
      </c>
      <c r="S139" s="10">
        <f>1.06*FX_RATE</f>
        <v>1625.5672400000001</v>
      </c>
      <c r="T139" s="10">
        <v>542</v>
      </c>
      <c r="U139" s="16">
        <v>15274630</v>
      </c>
      <c r="V139" s="16">
        <v>16142773</v>
      </c>
    </row>
    <row r="140" spans="1:22">
      <c r="A140" s="86">
        <v>124</v>
      </c>
      <c r="B140" s="18" t="s">
        <v>151</v>
      </c>
      <c r="C140" s="70" t="s">
        <v>82</v>
      </c>
      <c r="D140" s="43">
        <f>265103.23*FX_RATE</f>
        <v>406550118.77942002</v>
      </c>
      <c r="E140" s="43">
        <f>1741.02*FX_RATE</f>
        <v>2669948.1850800002</v>
      </c>
      <c r="F140" s="10">
        <f>31237.1*FX_RATE</f>
        <v>47903779.653400004</v>
      </c>
      <c r="G140" s="10">
        <f>106.72*FX_RATE</f>
        <v>163660.88288000002</v>
      </c>
      <c r="H140" s="12">
        <f t="shared" si="63"/>
        <v>50410066.955600001</v>
      </c>
      <c r="I140" s="10">
        <v>430925918.52541494</v>
      </c>
      <c r="J140" s="13">
        <f t="shared" si="56"/>
        <v>2.2464829867979133E-4</v>
      </c>
      <c r="K140" s="10">
        <f>289756.5*FX_RATE</f>
        <v>444357239.60100001</v>
      </c>
      <c r="L140" s="13">
        <f t="shared" si="64"/>
        <v>2.261974196852225E-4</v>
      </c>
      <c r="M140" s="13">
        <f t="shared" si="65"/>
        <v>3.1168515278787813E-2</v>
      </c>
      <c r="N140" s="19">
        <f t="shared" si="66"/>
        <v>3.6830925276913552E-4</v>
      </c>
      <c r="O140" s="20">
        <f t="shared" si="67"/>
        <v>0.11344490977769264</v>
      </c>
      <c r="P140" s="21">
        <f t="shared" si="68"/>
        <v>1851.372787538279</v>
      </c>
      <c r="Q140" s="21">
        <f t="shared" si="69"/>
        <v>210.02881884715538</v>
      </c>
      <c r="R140" s="10">
        <f>1.22*FX_RATE</f>
        <v>1870.93588</v>
      </c>
      <c r="S140" s="10">
        <f>1.22*FX_RATE</f>
        <v>1870.93588</v>
      </c>
      <c r="T140" s="10">
        <v>2</v>
      </c>
      <c r="U140" s="16">
        <v>240015</v>
      </c>
      <c r="V140" s="16">
        <v>240015</v>
      </c>
    </row>
    <row r="141" spans="1:22">
      <c r="A141" s="86">
        <v>125</v>
      </c>
      <c r="B141" s="18" t="s">
        <v>280</v>
      </c>
      <c r="C141" s="70" t="s">
        <v>281</v>
      </c>
      <c r="D141" s="43">
        <f>344537.79*FX_RATE</f>
        <v>528367306.00566</v>
      </c>
      <c r="E141" s="10">
        <f>2575.99*FX_RATE</f>
        <v>3950419.7684599999</v>
      </c>
      <c r="F141" s="10"/>
      <c r="G141" s="10">
        <v>0</v>
      </c>
      <c r="H141" s="12">
        <f t="shared" si="63"/>
        <v>3950419.7684599999</v>
      </c>
      <c r="I141" s="10">
        <v>652349280.023085</v>
      </c>
      <c r="J141" s="13">
        <f t="shared" si="56"/>
        <v>3.4007969723345784E-4</v>
      </c>
      <c r="K141" s="10">
        <f>429255.85*FX_RATE</f>
        <v>658287025.79089999</v>
      </c>
      <c r="L141" s="13">
        <f t="shared" si="64"/>
        <v>3.3509710965858204E-4</v>
      </c>
      <c r="M141" s="13">
        <f t="shared" si="65"/>
        <v>9.1020959931233034E-3</v>
      </c>
      <c r="N141" s="19">
        <f t="shared" si="66"/>
        <v>0</v>
      </c>
      <c r="O141" s="20">
        <f t="shared" si="67"/>
        <v>6.0010597409447071E-3</v>
      </c>
      <c r="P141" s="21">
        <f t="shared" si="68"/>
        <v>1573.8435149146546</v>
      </c>
      <c r="Q141" s="21">
        <f t="shared" si="69"/>
        <v>9.4447289559012457</v>
      </c>
      <c r="R141" s="10">
        <f>1.0263*FX_RATE</f>
        <v>1573.8864702000001</v>
      </c>
      <c r="S141" s="10">
        <f>1.0263*FX_RATE</f>
        <v>1573.8864702000001</v>
      </c>
      <c r="T141" s="10">
        <v>5</v>
      </c>
      <c r="U141" s="16">
        <v>418267.14</v>
      </c>
      <c r="V141" s="16">
        <v>418267.14</v>
      </c>
    </row>
    <row r="142" spans="1:22">
      <c r="A142" s="86">
        <v>126</v>
      </c>
      <c r="B142" s="18" t="s">
        <v>152</v>
      </c>
      <c r="C142" s="18" t="s">
        <v>45</v>
      </c>
      <c r="D142" s="43">
        <f>702550740.71*FX_RATE</f>
        <v>1077399498618.7834</v>
      </c>
      <c r="E142" s="43">
        <f>5125987.61*FX_RATE</f>
        <v>7860978803.2659407</v>
      </c>
      <c r="F142" s="10">
        <v>0</v>
      </c>
      <c r="G142" s="43">
        <f>1141035.79*FX_RATE</f>
        <v>1749839999.8976603</v>
      </c>
      <c r="H142" s="12">
        <f t="shared" si="63"/>
        <v>6111138803.3682804</v>
      </c>
      <c r="I142" s="10">
        <v>1058419614242.4045</v>
      </c>
      <c r="J142" s="13">
        <f t="shared" si="56"/>
        <v>0.5517703981290093</v>
      </c>
      <c r="K142" s="10">
        <f>704041705.63*FX_RATE</f>
        <v>1079685973835.7091</v>
      </c>
      <c r="L142" s="13">
        <f t="shared" si="64"/>
        <v>0.54960774707138238</v>
      </c>
      <c r="M142" s="13">
        <f t="shared" si="65"/>
        <v>2.0092559989571431E-2</v>
      </c>
      <c r="N142" s="19">
        <f t="shared" si="66"/>
        <v>1.6206934630086482E-3</v>
      </c>
      <c r="O142" s="20">
        <f t="shared" si="67"/>
        <v>5.6601076159744435E-3</v>
      </c>
      <c r="P142" s="21">
        <f t="shared" si="68"/>
        <v>2512.0440460956233</v>
      </c>
      <c r="Q142" s="21">
        <f t="shared" si="69"/>
        <v>14.218439636969094</v>
      </c>
      <c r="R142" s="10">
        <f>1.6381*FX_RATE</f>
        <v>2512.1148073999998</v>
      </c>
      <c r="S142" s="10">
        <f>1.6381*FX_RATE</f>
        <v>2512.1148073999998</v>
      </c>
      <c r="T142" s="10">
        <v>11610</v>
      </c>
      <c r="U142" s="16">
        <v>424928960.10000002</v>
      </c>
      <c r="V142" s="16">
        <v>429803759.01999998</v>
      </c>
    </row>
    <row r="143" spans="1:22">
      <c r="A143" s="86">
        <v>127</v>
      </c>
      <c r="B143" s="18" t="s">
        <v>288</v>
      </c>
      <c r="C143" s="18" t="s">
        <v>289</v>
      </c>
      <c r="D143" s="43">
        <f>287001.85*FX_RATE</f>
        <v>440132835.07489997</v>
      </c>
      <c r="E143" s="10">
        <f xml:space="preserve"> 9194.25*FX_RATE</f>
        <v>14099878.864500001</v>
      </c>
      <c r="F143" s="10"/>
      <c r="G143" s="10">
        <f>2543.89*FX_RATE</f>
        <v>3901192.68506</v>
      </c>
      <c r="H143" s="12">
        <f t="shared" si="63"/>
        <v>10198686.179440001</v>
      </c>
      <c r="I143" s="10">
        <v>489981418.10000002</v>
      </c>
      <c r="J143" s="13">
        <f t="shared" si="56"/>
        <v>2.5543483747168637E-4</v>
      </c>
      <c r="K143" s="10">
        <f>357943.61*FX_RATE</f>
        <v>548925854.88994002</v>
      </c>
      <c r="L143" s="13">
        <f t="shared" si="64"/>
        <v>2.7942745365440848E-4</v>
      </c>
      <c r="M143" s="13">
        <f t="shared" si="65"/>
        <v>0.12029933097975169</v>
      </c>
      <c r="N143" s="19">
        <f t="shared" si="66"/>
        <v>7.1069574338818338E-3</v>
      </c>
      <c r="O143" s="20">
        <f t="shared" si="67"/>
        <v>1.8579351088290137E-2</v>
      </c>
      <c r="P143" s="21">
        <f t="shared" si="68"/>
        <v>159576.41445805851</v>
      </c>
      <c r="Q143" s="21">
        <f t="shared" si="69"/>
        <v>2964.8262296267671</v>
      </c>
      <c r="R143" s="10">
        <f>104.0566*FX_RATE</f>
        <v>159576.41515640001</v>
      </c>
      <c r="S143" s="10">
        <f>104.0566*FX_RATE</f>
        <v>159576.41515640001</v>
      </c>
      <c r="T143" s="10">
        <v>20</v>
      </c>
      <c r="U143" s="16">
        <v>3099.12</v>
      </c>
      <c r="V143" s="16">
        <v>3439.8933999999999</v>
      </c>
    </row>
    <row r="144" spans="1:22">
      <c r="A144" s="86">
        <v>128</v>
      </c>
      <c r="B144" s="18" t="s">
        <v>153</v>
      </c>
      <c r="C144" s="18" t="s">
        <v>49</v>
      </c>
      <c r="D144" s="43">
        <f>67236646*FX_RATE</f>
        <v>103111027419.884</v>
      </c>
      <c r="E144" s="10">
        <f xml:space="preserve"> 923870*FX_RATE</f>
        <v>1416804533.98</v>
      </c>
      <c r="F144" s="10">
        <v>0</v>
      </c>
      <c r="G144" s="10">
        <f>225924*FX_RATE</f>
        <v>346466653.89600003</v>
      </c>
      <c r="H144" s="12">
        <f t="shared" si="63"/>
        <v>1070337880.084</v>
      </c>
      <c r="I144" s="10">
        <v>180908913127.6185</v>
      </c>
      <c r="J144" s="13">
        <f t="shared" si="56"/>
        <v>9.4310594473404286E-2</v>
      </c>
      <c r="K144" s="10">
        <f>118679455*FX_RATE</f>
        <v>182001352933.07001</v>
      </c>
      <c r="L144" s="13">
        <f t="shared" si="64"/>
        <v>9.2646710222716241E-2</v>
      </c>
      <c r="M144" s="13">
        <f t="shared" si="65"/>
        <v>6.0386179241531798E-3</v>
      </c>
      <c r="N144" s="19">
        <f t="shared" si="66"/>
        <v>1.903648782344004E-3</v>
      </c>
      <c r="O144" s="20">
        <f t="shared" si="67"/>
        <v>5.8809336460131194E-3</v>
      </c>
      <c r="P144" s="21">
        <f t="shared" si="68"/>
        <v>1844.5470447976784</v>
      </c>
      <c r="Q144" s="21">
        <f t="shared" si="69"/>
        <v>10.847658777404737</v>
      </c>
      <c r="R144" s="10">
        <f>1.2*FX_RATE</f>
        <v>1840.2648000000002</v>
      </c>
      <c r="S144" s="10">
        <f>1.2*FX_RATE</f>
        <v>1840.2648000000002</v>
      </c>
      <c r="T144" s="10">
        <v>413</v>
      </c>
      <c r="U144" s="16">
        <v>99300798.680000007</v>
      </c>
      <c r="V144" s="16">
        <v>98669943.629999995</v>
      </c>
    </row>
    <row r="145" spans="1:22">
      <c r="A145" s="86">
        <v>129</v>
      </c>
      <c r="B145" s="18" t="s">
        <v>231</v>
      </c>
      <c r="C145" s="70" t="s">
        <v>211</v>
      </c>
      <c r="D145" s="43">
        <f>752302.43*FX_RATE</f>
        <v>1153696400.7362201</v>
      </c>
      <c r="E145" s="10">
        <f>5744.42*FX_RATE</f>
        <v>8809378.2686800007</v>
      </c>
      <c r="F145" s="10">
        <v>0</v>
      </c>
      <c r="G145" s="10">
        <f>1044.38*FX_RATE</f>
        <v>1601613.1265200002</v>
      </c>
      <c r="H145" s="12">
        <f t="shared" si="63"/>
        <v>7207765.1421600003</v>
      </c>
      <c r="I145" s="10">
        <v>1162225087.164</v>
      </c>
      <c r="J145" s="13">
        <f t="shared" si="56"/>
        <v>6.0588578521290838E-4</v>
      </c>
      <c r="K145" s="10">
        <f>746530.34*FX_RATE</f>
        <v>1144844589.0283601</v>
      </c>
      <c r="L145" s="13">
        <f t="shared" si="64"/>
        <v>5.8277635402391968E-4</v>
      </c>
      <c r="M145" s="13">
        <f t="shared" si="65"/>
        <v>-1.4954502641180182E-2</v>
      </c>
      <c r="N145" s="19">
        <f t="shared" si="66"/>
        <v>1.3989786403054965E-3</v>
      </c>
      <c r="O145" s="20">
        <f t="shared" si="67"/>
        <v>6.2958459263691806E-3</v>
      </c>
      <c r="P145" s="21">
        <f t="shared" si="68"/>
        <v>163990.59597951631</v>
      </c>
      <c r="Q145" s="21">
        <f t="shared" si="69"/>
        <v>1032.4595256604921</v>
      </c>
      <c r="R145" s="10">
        <f>106.93*FX_RATE</f>
        <v>163982.92922000002</v>
      </c>
      <c r="S145" s="10">
        <f>106.93*FX_RATE</f>
        <v>163982.92922000002</v>
      </c>
      <c r="T145" s="10">
        <v>23</v>
      </c>
      <c r="U145" s="16">
        <v>7150.22</v>
      </c>
      <c r="V145" s="16">
        <v>6981.16</v>
      </c>
    </row>
    <row r="146" spans="1:22">
      <c r="A146" s="86">
        <v>130</v>
      </c>
      <c r="B146" s="18" t="s">
        <v>297</v>
      </c>
      <c r="C146" s="70" t="s">
        <v>298</v>
      </c>
      <c r="D146" s="43">
        <f>728022.15*FX_RATE</f>
        <v>1116461280.2211001</v>
      </c>
      <c r="E146" s="10">
        <f>8997.12*FX_RATE</f>
        <v>13797569.364480002</v>
      </c>
      <c r="F146" s="10">
        <f>12754.8*FX_RATE</f>
        <v>19560174.5592</v>
      </c>
      <c r="G146" s="10">
        <f>1303.51*FX_RATE</f>
        <v>1999002.9745400001</v>
      </c>
      <c r="H146" s="12">
        <f t="shared" si="63"/>
        <v>31358740.949140001</v>
      </c>
      <c r="I146" s="10">
        <v>838863760.67866492</v>
      </c>
      <c r="J146" s="13">
        <f t="shared" si="56"/>
        <v>4.3731256013898698E-4</v>
      </c>
      <c r="K146" s="10">
        <f>727277.04*FX_RATE</f>
        <v>1115318613.8001602</v>
      </c>
      <c r="L146" s="13">
        <f t="shared" si="64"/>
        <v>5.6774633129647273E-4</v>
      </c>
      <c r="M146" s="13">
        <f t="shared" si="65"/>
        <v>0.32955870318898423</v>
      </c>
      <c r="N146" s="19">
        <f t="shared" si="66"/>
        <v>1.7923156215683639E-3</v>
      </c>
      <c r="O146" s="20">
        <f t="shared" si="67"/>
        <v>2.811639701976567E-2</v>
      </c>
      <c r="P146" s="21">
        <f t="shared" si="68"/>
        <v>1650.274207282582</v>
      </c>
      <c r="Q146" s="21">
        <f t="shared" si="69"/>
        <v>46.399764803436135</v>
      </c>
      <c r="R146" s="10">
        <f>1.07*FX_RATE</f>
        <v>1640.9027800000001</v>
      </c>
      <c r="S146" s="10">
        <f>1.07*FX_RATE</f>
        <v>1640.9027800000001</v>
      </c>
      <c r="T146" s="10">
        <v>26</v>
      </c>
      <c r="U146" s="16">
        <v>525111.36</v>
      </c>
      <c r="V146" s="16">
        <v>675838.36</v>
      </c>
    </row>
    <row r="147" spans="1:22">
      <c r="A147" s="86">
        <v>131</v>
      </c>
      <c r="B147" s="18" t="s">
        <v>286</v>
      </c>
      <c r="C147" s="70" t="s">
        <v>285</v>
      </c>
      <c r="D147" s="43">
        <f>983729.76*FX_RATE</f>
        <v>1508602708.3670402</v>
      </c>
      <c r="E147" s="10">
        <f>9665.07*FX_RATE</f>
        <v>14821906.758780001</v>
      </c>
      <c r="F147" s="10"/>
      <c r="G147" s="10">
        <f>1949.82*FX_RATE</f>
        <v>2990154.26028</v>
      </c>
      <c r="H147" s="12">
        <f t="shared" si="63"/>
        <v>11831752.498500001</v>
      </c>
      <c r="I147" s="10">
        <v>1811957460.8405249</v>
      </c>
      <c r="J147" s="13">
        <f t="shared" si="56"/>
        <v>9.4460124898236206E-4</v>
      </c>
      <c r="K147" s="10">
        <f>1269129.68*FX_RATE</f>
        <v>1946278897.2827201</v>
      </c>
      <c r="L147" s="13">
        <f t="shared" si="64"/>
        <v>9.9074173957075041E-4</v>
      </c>
      <c r="M147" s="13">
        <f t="shared" si="65"/>
        <v>7.4130568374318556E-2</v>
      </c>
      <c r="N147" s="19">
        <f t="shared" si="66"/>
        <v>1.5363441819436451E-3</v>
      </c>
      <c r="O147" s="20">
        <f t="shared" si="67"/>
        <v>6.0791659998054729E-3</v>
      </c>
      <c r="P147" s="21">
        <f t="shared" si="68"/>
        <v>2064.4157272430812</v>
      </c>
      <c r="Q147" s="21">
        <f t="shared" si="69"/>
        <v>12.549925898519827</v>
      </c>
      <c r="R147" s="10">
        <f>1.3462*FX_RATE</f>
        <v>2064.4703948000001</v>
      </c>
      <c r="S147" s="10">
        <f>1.3462*FX_RATE</f>
        <v>2064.4703948000001</v>
      </c>
      <c r="T147" s="10">
        <v>8</v>
      </c>
      <c r="U147" s="16">
        <v>905479.25</v>
      </c>
      <c r="V147" s="16">
        <v>942774.69</v>
      </c>
    </row>
    <row r="148" spans="1:22" ht="15" customHeight="1">
      <c r="A148" s="122" t="s">
        <v>50</v>
      </c>
      <c r="B148" s="122"/>
      <c r="C148" s="122"/>
      <c r="D148" s="122"/>
      <c r="E148" s="122"/>
      <c r="F148" s="122"/>
      <c r="G148" s="122"/>
      <c r="H148" s="122"/>
      <c r="I148" s="25">
        <f>SUM(I112:I147)</f>
        <v>1918224714177.1018</v>
      </c>
      <c r="J148" s="34">
        <f>(I148/$I$229)</f>
        <v>0.32776466632369827</v>
      </c>
      <c r="K148" s="25">
        <f>SUM(K112:K147)</f>
        <v>1964466439181.1799</v>
      </c>
      <c r="L148" s="34">
        <f>(K148/$K$229)</f>
        <v>0.31078884587835592</v>
      </c>
      <c r="M148" s="34">
        <f t="shared" si="58"/>
        <v>2.4106521338359117E-2</v>
      </c>
      <c r="N148" s="19"/>
      <c r="O148" s="19"/>
      <c r="P148" s="35"/>
      <c r="Q148" s="35"/>
      <c r="R148" s="36"/>
      <c r="S148" s="36"/>
      <c r="T148" s="38">
        <f>SUM(T112:T145)</f>
        <v>22913</v>
      </c>
      <c r="U148" s="38"/>
      <c r="V148" s="36"/>
    </row>
    <row r="149" spans="1:22" ht="6.9" customHeight="1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</row>
    <row r="150" spans="1:22">
      <c r="A150" s="121" t="s">
        <v>154</v>
      </c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</row>
    <row r="151" spans="1:22">
      <c r="A151" s="81">
        <v>132</v>
      </c>
      <c r="B151" s="80" t="s">
        <v>227</v>
      </c>
      <c r="C151" s="80" t="s">
        <v>228</v>
      </c>
      <c r="D151" s="26">
        <v>2446735296.46</v>
      </c>
      <c r="E151" s="26">
        <v>42948928.140000001</v>
      </c>
      <c r="F151" s="26">
        <v>0</v>
      </c>
      <c r="G151" s="26">
        <v>4093578.21</v>
      </c>
      <c r="H151" s="12">
        <f t="shared" ref="H151:H156" si="71">(E151+F151)-G151</f>
        <v>38855349.93</v>
      </c>
      <c r="I151" s="27">
        <v>2436689712.3200002</v>
      </c>
      <c r="J151" s="13">
        <f>(I151/$I$157)</f>
        <v>6.7334090489530266E-3</v>
      </c>
      <c r="K151" s="27">
        <v>2479866682.0500002</v>
      </c>
      <c r="L151" s="13">
        <f>(K151/$K$157)</f>
        <v>5.930605223954998E-3</v>
      </c>
      <c r="M151" s="13">
        <f t="shared" ref="M151:M157" si="72">((K151-I151)/I151)</f>
        <v>1.7719519030960546E-2</v>
      </c>
      <c r="N151" s="19">
        <f>(G151/K151)</f>
        <v>1.650725113422635E-3</v>
      </c>
      <c r="O151" s="20">
        <f>H151/K151</f>
        <v>1.566832209620234E-2</v>
      </c>
      <c r="P151" s="21">
        <f>K151/V151</f>
        <v>116.86459387606033</v>
      </c>
      <c r="Q151" s="21">
        <f>H151/V151</f>
        <v>1.8310720984919886</v>
      </c>
      <c r="R151" s="26">
        <v>116.86</v>
      </c>
      <c r="S151" s="26">
        <v>116.86</v>
      </c>
      <c r="T151" s="26">
        <v>8</v>
      </c>
      <c r="U151" s="26">
        <v>21220000</v>
      </c>
      <c r="V151" s="26">
        <v>21220000</v>
      </c>
    </row>
    <row r="152" spans="1:22">
      <c r="A152" s="81">
        <v>133</v>
      </c>
      <c r="B152" s="80" t="s">
        <v>283</v>
      </c>
      <c r="C152" s="80" t="s">
        <v>57</v>
      </c>
      <c r="D152" s="26">
        <v>117128613844.25999</v>
      </c>
      <c r="E152" s="26">
        <v>4412104465.8000002</v>
      </c>
      <c r="F152" s="26"/>
      <c r="G152" s="26">
        <v>493132283.16000003</v>
      </c>
      <c r="H152" s="12">
        <f t="shared" si="71"/>
        <v>3918972182.6400003</v>
      </c>
      <c r="I152" s="26">
        <v>258310062736</v>
      </c>
      <c r="J152" s="13">
        <f t="shared" ref="J152:J156" si="73">(I152/$I$157)</f>
        <v>0.71379926014715755</v>
      </c>
      <c r="K152" s="27">
        <v>254801543152</v>
      </c>
      <c r="L152" s="13">
        <f t="shared" ref="L152:L156" si="74">(K152/$K$157)</f>
        <v>0.60935830697151083</v>
      </c>
      <c r="M152" s="13">
        <f t="shared" ref="M152:M156" si="75">((K152-I152)/I152)</f>
        <v>-1.3582589647642971E-2</v>
      </c>
      <c r="N152" s="19">
        <f t="shared" ref="N152:N156" si="76">(G152/K152)</f>
        <v>1.9353583069386105E-3</v>
      </c>
      <c r="O152" s="20">
        <f t="shared" ref="O152:O156" si="77">H152/K152</f>
        <v>1.5380488415261151E-2</v>
      </c>
      <c r="P152" s="21">
        <f t="shared" ref="P152:P156" si="78">K152/V152</f>
        <v>101.9206172608</v>
      </c>
      <c r="Q152" s="21">
        <f t="shared" ref="Q152:Q156" si="79">H152/V152</f>
        <v>1.5675888730560001</v>
      </c>
      <c r="R152" s="26">
        <v>101.92059999999999</v>
      </c>
      <c r="S152" s="26">
        <v>101.92059999999999</v>
      </c>
      <c r="T152" s="26">
        <v>45</v>
      </c>
      <c r="U152" s="26">
        <v>2500000000</v>
      </c>
      <c r="V152" s="26">
        <v>2500000000</v>
      </c>
    </row>
    <row r="153" spans="1:22">
      <c r="A153" s="81">
        <v>134</v>
      </c>
      <c r="B153" s="18" t="s">
        <v>155</v>
      </c>
      <c r="C153" s="18" t="s">
        <v>43</v>
      </c>
      <c r="D153" s="26">
        <v>92939549021</v>
      </c>
      <c r="E153" s="26">
        <v>709387923</v>
      </c>
      <c r="F153" s="26">
        <v>0</v>
      </c>
      <c r="G153" s="26">
        <v>151616056</v>
      </c>
      <c r="H153" s="12">
        <f t="shared" si="71"/>
        <v>557771867</v>
      </c>
      <c r="I153" s="27">
        <v>57062508820</v>
      </c>
      <c r="J153" s="13">
        <f t="shared" si="73"/>
        <v>0.15768327469102525</v>
      </c>
      <c r="K153" s="27">
        <v>114797961554</v>
      </c>
      <c r="L153" s="13">
        <f t="shared" si="74"/>
        <v>0.27453951271635757</v>
      </c>
      <c r="M153" s="13">
        <f t="shared" si="75"/>
        <v>1.0117931007226262</v>
      </c>
      <c r="N153" s="19">
        <f t="shared" si="76"/>
        <v>1.3207208032930192E-3</v>
      </c>
      <c r="O153" s="20">
        <f t="shared" si="77"/>
        <v>4.8587262304098386E-3</v>
      </c>
      <c r="P153" s="21">
        <f t="shared" si="78"/>
        <v>107.84043964427102</v>
      </c>
      <c r="Q153" s="21">
        <f t="shared" si="79"/>
        <v>0.52396717279854865</v>
      </c>
      <c r="R153" s="26">
        <v>107.84</v>
      </c>
      <c r="S153" s="26">
        <v>107.84</v>
      </c>
      <c r="T153" s="26">
        <v>659</v>
      </c>
      <c r="U153" s="26">
        <v>530648000</v>
      </c>
      <c r="V153" s="26">
        <v>1064516817</v>
      </c>
    </row>
    <row r="154" spans="1:22">
      <c r="A154" s="81">
        <v>135</v>
      </c>
      <c r="B154" s="18" t="s">
        <v>156</v>
      </c>
      <c r="C154" s="18" t="s">
        <v>121</v>
      </c>
      <c r="D154" s="26">
        <v>2777158743.79</v>
      </c>
      <c r="E154" s="26">
        <v>33453694.82</v>
      </c>
      <c r="F154" s="26">
        <v>0</v>
      </c>
      <c r="G154" s="26">
        <v>4455132.59</v>
      </c>
      <c r="H154" s="12">
        <f t="shared" si="71"/>
        <v>28998562.23</v>
      </c>
      <c r="I154" s="27">
        <v>2517148932.8800001</v>
      </c>
      <c r="J154" s="13">
        <f t="shared" si="73"/>
        <v>6.9557454593097605E-3</v>
      </c>
      <c r="K154" s="27">
        <v>2546147495.1100001</v>
      </c>
      <c r="L154" s="13">
        <f t="shared" si="74"/>
        <v>6.0891158967370821E-3</v>
      </c>
      <c r="M154" s="13">
        <f t="shared" si="75"/>
        <v>1.1520399866376308E-2</v>
      </c>
      <c r="N154" s="19">
        <f t="shared" si="76"/>
        <v>1.7497543243493545E-3</v>
      </c>
      <c r="O154" s="20">
        <f t="shared" si="77"/>
        <v>1.1389191822427078E-2</v>
      </c>
      <c r="P154" s="21">
        <f t="shared" si="78"/>
        <v>127.30737475550001</v>
      </c>
      <c r="Q154" s="21">
        <f t="shared" si="79"/>
        <v>1.4499281115</v>
      </c>
      <c r="R154" s="26">
        <v>249.25</v>
      </c>
      <c r="S154" s="26">
        <v>249.25</v>
      </c>
      <c r="T154" s="26">
        <v>3552</v>
      </c>
      <c r="U154" s="26">
        <v>20000000</v>
      </c>
      <c r="V154" s="26">
        <v>20000000</v>
      </c>
    </row>
    <row r="155" spans="1:22">
      <c r="A155" s="81">
        <v>136</v>
      </c>
      <c r="B155" s="18" t="s">
        <v>157</v>
      </c>
      <c r="C155" s="18" t="s">
        <v>121</v>
      </c>
      <c r="D155" s="26">
        <v>11614518207.07</v>
      </c>
      <c r="E155" s="26">
        <v>80367073.260000005</v>
      </c>
      <c r="F155" s="26">
        <v>0</v>
      </c>
      <c r="G155" s="26">
        <v>18622699.07</v>
      </c>
      <c r="H155" s="12">
        <f t="shared" si="71"/>
        <v>61744374.190000005</v>
      </c>
      <c r="I155" s="27">
        <v>10161765335.620001</v>
      </c>
      <c r="J155" s="13">
        <f t="shared" si="73"/>
        <v>2.8080441394835731E-2</v>
      </c>
      <c r="K155" s="27">
        <v>10223510709.799999</v>
      </c>
      <c r="L155" s="13">
        <f t="shared" si="74"/>
        <v>2.4449542574836395E-2</v>
      </c>
      <c r="M155" s="13">
        <f t="shared" si="75"/>
        <v>6.0762448394239684E-3</v>
      </c>
      <c r="N155" s="19">
        <f t="shared" si="76"/>
        <v>1.8215561756245583E-3</v>
      </c>
      <c r="O155" s="20">
        <f t="shared" si="77"/>
        <v>6.0394492599116084E-3</v>
      </c>
      <c r="P155" s="21">
        <f t="shared" si="78"/>
        <v>54.343646170509025</v>
      </c>
      <c r="Q155" s="21">
        <f t="shared" si="79"/>
        <v>0.32820569364537905</v>
      </c>
      <c r="R155" s="67">
        <v>64</v>
      </c>
      <c r="S155" s="67">
        <v>64</v>
      </c>
      <c r="T155" s="26">
        <v>5482</v>
      </c>
      <c r="U155" s="26">
        <v>188127066</v>
      </c>
      <c r="V155" s="26">
        <v>188127066</v>
      </c>
    </row>
    <row r="156" spans="1:22" ht="15.9" customHeight="1">
      <c r="A156" s="81">
        <v>137</v>
      </c>
      <c r="B156" s="18" t="s">
        <v>158</v>
      </c>
      <c r="C156" s="70" t="s">
        <v>159</v>
      </c>
      <c r="D156" s="26">
        <v>33041659189.18</v>
      </c>
      <c r="E156" s="26">
        <v>240991052.06</v>
      </c>
      <c r="F156" s="26">
        <v>0</v>
      </c>
      <c r="G156" s="26">
        <v>34989216.439999998</v>
      </c>
      <c r="H156" s="12">
        <f t="shared" si="71"/>
        <v>206001835.62</v>
      </c>
      <c r="I156" s="27">
        <v>31392365895.439999</v>
      </c>
      <c r="J156" s="13">
        <f t="shared" si="73"/>
        <v>8.6747869258718621E-2</v>
      </c>
      <c r="K156" s="27">
        <v>33298290689.509998</v>
      </c>
      <c r="L156" s="13">
        <f t="shared" si="74"/>
        <v>7.9632916616603183E-2</v>
      </c>
      <c r="M156" s="13">
        <f t="shared" si="75"/>
        <v>6.0713002658612965E-2</v>
      </c>
      <c r="N156" s="19">
        <f t="shared" si="76"/>
        <v>1.0507811576953617E-3</v>
      </c>
      <c r="O156" s="20">
        <f t="shared" si="77"/>
        <v>6.1865588699691731E-3</v>
      </c>
      <c r="P156" s="21">
        <f t="shared" si="78"/>
        <v>12.479358134367612</v>
      </c>
      <c r="Q156" s="21">
        <f t="shared" si="79"/>
        <v>7.7204283757693892E-2</v>
      </c>
      <c r="R156" s="26">
        <v>12.48</v>
      </c>
      <c r="S156" s="26">
        <v>12.48</v>
      </c>
      <c r="T156" s="26">
        <v>208914</v>
      </c>
      <c r="U156" s="26">
        <v>2668269500</v>
      </c>
      <c r="V156" s="26">
        <v>2668269500</v>
      </c>
    </row>
    <row r="157" spans="1:22" ht="15" customHeight="1">
      <c r="A157" s="122" t="s">
        <v>50</v>
      </c>
      <c r="B157" s="122"/>
      <c r="C157" s="122"/>
      <c r="D157" s="122"/>
      <c r="E157" s="122"/>
      <c r="F157" s="122"/>
      <c r="G157" s="122"/>
      <c r="H157" s="122"/>
      <c r="I157" s="36">
        <f>SUM(I151:I156)</f>
        <v>361880541432.26001</v>
      </c>
      <c r="J157" s="34">
        <f>(I157/$I$229)</f>
        <v>6.183407712086908E-2</v>
      </c>
      <c r="K157" s="36">
        <f>SUM(K151:K156)</f>
        <v>418147320282.46997</v>
      </c>
      <c r="L157" s="34">
        <f>(K157/$K$229)</f>
        <v>6.6153088943521773E-2</v>
      </c>
      <c r="M157" s="34">
        <f t="shared" si="72"/>
        <v>0.15548439998325378</v>
      </c>
      <c r="N157" s="19"/>
      <c r="O157" s="19"/>
      <c r="P157" s="37"/>
      <c r="Q157" s="37"/>
      <c r="R157" s="36"/>
      <c r="S157" s="36"/>
      <c r="T157" s="36">
        <f>SUM(T151:T156)</f>
        <v>218660</v>
      </c>
      <c r="U157" s="36"/>
      <c r="V157" s="36"/>
    </row>
    <row r="158" spans="1:22" ht="8.1" customHeight="1">
      <c r="A158" s="127"/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</row>
    <row r="159" spans="1:22">
      <c r="A159" s="121" t="s">
        <v>160</v>
      </c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</row>
    <row r="160" spans="1:22">
      <c r="A160" s="86">
        <v>138</v>
      </c>
      <c r="B160" s="18" t="s">
        <v>161</v>
      </c>
      <c r="C160" s="18" t="s">
        <v>54</v>
      </c>
      <c r="D160" s="28">
        <v>410477367.33999997</v>
      </c>
      <c r="E160" s="28">
        <v>6780261.46</v>
      </c>
      <c r="F160" s="28">
        <v>30531950.699999999</v>
      </c>
      <c r="G160" s="10">
        <v>815678.63</v>
      </c>
      <c r="H160" s="12">
        <f>(E160+F160)-G160</f>
        <v>36496533.529999994</v>
      </c>
      <c r="I160" s="10">
        <v>410526583.35000002</v>
      </c>
      <c r="J160" s="13">
        <f t="shared" ref="J160:J187" si="80">(I160/$I$188)</f>
        <v>6.2896027048667848E-3</v>
      </c>
      <c r="K160" s="10">
        <v>410526583.35000002</v>
      </c>
      <c r="L160" s="13">
        <f t="shared" ref="L160" si="81">(K160/$K$188)</f>
        <v>5.4551288249071678E-3</v>
      </c>
      <c r="M160" s="13">
        <f t="shared" ref="M160:M188" si="82">((K160-I160)/I160)</f>
        <v>0</v>
      </c>
      <c r="N160" s="19">
        <f t="shared" ref="N160" si="83">(G160/K160)</f>
        <v>1.9869081883659213E-3</v>
      </c>
      <c r="O160" s="20">
        <f t="shared" ref="O160" si="84">H160/K160</f>
        <v>8.8901754503153282E-2</v>
      </c>
      <c r="P160" s="21">
        <f t="shared" ref="P160" si="85">K160/V160</f>
        <v>7.4795150619065742</v>
      </c>
      <c r="Q160" s="21">
        <f t="shared" ref="Q160" si="86">H160/V160</f>
        <v>0.66494201183625556</v>
      </c>
      <c r="R160" s="10">
        <v>7.4267000000000003</v>
      </c>
      <c r="S160" s="10">
        <v>7.5354000000000001</v>
      </c>
      <c r="T160" s="10">
        <v>11863</v>
      </c>
      <c r="U160" s="10">
        <v>46817724.32</v>
      </c>
      <c r="V160" s="10">
        <v>54886791.450000003</v>
      </c>
    </row>
    <row r="161" spans="1:22">
      <c r="A161" s="86">
        <v>139</v>
      </c>
      <c r="B161" s="75" t="s">
        <v>221</v>
      </c>
      <c r="C161" s="75" t="s">
        <v>222</v>
      </c>
      <c r="D161" s="28">
        <v>983465256.16999996</v>
      </c>
      <c r="E161" s="28">
        <v>2412739.73</v>
      </c>
      <c r="F161" s="28">
        <v>207371804.94999999</v>
      </c>
      <c r="G161" s="10">
        <v>1512413</v>
      </c>
      <c r="H161" s="12">
        <f t="shared" ref="H161:H187" si="87">(E161+F161)-G161</f>
        <v>208272131.67999998</v>
      </c>
      <c r="I161" s="10">
        <v>805326953.72000003</v>
      </c>
      <c r="J161" s="13">
        <f t="shared" si="80"/>
        <v>1.2338266976735696E-2</v>
      </c>
      <c r="K161" s="10">
        <v>1064305217.99</v>
      </c>
      <c r="L161" s="13">
        <f t="shared" ref="L161:L187" si="88">(K161/$K$188)</f>
        <v>1.4142621473568345E-2</v>
      </c>
      <c r="M161" s="13">
        <f t="shared" ref="M161:M187" si="89">((K161-I161)/I161)</f>
        <v>0.32158151800795531</v>
      </c>
      <c r="N161" s="19">
        <f t="shared" ref="N161:N187" si="90">(G161/K161)</f>
        <v>1.4210331533056624E-3</v>
      </c>
      <c r="O161" s="20">
        <f t="shared" ref="O161:O187" si="91">H161/K161</f>
        <v>0.19568834969477417</v>
      </c>
      <c r="P161" s="21">
        <f t="shared" ref="P161:P187" si="92">K161/V161</f>
        <v>2270.8859846929849</v>
      </c>
      <c r="Q161" s="21">
        <f t="shared" ref="Q161:Q187" si="93">H161/V161</f>
        <v>444.38593068956243</v>
      </c>
      <c r="R161" s="10">
        <v>2254.13</v>
      </c>
      <c r="S161" s="10">
        <v>2281.83</v>
      </c>
      <c r="T161" s="10">
        <v>156</v>
      </c>
      <c r="U161" s="10">
        <v>429371</v>
      </c>
      <c r="V161" s="10">
        <v>468674</v>
      </c>
    </row>
    <row r="162" spans="1:22">
      <c r="A162" s="86">
        <v>140</v>
      </c>
      <c r="B162" s="18" t="s">
        <v>162</v>
      </c>
      <c r="C162" s="70" t="s">
        <v>57</v>
      </c>
      <c r="D162" s="28">
        <v>7227245061.9099998</v>
      </c>
      <c r="E162" s="28">
        <v>330510468.11000001</v>
      </c>
      <c r="F162" s="28">
        <v>525356164.87</v>
      </c>
      <c r="G162" s="10">
        <v>73818581.700000003</v>
      </c>
      <c r="H162" s="12">
        <f t="shared" si="87"/>
        <v>782048051.27999997</v>
      </c>
      <c r="I162" s="10">
        <v>7790040095</v>
      </c>
      <c r="J162" s="13">
        <f t="shared" si="80"/>
        <v>0.11934977962379668</v>
      </c>
      <c r="K162" s="10">
        <v>8689652709</v>
      </c>
      <c r="L162" s="13">
        <f t="shared" si="88"/>
        <v>0.11546919710893444</v>
      </c>
      <c r="M162" s="13">
        <f t="shared" si="89"/>
        <v>0.11548241126222342</v>
      </c>
      <c r="N162" s="19">
        <f t="shared" si="90"/>
        <v>8.4949979213260179E-3</v>
      </c>
      <c r="O162" s="20">
        <f t="shared" si="91"/>
        <v>8.9997618716110644E-2</v>
      </c>
      <c r="P162" s="21">
        <f t="shared" si="92"/>
        <v>984.60808074879435</v>
      </c>
      <c r="Q162" s="21">
        <f t="shared" si="93"/>
        <v>88.612382636031469</v>
      </c>
      <c r="R162" s="10">
        <v>979.68499999999995</v>
      </c>
      <c r="S162" s="10">
        <v>1009.2232</v>
      </c>
      <c r="T162" s="10">
        <v>21591</v>
      </c>
      <c r="U162" s="10">
        <v>8723249</v>
      </c>
      <c r="V162" s="10">
        <v>8825494</v>
      </c>
    </row>
    <row r="163" spans="1:22">
      <c r="A163" s="86">
        <v>141</v>
      </c>
      <c r="B163" s="18" t="s">
        <v>163</v>
      </c>
      <c r="C163" s="18" t="s">
        <v>104</v>
      </c>
      <c r="D163" s="28">
        <v>2726512866.8000002</v>
      </c>
      <c r="E163" s="28">
        <v>19148995.329999998</v>
      </c>
      <c r="F163" s="28">
        <v>410379492.64999998</v>
      </c>
      <c r="G163" s="10">
        <v>4374242.0599999996</v>
      </c>
      <c r="H163" s="12">
        <f t="shared" si="87"/>
        <v>425154245.91999996</v>
      </c>
      <c r="I163" s="10">
        <v>2206448162.9299998</v>
      </c>
      <c r="J163" s="13">
        <f t="shared" si="80"/>
        <v>3.3804588780749593E-2</v>
      </c>
      <c r="K163" s="10">
        <v>2631637626.2199998</v>
      </c>
      <c r="L163" s="13">
        <f t="shared" si="88"/>
        <v>3.4969531459704911E-2</v>
      </c>
      <c r="M163" s="13">
        <f t="shared" si="89"/>
        <v>0.19270312823727517</v>
      </c>
      <c r="N163" s="19">
        <f t="shared" si="90"/>
        <v>1.6621749196841439E-3</v>
      </c>
      <c r="O163" s="20">
        <f t="shared" si="91"/>
        <v>0.16155501110184306</v>
      </c>
      <c r="P163" s="21">
        <f t="shared" si="92"/>
        <v>6.3572815381117067</v>
      </c>
      <c r="Q163" s="21">
        <f t="shared" si="93"/>
        <v>1.0270506894671787</v>
      </c>
      <c r="R163" s="10">
        <v>6.1948999999999996</v>
      </c>
      <c r="S163" s="10">
        <v>6.0412999999999997</v>
      </c>
      <c r="T163" s="10">
        <v>2738</v>
      </c>
      <c r="U163" s="10">
        <v>413950220.83999997</v>
      </c>
      <c r="V163" s="10">
        <v>413956438.83999997</v>
      </c>
    </row>
    <row r="164" spans="1:22">
      <c r="A164" s="86">
        <v>142</v>
      </c>
      <c r="B164" s="18" t="s">
        <v>278</v>
      </c>
      <c r="C164" s="18" t="s">
        <v>277</v>
      </c>
      <c r="D164" s="28">
        <v>915362672.90999997</v>
      </c>
      <c r="E164" s="28">
        <v>9253034</v>
      </c>
      <c r="F164" s="28">
        <v>51872379.18</v>
      </c>
      <c r="G164" s="10">
        <v>1551117.64</v>
      </c>
      <c r="H164" s="12">
        <f t="shared" si="87"/>
        <v>59574295.539999999</v>
      </c>
      <c r="I164" s="10">
        <v>862726466.54999995</v>
      </c>
      <c r="J164" s="13">
        <f t="shared" si="80"/>
        <v>1.3217674415366316E-2</v>
      </c>
      <c r="K164" s="10">
        <v>921518175.35000002</v>
      </c>
      <c r="L164" s="13">
        <f t="shared" si="88"/>
        <v>1.2245249308841482E-2</v>
      </c>
      <c r="M164" s="13">
        <f t="shared" si="89"/>
        <v>6.8146406861847156E-2</v>
      </c>
      <c r="N164" s="19">
        <f t="shared" si="90"/>
        <v>1.6832198012924412E-3</v>
      </c>
      <c r="O164" s="20">
        <f t="shared" si="91"/>
        <v>6.4647987563970943E-2</v>
      </c>
      <c r="P164" s="21">
        <f t="shared" si="92"/>
        <v>1.1398036520636183</v>
      </c>
      <c r="Q164" s="21">
        <f t="shared" si="93"/>
        <v>7.3686012323977465E-2</v>
      </c>
      <c r="R164" s="10">
        <v>1.1371</v>
      </c>
      <c r="S164" s="10">
        <v>1.1428</v>
      </c>
      <c r="T164" s="10">
        <v>205</v>
      </c>
      <c r="U164" s="10">
        <v>810564051.09000003</v>
      </c>
      <c r="V164" s="10">
        <v>808488526.66999996</v>
      </c>
    </row>
    <row r="165" spans="1:22">
      <c r="A165" s="86">
        <v>143</v>
      </c>
      <c r="B165" s="18" t="s">
        <v>164</v>
      </c>
      <c r="C165" s="18" t="s">
        <v>59</v>
      </c>
      <c r="D165" s="28">
        <v>6155783667.9899998</v>
      </c>
      <c r="E165" s="28">
        <v>96109297.700000003</v>
      </c>
      <c r="F165" s="28">
        <v>2128387411.1900001</v>
      </c>
      <c r="G165" s="10">
        <v>14071725.08</v>
      </c>
      <c r="H165" s="12">
        <f t="shared" si="87"/>
        <v>2210424983.8099999</v>
      </c>
      <c r="I165" s="10">
        <v>4713622212.7399998</v>
      </c>
      <c r="J165" s="13">
        <f t="shared" si="80"/>
        <v>7.2216543876511566E-2</v>
      </c>
      <c r="K165" s="10">
        <v>6165742851.5299997</v>
      </c>
      <c r="L165" s="13">
        <f t="shared" si="88"/>
        <v>8.1931165777078818E-2</v>
      </c>
      <c r="M165" s="13">
        <f t="shared" si="89"/>
        <v>0.30806894851802114</v>
      </c>
      <c r="N165" s="19">
        <f t="shared" si="90"/>
        <v>2.2822432623034496E-3</v>
      </c>
      <c r="O165" s="20">
        <f t="shared" si="91"/>
        <v>0.35850100093965054</v>
      </c>
      <c r="P165" s="21">
        <f t="shared" si="92"/>
        <v>11676.19808409194</v>
      </c>
      <c r="Q165" s="21">
        <f t="shared" si="93"/>
        <v>4185.9287003165909</v>
      </c>
      <c r="R165" s="10">
        <v>11676.2</v>
      </c>
      <c r="S165" s="10">
        <v>11777.19</v>
      </c>
      <c r="T165" s="10">
        <v>1216</v>
      </c>
      <c r="U165" s="10">
        <v>465458.74</v>
      </c>
      <c r="V165" s="10">
        <v>528060.82999999996</v>
      </c>
    </row>
    <row r="166" spans="1:22" ht="14.1" customHeight="1">
      <c r="A166" s="86">
        <v>144</v>
      </c>
      <c r="B166" s="18" t="s">
        <v>165</v>
      </c>
      <c r="C166" s="70" t="s">
        <v>61</v>
      </c>
      <c r="D166" s="28">
        <v>894276126.11000001</v>
      </c>
      <c r="E166" s="28">
        <v>7696361.21</v>
      </c>
      <c r="F166" s="28">
        <v>104934628.8</v>
      </c>
      <c r="G166" s="10">
        <v>1829862.63</v>
      </c>
      <c r="H166" s="12">
        <f t="shared" si="87"/>
        <v>110801127.38</v>
      </c>
      <c r="I166" s="10">
        <v>942648787.96000004</v>
      </c>
      <c r="J166" s="13">
        <f t="shared" si="80"/>
        <v>1.4442149685195561E-2</v>
      </c>
      <c r="K166" s="10">
        <v>1034825664.86</v>
      </c>
      <c r="L166" s="13">
        <f t="shared" si="88"/>
        <v>1.3750893467278091E-2</v>
      </c>
      <c r="M166" s="13">
        <f t="shared" si="89"/>
        <v>9.77849630502165E-2</v>
      </c>
      <c r="N166" s="19">
        <f t="shared" si="90"/>
        <v>1.7682810662098907E-3</v>
      </c>
      <c r="O166" s="20">
        <f t="shared" si="91"/>
        <v>0.10707226457800514</v>
      </c>
      <c r="P166" s="21">
        <f t="shared" si="92"/>
        <v>233.42671182147947</v>
      </c>
      <c r="Q166" s="21">
        <f t="shared" si="93"/>
        <v>24.993526647723208</v>
      </c>
      <c r="R166" s="10">
        <v>234.89</v>
      </c>
      <c r="S166" s="10">
        <v>236.81</v>
      </c>
      <c r="T166" s="10">
        <v>496</v>
      </c>
      <c r="U166" s="10">
        <v>4393187</v>
      </c>
      <c r="V166" s="10">
        <v>4433193</v>
      </c>
    </row>
    <row r="167" spans="1:22">
      <c r="A167" s="86">
        <v>145</v>
      </c>
      <c r="B167" s="18" t="s">
        <v>166</v>
      </c>
      <c r="C167" s="70" t="s">
        <v>63</v>
      </c>
      <c r="D167" s="28">
        <v>360265061.69</v>
      </c>
      <c r="E167" s="28">
        <v>1008761.4</v>
      </c>
      <c r="F167" s="28">
        <v>44903178.310000002</v>
      </c>
      <c r="G167" s="10">
        <v>681880.13</v>
      </c>
      <c r="H167" s="12">
        <f t="shared" si="87"/>
        <v>45230059.579999998</v>
      </c>
      <c r="I167" s="10">
        <v>270565657.17000002</v>
      </c>
      <c r="J167" s="13">
        <f t="shared" si="80"/>
        <v>4.1452869514411947E-3</v>
      </c>
      <c r="K167" s="10">
        <v>411427731.69999999</v>
      </c>
      <c r="L167" s="13">
        <f t="shared" si="88"/>
        <v>5.4671033974171557E-3</v>
      </c>
      <c r="M167" s="13">
        <f t="shared" si="89"/>
        <v>0.52062067301281501</v>
      </c>
      <c r="N167" s="19">
        <f t="shared" si="90"/>
        <v>1.6573509208591833E-3</v>
      </c>
      <c r="O167" s="20">
        <f t="shared" si="91"/>
        <v>0.10993439696714542</v>
      </c>
      <c r="P167" s="21">
        <f t="shared" si="92"/>
        <v>2.0241014499215657</v>
      </c>
      <c r="Q167" s="21">
        <f t="shared" si="93"/>
        <v>0.222518372297452</v>
      </c>
      <c r="R167" s="10">
        <v>2.0135000000000001</v>
      </c>
      <c r="S167" s="10">
        <v>2.0337999999999998</v>
      </c>
      <c r="T167" s="10">
        <v>642</v>
      </c>
      <c r="U167" s="10">
        <v>153278275.69</v>
      </c>
      <c r="V167" s="10">
        <v>203264382.68000001</v>
      </c>
    </row>
    <row r="168" spans="1:22">
      <c r="A168" s="86">
        <v>146</v>
      </c>
      <c r="B168" s="75" t="s">
        <v>223</v>
      </c>
      <c r="C168" s="76" t="s">
        <v>47</v>
      </c>
      <c r="D168" s="28">
        <v>157446931.33000001</v>
      </c>
      <c r="E168" s="28">
        <v>397883.49</v>
      </c>
      <c r="F168" s="28">
        <v>0</v>
      </c>
      <c r="G168" s="10">
        <v>361184.95</v>
      </c>
      <c r="H168" s="12">
        <f t="shared" si="87"/>
        <v>36698.539999999979</v>
      </c>
      <c r="I168" s="10">
        <v>142668831.56999999</v>
      </c>
      <c r="J168" s="13">
        <f t="shared" si="80"/>
        <v>2.1858030766739034E-3</v>
      </c>
      <c r="K168" s="10">
        <v>159759147.61000001</v>
      </c>
      <c r="L168" s="13">
        <f t="shared" si="88"/>
        <v>2.1228996282243074E-3</v>
      </c>
      <c r="M168" s="13">
        <f t="shared" si="89"/>
        <v>0.11979011709796414</v>
      </c>
      <c r="N168" s="19">
        <f t="shared" si="90"/>
        <v>2.2608091956131085E-3</v>
      </c>
      <c r="O168" s="20">
        <f t="shared" si="91"/>
        <v>2.2971166627395589E-4</v>
      </c>
      <c r="P168" s="21">
        <f t="shared" si="92"/>
        <v>191.70621591642151</v>
      </c>
      <c r="Q168" s="21">
        <f t="shared" si="93"/>
        <v>4.4037154293235944E-2</v>
      </c>
      <c r="R168" s="10">
        <v>191.37610000000001</v>
      </c>
      <c r="S168" s="10">
        <v>192.50389999999999</v>
      </c>
      <c r="T168" s="10">
        <v>147</v>
      </c>
      <c r="U168" s="10">
        <v>835848.42</v>
      </c>
      <c r="V168" s="10">
        <v>833354.03</v>
      </c>
    </row>
    <row r="169" spans="1:22">
      <c r="A169" s="86">
        <v>147</v>
      </c>
      <c r="B169" s="75" t="s">
        <v>167</v>
      </c>
      <c r="C169" s="76" t="s">
        <v>168</v>
      </c>
      <c r="D169" s="28">
        <v>317063132.49000001</v>
      </c>
      <c r="E169" s="28">
        <v>3340981.84</v>
      </c>
      <c r="F169" s="28">
        <v>0</v>
      </c>
      <c r="G169" s="10">
        <v>766187.12</v>
      </c>
      <c r="H169" s="12">
        <f t="shared" si="87"/>
        <v>2574794.7199999997</v>
      </c>
      <c r="I169" s="10">
        <v>254913116.43000001</v>
      </c>
      <c r="J169" s="13">
        <f t="shared" si="80"/>
        <v>3.9054772373589082E-3</v>
      </c>
      <c r="K169" s="10">
        <v>341182691.54000002</v>
      </c>
      <c r="L169" s="13">
        <f t="shared" si="88"/>
        <v>4.5336784770219794E-3</v>
      </c>
      <c r="M169" s="13">
        <f t="shared" si="89"/>
        <v>0.33842736818797603</v>
      </c>
      <c r="N169" s="19">
        <f t="shared" si="90"/>
        <v>2.2456799216327558E-3</v>
      </c>
      <c r="O169" s="20">
        <f t="shared" si="91"/>
        <v>7.5466745056090648E-3</v>
      </c>
      <c r="P169" s="21">
        <f t="shared" si="92"/>
        <v>157.77467760910221</v>
      </c>
      <c r="Q169" s="21">
        <f t="shared" si="93"/>
        <v>1.1906741371433009</v>
      </c>
      <c r="R169" s="10">
        <v>128.76</v>
      </c>
      <c r="S169" s="10">
        <v>129.74</v>
      </c>
      <c r="T169" s="10">
        <v>91</v>
      </c>
      <c r="U169" s="10">
        <v>2120316</v>
      </c>
      <c r="V169" s="10">
        <v>2162468</v>
      </c>
    </row>
    <row r="170" spans="1:22">
      <c r="A170" s="86">
        <v>148</v>
      </c>
      <c r="B170" s="18" t="s">
        <v>169</v>
      </c>
      <c r="C170" s="70" t="s">
        <v>68</v>
      </c>
      <c r="D170" s="28">
        <v>455879029.51999998</v>
      </c>
      <c r="E170" s="28">
        <v>4174396.31</v>
      </c>
      <c r="F170" s="28">
        <v>58366928.700000003</v>
      </c>
      <c r="G170" s="10">
        <v>669606.5</v>
      </c>
      <c r="H170" s="12">
        <f t="shared" si="87"/>
        <v>61871718.510000005</v>
      </c>
      <c r="I170" s="10">
        <v>395619625.98000002</v>
      </c>
      <c r="J170" s="13">
        <f t="shared" si="80"/>
        <v>6.0612159372411892E-3</v>
      </c>
      <c r="K170" s="10">
        <v>456108455.86000001</v>
      </c>
      <c r="L170" s="13">
        <f t="shared" si="88"/>
        <v>6.0608264744806918E-3</v>
      </c>
      <c r="M170" s="13">
        <f t="shared" si="89"/>
        <v>0.15289643361388225</v>
      </c>
      <c r="N170" s="19">
        <f t="shared" si="90"/>
        <v>1.4680861347712703E-3</v>
      </c>
      <c r="O170" s="20">
        <f t="shared" si="91"/>
        <v>0.13565132966750168</v>
      </c>
      <c r="P170" s="21">
        <f t="shared" si="92"/>
        <v>1.7265987627511001</v>
      </c>
      <c r="Q170" s="21">
        <f t="shared" si="93"/>
        <v>0.23421541796945</v>
      </c>
      <c r="R170" s="10">
        <v>1.7045999999999999</v>
      </c>
      <c r="S170" s="10">
        <v>1.7254</v>
      </c>
      <c r="T170" s="10">
        <v>101</v>
      </c>
      <c r="U170" s="10">
        <v>249293751.93000001</v>
      </c>
      <c r="V170" s="10">
        <v>264165865.11000001</v>
      </c>
    </row>
    <row r="171" spans="1:22">
      <c r="A171" s="86">
        <v>149</v>
      </c>
      <c r="B171" s="70" t="s">
        <v>170</v>
      </c>
      <c r="C171" s="70" t="s">
        <v>72</v>
      </c>
      <c r="D171" s="28">
        <v>13457164409.52</v>
      </c>
      <c r="E171" s="28">
        <v>86577906.900000006</v>
      </c>
      <c r="F171" s="28">
        <v>1499015415.95</v>
      </c>
      <c r="G171" s="10">
        <v>20104835.140000001</v>
      </c>
      <c r="H171" s="12">
        <f t="shared" si="87"/>
        <v>1565488487.71</v>
      </c>
      <c r="I171" s="10">
        <v>11432506658.959999</v>
      </c>
      <c r="J171" s="13">
        <f t="shared" si="80"/>
        <v>0.17515534370230529</v>
      </c>
      <c r="K171" s="10">
        <v>13034642033.41</v>
      </c>
      <c r="L171" s="13">
        <f t="shared" si="88"/>
        <v>0.17320596122804396</v>
      </c>
      <c r="M171" s="13">
        <f t="shared" si="89"/>
        <v>0.14013859097071762</v>
      </c>
      <c r="N171" s="19">
        <f t="shared" si="90"/>
        <v>1.5424155944189259E-3</v>
      </c>
      <c r="O171" s="20">
        <f t="shared" si="91"/>
        <v>0.12010214654897214</v>
      </c>
      <c r="P171" s="21">
        <f t="shared" si="92"/>
        <v>448.56179888476248</v>
      </c>
      <c r="Q171" s="21">
        <f t="shared" si="93"/>
        <v>53.873234905928314</v>
      </c>
      <c r="R171" s="10">
        <v>448.56</v>
      </c>
      <c r="S171" s="10">
        <v>453.06</v>
      </c>
      <c r="T171" s="10">
        <v>5487</v>
      </c>
      <c r="U171" s="10">
        <v>28984614</v>
      </c>
      <c r="V171" s="10">
        <v>29058743</v>
      </c>
    </row>
    <row r="172" spans="1:22" ht="15.6" customHeight="1">
      <c r="A172" s="86">
        <v>150</v>
      </c>
      <c r="B172" s="82" t="s">
        <v>171</v>
      </c>
      <c r="C172" s="18" t="s">
        <v>250</v>
      </c>
      <c r="D172" s="28">
        <v>4333915289.9700003</v>
      </c>
      <c r="E172" s="28">
        <v>46571582.68</v>
      </c>
      <c r="F172" s="28">
        <v>390700604.64999998</v>
      </c>
      <c r="G172" s="10">
        <v>12873314.140000001</v>
      </c>
      <c r="H172" s="12">
        <f t="shared" si="87"/>
        <v>424398873.19</v>
      </c>
      <c r="I172" s="10">
        <v>3873244692.8600001</v>
      </c>
      <c r="J172" s="13">
        <f t="shared" si="80"/>
        <v>5.9341273585817284E-2</v>
      </c>
      <c r="K172" s="10">
        <v>3873244692.8600001</v>
      </c>
      <c r="L172" s="13">
        <f t="shared" si="88"/>
        <v>5.1468162177272299E-2</v>
      </c>
      <c r="M172" s="13">
        <f t="shared" si="89"/>
        <v>0</v>
      </c>
      <c r="N172" s="19">
        <f t="shared" si="90"/>
        <v>3.3236511402780387E-3</v>
      </c>
      <c r="O172" s="20">
        <f t="shared" si="91"/>
        <v>0.10957192401821231</v>
      </c>
      <c r="P172" s="21">
        <f t="shared" si="92"/>
        <v>2.7426136841903648</v>
      </c>
      <c r="Q172" s="21">
        <f t="shared" si="93"/>
        <v>0.30051345821541597</v>
      </c>
      <c r="R172" s="10">
        <v>3.0081000000000002</v>
      </c>
      <c r="S172" s="10">
        <v>3.0699000000000001</v>
      </c>
      <c r="T172" s="10">
        <v>10296</v>
      </c>
      <c r="U172" s="10">
        <v>1412322750.99</v>
      </c>
      <c r="V172" s="10">
        <v>1412245813.25</v>
      </c>
    </row>
    <row r="173" spans="1:22">
      <c r="A173" s="86">
        <v>151</v>
      </c>
      <c r="B173" s="18" t="s">
        <v>172</v>
      </c>
      <c r="C173" s="70" t="s">
        <v>76</v>
      </c>
      <c r="D173" s="28">
        <v>239360634.56999999</v>
      </c>
      <c r="E173" s="28">
        <v>1934245.74</v>
      </c>
      <c r="F173" s="28">
        <v>102060357.69</v>
      </c>
      <c r="G173" s="10">
        <v>560743.68000000005</v>
      </c>
      <c r="H173" s="12">
        <f t="shared" si="87"/>
        <v>103433859.74999999</v>
      </c>
      <c r="I173" s="10">
        <v>278060508.25</v>
      </c>
      <c r="J173" s="13">
        <f t="shared" si="80"/>
        <v>4.260114194151449E-3</v>
      </c>
      <c r="K173" s="10">
        <v>309813665.05000001</v>
      </c>
      <c r="L173" s="13">
        <f t="shared" si="88"/>
        <v>4.1168429112993501E-3</v>
      </c>
      <c r="M173" s="13">
        <f t="shared" si="89"/>
        <v>0.11419513328175042</v>
      </c>
      <c r="N173" s="19">
        <f t="shared" si="90"/>
        <v>1.80993849935413E-3</v>
      </c>
      <c r="O173" s="20">
        <f t="shared" si="91"/>
        <v>0.33385828779794807</v>
      </c>
      <c r="P173" s="21">
        <f t="shared" si="92"/>
        <v>353.33628206332583</v>
      </c>
      <c r="Q173" s="21">
        <f t="shared" si="93"/>
        <v>117.96424614655477</v>
      </c>
      <c r="R173" s="10">
        <v>348.09</v>
      </c>
      <c r="S173" s="10">
        <v>350.63</v>
      </c>
      <c r="T173" s="10">
        <v>64</v>
      </c>
      <c r="U173" s="10">
        <v>877208.09</v>
      </c>
      <c r="V173" s="10">
        <v>876823.81</v>
      </c>
    </row>
    <row r="174" spans="1:22">
      <c r="A174" s="86">
        <v>152</v>
      </c>
      <c r="B174" s="75" t="s">
        <v>226</v>
      </c>
      <c r="C174" s="75" t="s">
        <v>225</v>
      </c>
      <c r="D174" s="28">
        <v>69720853.709999993</v>
      </c>
      <c r="E174" s="28">
        <v>2155848.1</v>
      </c>
      <c r="F174" s="28">
        <v>0</v>
      </c>
      <c r="G174" s="10">
        <v>98420.31</v>
      </c>
      <c r="H174" s="12">
        <f>(E174+F174)-G174</f>
        <v>2057427.79</v>
      </c>
      <c r="I174" s="10">
        <v>62300649.700000003</v>
      </c>
      <c r="J174" s="13">
        <f t="shared" si="80"/>
        <v>9.5449686027763059E-4</v>
      </c>
      <c r="K174" s="24">
        <v>70003706.969999999</v>
      </c>
      <c r="L174" s="13">
        <f t="shared" si="88"/>
        <v>9.3021805464136155E-4</v>
      </c>
      <c r="M174" s="13">
        <f t="shared" si="89"/>
        <v>0.12364328954983587</v>
      </c>
      <c r="N174" s="19">
        <f t="shared" si="90"/>
        <v>1.4059299751394295E-3</v>
      </c>
      <c r="O174" s="20">
        <f t="shared" si="91"/>
        <v>2.9390269159341922E-2</v>
      </c>
      <c r="P174" s="21">
        <f t="shared" si="92"/>
        <v>1.3763459354724548</v>
      </c>
      <c r="Q174" s="21">
        <f t="shared" si="93"/>
        <v>4.0451177499901694E-2</v>
      </c>
      <c r="R174" s="10">
        <v>1.3480000000000001</v>
      </c>
      <c r="S174" s="10">
        <v>1.3740000000000001</v>
      </c>
      <c r="T174" s="10">
        <v>25</v>
      </c>
      <c r="U174" s="10">
        <v>50862000</v>
      </c>
      <c r="V174" s="10">
        <v>50862000</v>
      </c>
    </row>
    <row r="175" spans="1:22">
      <c r="A175" s="86">
        <v>153</v>
      </c>
      <c r="B175" s="70" t="s">
        <v>173</v>
      </c>
      <c r="C175" s="70" t="s">
        <v>35</v>
      </c>
      <c r="D175" s="28">
        <v>4521730396.8599997</v>
      </c>
      <c r="E175" s="28">
        <v>31334162.579999998</v>
      </c>
      <c r="F175" s="28">
        <v>440833186.56999999</v>
      </c>
      <c r="G175" s="10">
        <v>8912677.0800000001</v>
      </c>
      <c r="H175" s="12">
        <f t="shared" si="87"/>
        <v>463254672.06999999</v>
      </c>
      <c r="I175" s="10">
        <v>3774126114.6199999</v>
      </c>
      <c r="J175" s="13">
        <f t="shared" si="80"/>
        <v>5.782269597577893E-2</v>
      </c>
      <c r="K175" s="10">
        <v>4379490050.21</v>
      </c>
      <c r="L175" s="13">
        <f t="shared" si="88"/>
        <v>5.8195214098781964E-2</v>
      </c>
      <c r="M175" s="13">
        <f t="shared" si="89"/>
        <v>0.16039843852725932</v>
      </c>
      <c r="N175" s="19">
        <f t="shared" si="90"/>
        <v>2.0350947205765727E-3</v>
      </c>
      <c r="O175" s="20">
        <f t="shared" si="91"/>
        <v>0.10577822229503331</v>
      </c>
      <c r="P175" s="21">
        <f t="shared" si="92"/>
        <v>5.9794632699820207</v>
      </c>
      <c r="Q175" s="21">
        <f t="shared" si="93"/>
        <v>0.63249699497714507</v>
      </c>
      <c r="R175" s="10">
        <v>5.96</v>
      </c>
      <c r="S175" s="10">
        <v>6.09</v>
      </c>
      <c r="T175" s="10">
        <v>2509</v>
      </c>
      <c r="U175" s="10">
        <v>713311772.97000003</v>
      </c>
      <c r="V175" s="10">
        <v>732421933.62</v>
      </c>
    </row>
    <row r="176" spans="1:22">
      <c r="A176" s="86">
        <v>154</v>
      </c>
      <c r="B176" s="75" t="s">
        <v>254</v>
      </c>
      <c r="C176" s="76" t="s">
        <v>255</v>
      </c>
      <c r="D176" s="16">
        <v>95806222.890000001</v>
      </c>
      <c r="E176" s="16">
        <v>856230.79</v>
      </c>
      <c r="F176" s="16">
        <v>3635306.12</v>
      </c>
      <c r="G176" s="16">
        <v>367511.33</v>
      </c>
      <c r="H176" s="12">
        <f t="shared" si="87"/>
        <v>4124025.58</v>
      </c>
      <c r="I176" s="16">
        <v>89598260.170000002</v>
      </c>
      <c r="J176" s="13">
        <f t="shared" si="80"/>
        <v>1.3727185579992961E-3</v>
      </c>
      <c r="K176" s="16">
        <v>93020822.060000002</v>
      </c>
      <c r="L176" s="13">
        <f t="shared" si="88"/>
        <v>1.236072372208455E-3</v>
      </c>
      <c r="M176" s="13">
        <f t="shared" si="89"/>
        <v>3.8198977117481686E-2</v>
      </c>
      <c r="N176" s="19">
        <f t="shared" si="90"/>
        <v>3.9508501630199418E-3</v>
      </c>
      <c r="O176" s="20">
        <f t="shared" si="91"/>
        <v>4.4334434900391809E-2</v>
      </c>
      <c r="P176" s="21">
        <f t="shared" si="92"/>
        <v>2.5355836246688948</v>
      </c>
      <c r="Q176" s="21">
        <f t="shared" si="93"/>
        <v>0.11241366714238261</v>
      </c>
      <c r="R176" s="16">
        <v>2.5499999999999998</v>
      </c>
      <c r="S176" s="16">
        <v>2.56</v>
      </c>
      <c r="T176" s="16">
        <v>101</v>
      </c>
      <c r="U176" s="16">
        <v>36342654.590000004</v>
      </c>
      <c r="V176" s="16">
        <v>36686158.229999997</v>
      </c>
    </row>
    <row r="177" spans="1:22">
      <c r="A177" s="86">
        <v>155</v>
      </c>
      <c r="B177" s="70" t="s">
        <v>174</v>
      </c>
      <c r="C177" s="70" t="s">
        <v>114</v>
      </c>
      <c r="D177" s="28">
        <v>673588824.38</v>
      </c>
      <c r="E177" s="28">
        <v>15635271.48</v>
      </c>
      <c r="F177" s="28">
        <v>0</v>
      </c>
      <c r="G177" s="10">
        <v>13220953.09</v>
      </c>
      <c r="H177" s="12">
        <f>(E177+F177)-G177</f>
        <v>2414318.3900000006</v>
      </c>
      <c r="I177" s="10">
        <v>649192203.49000001</v>
      </c>
      <c r="J177" s="13">
        <f t="shared" si="80"/>
        <v>9.9461550229695533E-3</v>
      </c>
      <c r="K177" s="10">
        <v>665757914.38999999</v>
      </c>
      <c r="L177" s="13">
        <f t="shared" si="88"/>
        <v>8.8466748232540905E-3</v>
      </c>
      <c r="M177" s="13">
        <f t="shared" si="89"/>
        <v>2.5517421205837311E-2</v>
      </c>
      <c r="N177" s="19">
        <f t="shared" si="90"/>
        <v>1.9858499319701944E-2</v>
      </c>
      <c r="O177" s="20">
        <f t="shared" si="91"/>
        <v>3.6264208623221811E-3</v>
      </c>
      <c r="P177" s="21">
        <f t="shared" si="92"/>
        <v>335.39012366793895</v>
      </c>
      <c r="Q177" s="21">
        <f t="shared" si="93"/>
        <v>1.2162657414862301</v>
      </c>
      <c r="R177" s="10">
        <v>335.39010000000002</v>
      </c>
      <c r="S177" s="10">
        <v>339.33510000000001</v>
      </c>
      <c r="T177" s="10">
        <v>164</v>
      </c>
      <c r="U177" s="10">
        <v>2139049.81</v>
      </c>
      <c r="V177" s="10">
        <v>1985025.4</v>
      </c>
    </row>
    <row r="178" spans="1:22">
      <c r="A178" s="86">
        <v>156</v>
      </c>
      <c r="B178" s="18" t="s">
        <v>175</v>
      </c>
      <c r="C178" s="70" t="s">
        <v>31</v>
      </c>
      <c r="D178" s="28">
        <v>2114729782.46</v>
      </c>
      <c r="E178" s="28">
        <v>29197437.620000001</v>
      </c>
      <c r="F178" s="28">
        <v>54658214.340000004</v>
      </c>
      <c r="G178" s="10">
        <v>5547490.1600000001</v>
      </c>
      <c r="H178" s="12">
        <f t="shared" si="87"/>
        <v>78308161.800000012</v>
      </c>
      <c r="I178" s="10">
        <v>2073176469.5699999</v>
      </c>
      <c r="J178" s="13">
        <f t="shared" si="80"/>
        <v>3.1762757540007285E-2</v>
      </c>
      <c r="K178" s="10">
        <v>2075022203.0799999</v>
      </c>
      <c r="L178" s="13">
        <f t="shared" si="88"/>
        <v>2.7573155774649256E-2</v>
      </c>
      <c r="M178" s="13">
        <f t="shared" si="89"/>
        <v>8.9029252313615938E-4</v>
      </c>
      <c r="N178" s="19">
        <f t="shared" si="90"/>
        <v>2.6734606269589508E-3</v>
      </c>
      <c r="O178" s="20">
        <f t="shared" si="91"/>
        <v>3.7738469344455947E-2</v>
      </c>
      <c r="P178" s="21">
        <f t="shared" si="92"/>
        <v>2781.7175455191364</v>
      </c>
      <c r="Q178" s="21">
        <f t="shared" si="93"/>
        <v>104.97776231650917</v>
      </c>
      <c r="R178" s="10">
        <v>0</v>
      </c>
      <c r="S178" s="10">
        <v>0</v>
      </c>
      <c r="T178" s="10">
        <v>823</v>
      </c>
      <c r="U178" s="10">
        <v>745950</v>
      </c>
      <c r="V178" s="10">
        <v>745950</v>
      </c>
    </row>
    <row r="179" spans="1:22">
      <c r="A179" s="86">
        <v>157</v>
      </c>
      <c r="B179" s="18" t="s">
        <v>176</v>
      </c>
      <c r="C179" s="70" t="s">
        <v>82</v>
      </c>
      <c r="D179" s="28">
        <v>38132724.520000003</v>
      </c>
      <c r="E179" s="28">
        <v>268308.19</v>
      </c>
      <c r="F179" s="28">
        <v>6601901</v>
      </c>
      <c r="G179" s="10">
        <v>16911.68</v>
      </c>
      <c r="H179" s="12">
        <f t="shared" si="87"/>
        <v>6853297.5100000007</v>
      </c>
      <c r="I179" s="10">
        <v>42543598.340000004</v>
      </c>
      <c r="J179" s="13">
        <f t="shared" si="80"/>
        <v>6.5180268963459329E-4</v>
      </c>
      <c r="K179" s="10">
        <v>49272363.310000002</v>
      </c>
      <c r="L179" s="13">
        <f t="shared" si="88"/>
        <v>6.5473735505825034E-4</v>
      </c>
      <c r="M179" s="13">
        <f t="shared" si="89"/>
        <v>0.15816163259687258</v>
      </c>
      <c r="N179" s="19">
        <f t="shared" si="90"/>
        <v>3.4322851318495037E-4</v>
      </c>
      <c r="O179" s="20">
        <f t="shared" si="91"/>
        <v>0.13909009127250649</v>
      </c>
      <c r="P179" s="21">
        <f t="shared" si="92"/>
        <v>2.6967594371270982</v>
      </c>
      <c r="Q179" s="21">
        <f t="shared" si="93"/>
        <v>0.37509251625000134</v>
      </c>
      <c r="R179" s="10">
        <v>2.79</v>
      </c>
      <c r="S179" s="10">
        <v>2.79</v>
      </c>
      <c r="T179" s="10">
        <v>9</v>
      </c>
      <c r="U179" s="10">
        <v>17832704.09</v>
      </c>
      <c r="V179" s="10">
        <v>18270952.399999999</v>
      </c>
    </row>
    <row r="180" spans="1:22">
      <c r="A180" s="86">
        <v>158</v>
      </c>
      <c r="B180" s="70" t="s">
        <v>177</v>
      </c>
      <c r="C180" s="70" t="s">
        <v>41</v>
      </c>
      <c r="D180" s="28">
        <v>336744433.75999999</v>
      </c>
      <c r="E180" s="28">
        <v>6022926.5899999999</v>
      </c>
      <c r="F180" s="28">
        <v>172441742.93000001</v>
      </c>
      <c r="G180" s="10">
        <v>513916.39</v>
      </c>
      <c r="H180" s="12">
        <f t="shared" si="87"/>
        <v>177950753.13000003</v>
      </c>
      <c r="I180" s="10">
        <v>305530897.08999997</v>
      </c>
      <c r="J180" s="13">
        <f t="shared" si="80"/>
        <v>4.6809829976815287E-3</v>
      </c>
      <c r="K180" s="10">
        <v>361727464.76999998</v>
      </c>
      <c r="L180" s="13">
        <f t="shared" si="88"/>
        <v>4.8066800052874552E-3</v>
      </c>
      <c r="M180" s="13">
        <f t="shared" si="89"/>
        <v>0.18393088298184859</v>
      </c>
      <c r="N180" s="19">
        <f t="shared" si="90"/>
        <v>1.4207281449495894E-3</v>
      </c>
      <c r="O180" s="20">
        <f t="shared" si="91"/>
        <v>0.49194703322609978</v>
      </c>
      <c r="P180" s="21">
        <f t="shared" si="92"/>
        <v>3.6294975614578187</v>
      </c>
      <c r="Q180" s="21">
        <f t="shared" si="93"/>
        <v>1.7855205574605377</v>
      </c>
      <c r="R180" s="10">
        <v>3.59</v>
      </c>
      <c r="S180" s="10">
        <v>3.67</v>
      </c>
      <c r="T180" s="10">
        <v>126</v>
      </c>
      <c r="U180" s="10">
        <v>99603456</v>
      </c>
      <c r="V180" s="10">
        <v>99663234</v>
      </c>
    </row>
    <row r="181" spans="1:22">
      <c r="A181" s="86">
        <v>159</v>
      </c>
      <c r="B181" s="18" t="s">
        <v>178</v>
      </c>
      <c r="C181" s="18" t="s">
        <v>45</v>
      </c>
      <c r="D181" s="28">
        <v>3584903168.8099999</v>
      </c>
      <c r="E181" s="28">
        <v>109176882.18000001</v>
      </c>
      <c r="F181" s="28">
        <v>427013139.31</v>
      </c>
      <c r="G181" s="10">
        <v>8577478.8399999999</v>
      </c>
      <c r="H181" s="12">
        <f t="shared" si="87"/>
        <v>527612542.65000004</v>
      </c>
      <c r="I181" s="10">
        <v>3160633734.6999998</v>
      </c>
      <c r="J181" s="13">
        <f t="shared" si="80"/>
        <v>4.842349142080795E-2</v>
      </c>
      <c r="K181" s="10">
        <v>3856697322</v>
      </c>
      <c r="L181" s="13">
        <f t="shared" si="88"/>
        <v>5.124827863399916E-2</v>
      </c>
      <c r="M181" s="13">
        <f t="shared" si="89"/>
        <v>0.22022912040014309</v>
      </c>
      <c r="N181" s="19">
        <f t="shared" si="90"/>
        <v>2.2240477081442067E-3</v>
      </c>
      <c r="O181" s="20">
        <f t="shared" si="91"/>
        <v>0.13680423911939024</v>
      </c>
      <c r="P181" s="21">
        <f t="shared" si="92"/>
        <v>9401.3743708757138</v>
      </c>
      <c r="Q181" s="21">
        <f t="shared" si="93"/>
        <v>1286.1478674841883</v>
      </c>
      <c r="R181" s="10">
        <v>9346.2199999999993</v>
      </c>
      <c r="S181" s="10">
        <v>9439.18</v>
      </c>
      <c r="T181" s="10">
        <v>2642</v>
      </c>
      <c r="U181" s="10">
        <v>395485.47</v>
      </c>
      <c r="V181" s="10">
        <v>410226.97</v>
      </c>
    </row>
    <row r="182" spans="1:22">
      <c r="A182" s="86">
        <v>160</v>
      </c>
      <c r="B182" s="18" t="s">
        <v>291</v>
      </c>
      <c r="C182" s="18" t="s">
        <v>289</v>
      </c>
      <c r="D182" s="28">
        <v>110398109</v>
      </c>
      <c r="E182" s="28">
        <v>6770697.71</v>
      </c>
      <c r="F182" s="28">
        <v>17435602.199999999</v>
      </c>
      <c r="G182" s="10">
        <v>864400.75</v>
      </c>
      <c r="H182" s="12">
        <f t="shared" si="87"/>
        <v>23341899.16</v>
      </c>
      <c r="I182" s="10">
        <v>119723796.84</v>
      </c>
      <c r="J182" s="13">
        <f t="shared" si="80"/>
        <v>1.8342663958494307E-3</v>
      </c>
      <c r="K182" s="10">
        <v>134905609.91</v>
      </c>
      <c r="L182" s="13">
        <f t="shared" si="88"/>
        <v>1.792642696257012E-3</v>
      </c>
      <c r="M182" s="13">
        <f t="shared" si="89"/>
        <v>0.12680697965408755</v>
      </c>
      <c r="N182" s="19">
        <f t="shared" si="90"/>
        <v>6.4074485158672825E-3</v>
      </c>
      <c r="O182" s="20">
        <f t="shared" si="91"/>
        <v>0.17302393262646493</v>
      </c>
      <c r="P182" s="21">
        <f t="shared" si="92"/>
        <v>1433.4578081524548</v>
      </c>
      <c r="Q182" s="21">
        <f t="shared" si="93"/>
        <v>248.02250722065045</v>
      </c>
      <c r="R182" s="10">
        <v>1365.0918999999999</v>
      </c>
      <c r="S182" s="10">
        <v>1386.2456999999999</v>
      </c>
      <c r="T182" s="10">
        <v>12</v>
      </c>
      <c r="U182" s="10">
        <v>94112.02</v>
      </c>
      <c r="V182" s="10">
        <v>94112.02</v>
      </c>
    </row>
    <row r="183" spans="1:22">
      <c r="A183" s="86">
        <v>161</v>
      </c>
      <c r="B183" s="75" t="s">
        <v>224</v>
      </c>
      <c r="C183" s="75" t="s">
        <v>225</v>
      </c>
      <c r="D183" s="28">
        <v>750553435.77999997</v>
      </c>
      <c r="E183" s="28">
        <v>71766334.609999999</v>
      </c>
      <c r="F183" s="28">
        <v>0</v>
      </c>
      <c r="G183" s="10">
        <v>1147754.74</v>
      </c>
      <c r="H183" s="12">
        <f t="shared" si="87"/>
        <v>70618579.870000005</v>
      </c>
      <c r="I183" s="10">
        <v>773828007.63</v>
      </c>
      <c r="J183" s="13">
        <f t="shared" si="80"/>
        <v>1.1855677384335999E-2</v>
      </c>
      <c r="K183" s="10">
        <v>748498967.03999996</v>
      </c>
      <c r="L183" s="13">
        <f t="shared" si="88"/>
        <v>9.9461483278221515E-3</v>
      </c>
      <c r="M183" s="13">
        <f t="shared" si="89"/>
        <v>-3.273213212788096E-2</v>
      </c>
      <c r="N183" s="19">
        <f t="shared" si="90"/>
        <v>1.5334085824311682E-3</v>
      </c>
      <c r="O183" s="20">
        <f t="shared" si="91"/>
        <v>9.434693029606564E-2</v>
      </c>
      <c r="P183" s="21">
        <f t="shared" si="92"/>
        <v>1.4262732673724197</v>
      </c>
      <c r="Q183" s="21">
        <f t="shared" si="93"/>
        <v>0.13456450453992747</v>
      </c>
      <c r="R183" s="10">
        <v>1.417</v>
      </c>
      <c r="S183" s="10">
        <v>1.417</v>
      </c>
      <c r="T183" s="10">
        <v>45</v>
      </c>
      <c r="U183" s="10">
        <v>523893519</v>
      </c>
      <c r="V183" s="10">
        <v>524793519</v>
      </c>
    </row>
    <row r="184" spans="1:22">
      <c r="A184" s="86">
        <v>162</v>
      </c>
      <c r="B184" s="18" t="s">
        <v>179</v>
      </c>
      <c r="C184" s="18" t="s">
        <v>49</v>
      </c>
      <c r="D184" s="28">
        <v>2404972631</v>
      </c>
      <c r="E184" s="28">
        <v>19228776</v>
      </c>
      <c r="F184" s="28">
        <v>331135131</v>
      </c>
      <c r="G184" s="28">
        <v>4868117</v>
      </c>
      <c r="H184" s="12">
        <f t="shared" si="87"/>
        <v>345495790</v>
      </c>
      <c r="I184" s="10">
        <v>2715503531.96</v>
      </c>
      <c r="J184" s="13">
        <f t="shared" si="80"/>
        <v>4.1603732991706451E-2</v>
      </c>
      <c r="K184" s="10">
        <v>3113038471.27</v>
      </c>
      <c r="L184" s="13">
        <f t="shared" si="88"/>
        <v>4.1366446379896581E-2</v>
      </c>
      <c r="M184" s="13">
        <f t="shared" si="89"/>
        <v>0.14639455800047022</v>
      </c>
      <c r="N184" s="19">
        <f t="shared" si="90"/>
        <v>1.5637831157332262E-3</v>
      </c>
      <c r="O184" s="20">
        <f t="shared" si="91"/>
        <v>0.11098346300200107</v>
      </c>
      <c r="P184" s="21">
        <f t="shared" si="92"/>
        <v>2.1827253383592113</v>
      </c>
      <c r="Q184" s="21">
        <f t="shared" si="93"/>
        <v>0.24224641683331979</v>
      </c>
      <c r="R184" s="10">
        <v>2.16</v>
      </c>
      <c r="S184" s="10">
        <v>2.17</v>
      </c>
      <c r="T184" s="10">
        <v>1447</v>
      </c>
      <c r="U184" s="10">
        <v>1391946054</v>
      </c>
      <c r="V184" s="10">
        <v>1426216307</v>
      </c>
    </row>
    <row r="185" spans="1:22">
      <c r="A185" s="86">
        <v>163</v>
      </c>
      <c r="B185" s="71" t="s">
        <v>180</v>
      </c>
      <c r="C185" s="18" t="s">
        <v>89</v>
      </c>
      <c r="D185" s="28">
        <v>11240165524.43</v>
      </c>
      <c r="E185" s="28">
        <v>71719352.900000006</v>
      </c>
      <c r="F185" s="28">
        <v>1562257431.6700001</v>
      </c>
      <c r="G185" s="10">
        <v>19220732.370000001</v>
      </c>
      <c r="H185" s="12">
        <f t="shared" si="87"/>
        <v>1614756052.2000003</v>
      </c>
      <c r="I185" s="10">
        <v>11243624271.610001</v>
      </c>
      <c r="J185" s="13">
        <f t="shared" si="80"/>
        <v>0.17226151118923413</v>
      </c>
      <c r="K185" s="10">
        <v>12465767123.48</v>
      </c>
      <c r="L185" s="13">
        <f t="shared" si="88"/>
        <v>0.16564667994203802</v>
      </c>
      <c r="M185" s="13">
        <f t="shared" si="89"/>
        <v>0.10869652189960609</v>
      </c>
      <c r="N185" s="19">
        <f t="shared" si="90"/>
        <v>1.5418812319858463E-3</v>
      </c>
      <c r="O185" s="20">
        <f t="shared" si="91"/>
        <v>0.12953523326763525</v>
      </c>
      <c r="P185" s="21">
        <f t="shared" si="92"/>
        <v>729.30776551426402</v>
      </c>
      <c r="Q185" s="21">
        <f t="shared" si="93"/>
        <v>94.471051529788028</v>
      </c>
      <c r="R185" s="10">
        <v>722.88</v>
      </c>
      <c r="S185" s="10">
        <v>732.6</v>
      </c>
      <c r="T185" s="10">
        <v>35</v>
      </c>
      <c r="U185" s="10">
        <v>17091882.600000001</v>
      </c>
      <c r="V185" s="10">
        <v>17092601.66</v>
      </c>
    </row>
    <row r="186" spans="1:22">
      <c r="A186" s="86">
        <v>164</v>
      </c>
      <c r="B186" s="18" t="s">
        <v>181</v>
      </c>
      <c r="C186" s="18" t="s">
        <v>49</v>
      </c>
      <c r="D186" s="28">
        <v>986901748.82000005</v>
      </c>
      <c r="E186" s="28">
        <v>15840403</v>
      </c>
      <c r="F186" s="28">
        <v>182515308.38999999</v>
      </c>
      <c r="G186" s="10">
        <v>2823626.86</v>
      </c>
      <c r="H186" s="12">
        <f t="shared" si="87"/>
        <v>195532084.52999997</v>
      </c>
      <c r="I186" s="10">
        <v>1561574656</v>
      </c>
      <c r="J186" s="13">
        <f t="shared" si="80"/>
        <v>2.3924599717956407E-2</v>
      </c>
      <c r="K186" s="10">
        <v>1843728251</v>
      </c>
      <c r="L186" s="13">
        <f t="shared" si="88"/>
        <v>2.4499692675811164E-2</v>
      </c>
      <c r="M186" s="13">
        <f t="shared" si="89"/>
        <v>0.18068530628099538</v>
      </c>
      <c r="N186" s="19">
        <f t="shared" si="90"/>
        <v>1.5314767013352012E-3</v>
      </c>
      <c r="O186" s="20">
        <f t="shared" si="91"/>
        <v>0.10605255108715041</v>
      </c>
      <c r="P186" s="21">
        <f t="shared" si="92"/>
        <v>1.691554468331246</v>
      </c>
      <c r="Q186" s="21">
        <f t="shared" si="93"/>
        <v>0.17939366666939702</v>
      </c>
      <c r="R186" s="10">
        <v>1.69</v>
      </c>
      <c r="S186" s="10">
        <v>1.7</v>
      </c>
      <c r="T186" s="10">
        <v>281</v>
      </c>
      <c r="U186" s="10">
        <v>1032905760</v>
      </c>
      <c r="V186" s="10">
        <v>1089960912</v>
      </c>
    </row>
    <row r="187" spans="1:22">
      <c r="A187" s="86">
        <v>165</v>
      </c>
      <c r="B187" s="18" t="s">
        <v>182</v>
      </c>
      <c r="C187" s="18" t="s">
        <v>93</v>
      </c>
      <c r="D187" s="28">
        <v>5648783451.8500004</v>
      </c>
      <c r="E187" s="28">
        <v>23866894.079999998</v>
      </c>
      <c r="F187" s="28">
        <v>913892210.70000005</v>
      </c>
      <c r="G187" s="10">
        <v>12216097.93</v>
      </c>
      <c r="H187" s="12">
        <f t="shared" si="87"/>
        <v>925543006.85000014</v>
      </c>
      <c r="I187" s="10">
        <v>4320395577.1599998</v>
      </c>
      <c r="J187" s="13">
        <f t="shared" si="80"/>
        <v>6.6191990507549731E-2</v>
      </c>
      <c r="K187" s="10">
        <v>5893840799.71</v>
      </c>
      <c r="L187" s="13">
        <f t="shared" si="88"/>
        <v>7.8318097146222065E-2</v>
      </c>
      <c r="M187" s="13">
        <f t="shared" si="89"/>
        <v>0.36419008270170949</v>
      </c>
      <c r="N187" s="19">
        <f t="shared" si="90"/>
        <v>2.0726888195896093E-3</v>
      </c>
      <c r="O187" s="20">
        <f t="shared" si="91"/>
        <v>0.15703563063589035</v>
      </c>
      <c r="P187" s="21">
        <f t="shared" si="92"/>
        <v>34.688301477341369</v>
      </c>
      <c r="Q187" s="21">
        <f t="shared" si="93"/>
        <v>5.4472992981821893</v>
      </c>
      <c r="R187" s="10">
        <v>34.432400000000001</v>
      </c>
      <c r="S187" s="10">
        <v>34.906700000000001</v>
      </c>
      <c r="T187" s="10">
        <v>6160</v>
      </c>
      <c r="U187" s="10">
        <v>169377843.38</v>
      </c>
      <c r="V187" s="10">
        <v>169908601.71000001</v>
      </c>
    </row>
    <row r="188" spans="1:22" ht="15" customHeight="1">
      <c r="A188" s="122" t="s">
        <v>50</v>
      </c>
      <c r="B188" s="122"/>
      <c r="C188" s="122"/>
      <c r="D188" s="122"/>
      <c r="E188" s="122"/>
      <c r="F188" s="122"/>
      <c r="G188" s="122"/>
      <c r="H188" s="122"/>
      <c r="I188" s="36">
        <f>SUM(I160:I187)</f>
        <v>65270670122.349976</v>
      </c>
      <c r="J188" s="34">
        <f>(I188/$I$229)</f>
        <v>1.1152718060226731E-2</v>
      </c>
      <c r="K188" s="36">
        <f>SUM(K160:K187)</f>
        <v>75255158315.529999</v>
      </c>
      <c r="L188" s="34">
        <f>(K188/$K$229)</f>
        <v>1.1905758903687457E-2</v>
      </c>
      <c r="M188" s="34">
        <f t="shared" si="82"/>
        <v>0.15297051760712865</v>
      </c>
      <c r="N188" s="19"/>
      <c r="O188" s="19"/>
      <c r="P188" s="35"/>
      <c r="Q188" s="35"/>
      <c r="R188" s="36"/>
      <c r="S188" s="36"/>
      <c r="T188" s="36">
        <f>SUM(T160:T187)</f>
        <v>69472</v>
      </c>
      <c r="U188" s="36"/>
      <c r="V188" s="39"/>
    </row>
    <row r="189" spans="1:22" ht="6" customHeight="1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</row>
    <row r="190" spans="1:22">
      <c r="A190" s="121" t="s">
        <v>183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</row>
    <row r="191" spans="1:22">
      <c r="A191" s="86">
        <v>166</v>
      </c>
      <c r="B191" s="70" t="s">
        <v>184</v>
      </c>
      <c r="C191" s="18" t="s">
        <v>45</v>
      </c>
      <c r="D191" s="10">
        <v>6985554052.9899998</v>
      </c>
      <c r="E191" s="10">
        <v>39927586.890000001</v>
      </c>
      <c r="F191" s="24">
        <v>1152377345.6600001</v>
      </c>
      <c r="G191" s="10">
        <v>19805841.859999999</v>
      </c>
      <c r="H191" s="12">
        <f>(E191+F191)-G191</f>
        <v>1172499090.6900003</v>
      </c>
      <c r="I191" s="10">
        <v>5464406136.1000004</v>
      </c>
      <c r="J191" s="13">
        <f t="shared" ref="J191:J192" si="94">(I191/$I$193)</f>
        <v>0.80976580870429105</v>
      </c>
      <c r="K191" s="10">
        <v>7009859517.6400003</v>
      </c>
      <c r="L191" s="13">
        <f t="shared" ref="L191" si="95">(K191/$K$193)</f>
        <v>0.82489313859620239</v>
      </c>
      <c r="M191" s="13">
        <f t="shared" ref="M191" si="96">((K191-I191)/I191)</f>
        <v>0.28282183700258506</v>
      </c>
      <c r="N191" s="19">
        <f t="shared" ref="N191" si="97">(G191/K191)</f>
        <v>2.8254263598520737E-3</v>
      </c>
      <c r="O191" s="20">
        <f t="shared" ref="O191" si="98">H191/K191</f>
        <v>0.16726427794158477</v>
      </c>
      <c r="P191" s="21">
        <f t="shared" ref="P191" si="99">K191/V191</f>
        <v>4.6368199545187316</v>
      </c>
      <c r="Q191" s="21">
        <f t="shared" ref="Q191" si="100">H191/V191</f>
        <v>0.77557434163770755</v>
      </c>
      <c r="R191" s="10">
        <v>4.5999999999999996</v>
      </c>
      <c r="S191" s="10">
        <v>4.66</v>
      </c>
      <c r="T191" s="10">
        <v>10789</v>
      </c>
      <c r="U191" s="10">
        <v>1430747892.03</v>
      </c>
      <c r="V191" s="10">
        <v>1511781692.28</v>
      </c>
    </row>
    <row r="192" spans="1:22">
      <c r="A192" s="86">
        <v>167</v>
      </c>
      <c r="B192" s="70" t="s">
        <v>185</v>
      </c>
      <c r="C192" s="18" t="s">
        <v>93</v>
      </c>
      <c r="D192" s="10">
        <v>1480738419.5599999</v>
      </c>
      <c r="E192" s="10">
        <v>8038900.25</v>
      </c>
      <c r="F192" s="10">
        <v>158451592.69999999</v>
      </c>
      <c r="G192" s="10">
        <v>7877104.2400000002</v>
      </c>
      <c r="H192" s="12">
        <f>(E192+F192)-G192</f>
        <v>158613388.70999998</v>
      </c>
      <c r="I192" s="10">
        <v>1283725332.73</v>
      </c>
      <c r="J192" s="13">
        <f t="shared" si="94"/>
        <v>0.19023419129570901</v>
      </c>
      <c r="K192" s="10">
        <v>1488040621.97</v>
      </c>
      <c r="L192" s="13">
        <f t="shared" ref="L192" si="101">(K192/$K$193)</f>
        <v>0.17510686140379753</v>
      </c>
      <c r="M192" s="13">
        <f t="shared" ref="M192" si="102">((K192-I192)/I192)</f>
        <v>0.15915810339700814</v>
      </c>
      <c r="N192" s="19">
        <f t="shared" ref="N192" si="103">(G192/K192)</f>
        <v>5.2936083354845455E-3</v>
      </c>
      <c r="O192" s="20">
        <f t="shared" ref="O192" si="104">H192/K192</f>
        <v>0.1065921093605721</v>
      </c>
      <c r="P192" s="21">
        <f t="shared" ref="P192" si="105">K192/V192</f>
        <v>41.702340049364722</v>
      </c>
      <c r="Q192" s="21">
        <f t="shared" ref="Q192" si="106">H192/V192</f>
        <v>4.4451403911336511</v>
      </c>
      <c r="R192" s="10">
        <v>41.527900000000002</v>
      </c>
      <c r="S192" s="10">
        <v>42.036200000000001</v>
      </c>
      <c r="T192" s="10">
        <v>1492</v>
      </c>
      <c r="U192" s="10">
        <v>35584077.649999999</v>
      </c>
      <c r="V192" s="10">
        <v>35682425.020000003</v>
      </c>
    </row>
    <row r="193" spans="1:22" ht="15" customHeight="1">
      <c r="A193" s="122" t="s">
        <v>50</v>
      </c>
      <c r="B193" s="122"/>
      <c r="C193" s="122"/>
      <c r="D193" s="122"/>
      <c r="E193" s="122"/>
      <c r="F193" s="122"/>
      <c r="G193" s="122"/>
      <c r="H193" s="122"/>
      <c r="I193" s="36">
        <f>SUM(I191:I192)</f>
        <v>6748131468.8299999</v>
      </c>
      <c r="J193" s="34">
        <f>(I193/$I$229)</f>
        <v>1.1530448142194599E-3</v>
      </c>
      <c r="K193" s="36">
        <f>SUM(K191:K192)</f>
        <v>8497900139.6100006</v>
      </c>
      <c r="L193" s="34">
        <f>(K193/$K$229)</f>
        <v>1.3444121640885571E-3</v>
      </c>
      <c r="M193" s="34">
        <f t="shared" ref="M193" si="107">((K193-I193)/I193)</f>
        <v>0.25929676664752027</v>
      </c>
      <c r="N193" s="19"/>
      <c r="O193" s="40"/>
      <c r="P193" s="35"/>
      <c r="Q193" s="35"/>
      <c r="R193" s="36"/>
      <c r="S193" s="36"/>
      <c r="T193" s="36">
        <f>SUM(T191:T192)</f>
        <v>12281</v>
      </c>
      <c r="U193" s="36"/>
      <c r="V193" s="39"/>
    </row>
    <row r="194" spans="1:22" ht="8.1" customHeight="1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</row>
    <row r="195" spans="1:22">
      <c r="A195" s="121" t="s">
        <v>186</v>
      </c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</row>
    <row r="196" spans="1:22" ht="12.9" customHeight="1">
      <c r="A196" s="131" t="s">
        <v>187</v>
      </c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</row>
    <row r="197" spans="1:22" ht="15" customHeight="1">
      <c r="A197" s="86">
        <v>168</v>
      </c>
      <c r="B197" s="70" t="s">
        <v>188</v>
      </c>
      <c r="C197" s="18" t="s">
        <v>117</v>
      </c>
      <c r="D197" s="69">
        <v>4746091779.96</v>
      </c>
      <c r="E197" s="28">
        <v>60594567.390000001</v>
      </c>
      <c r="F197" s="28">
        <v>403606365.24000001</v>
      </c>
      <c r="G197" s="16">
        <v>5995895.8099999996</v>
      </c>
      <c r="H197" s="12">
        <f>(E197+F197)-G197</f>
        <v>458205036.81999999</v>
      </c>
      <c r="I197" s="28">
        <v>6193162632.0600004</v>
      </c>
      <c r="J197" s="13">
        <f>(I197/$I$219)</f>
        <v>0.10209515111949134</v>
      </c>
      <c r="K197" s="28">
        <v>6861965335.4499998</v>
      </c>
      <c r="L197" s="13">
        <f>(K197/$K$219)</f>
        <v>0.10661150996133635</v>
      </c>
      <c r="M197" s="13">
        <f>((K197-I197)/I197)</f>
        <v>0.10799049582967901</v>
      </c>
      <c r="N197" s="19">
        <f>(G197/K197)</f>
        <v>8.7378695707252441E-4</v>
      </c>
      <c r="O197" s="20">
        <f>H197/K197</f>
        <v>6.677460675192283E-2</v>
      </c>
      <c r="P197" s="21">
        <f>K197/V197</f>
        <v>2.8172764432172448</v>
      </c>
      <c r="Q197" s="21">
        <f>H197/V197</f>
        <v>0.18812252660728737</v>
      </c>
      <c r="R197" s="28">
        <v>2.79</v>
      </c>
      <c r="S197" s="28">
        <v>2.84</v>
      </c>
      <c r="T197" s="28">
        <v>15054</v>
      </c>
      <c r="U197" s="10">
        <v>2359952056.3299999</v>
      </c>
      <c r="V197" s="10">
        <v>2435673415</v>
      </c>
    </row>
    <row r="198" spans="1:22">
      <c r="A198" s="86">
        <v>169</v>
      </c>
      <c r="B198" s="18" t="s">
        <v>189</v>
      </c>
      <c r="C198" s="18" t="s">
        <v>45</v>
      </c>
      <c r="D198" s="16">
        <v>2662464423.79</v>
      </c>
      <c r="E198" s="16">
        <v>7608904.1200000001</v>
      </c>
      <c r="F198" s="16">
        <v>444729900.45999998</v>
      </c>
      <c r="G198" s="16">
        <v>26685886.84</v>
      </c>
      <c r="H198" s="12">
        <f>(E198+F198)-G198</f>
        <v>425652917.74000001</v>
      </c>
      <c r="I198" s="16">
        <v>1486567035.3499999</v>
      </c>
      <c r="J198" s="13">
        <f>(I198/$I$219)</f>
        <v>2.4506265237996754E-2</v>
      </c>
      <c r="K198" s="16">
        <v>2866662112.9899998</v>
      </c>
      <c r="L198" s="13">
        <f>(K198/$K$219)</f>
        <v>4.4538140528915499E-2</v>
      </c>
      <c r="M198" s="13">
        <f>((K198-I198)/I198)</f>
        <v>0.92837729131741975</v>
      </c>
      <c r="N198" s="19">
        <f>(G198/K198)</f>
        <v>9.3090450803655946E-3</v>
      </c>
      <c r="O198" s="20">
        <f>H198/K198</f>
        <v>0.14848381182114045</v>
      </c>
      <c r="P198" s="21">
        <f>K198/V198</f>
        <v>857.02600577196563</v>
      </c>
      <c r="Q198" s="21">
        <f>H198/V198</f>
        <v>127.25448816686819</v>
      </c>
      <c r="R198" s="16">
        <v>851.19</v>
      </c>
      <c r="S198" s="16">
        <v>861.03</v>
      </c>
      <c r="T198" s="16">
        <v>1454</v>
      </c>
      <c r="U198" s="16">
        <v>2113104.44</v>
      </c>
      <c r="V198" s="16">
        <v>3344895.13</v>
      </c>
    </row>
    <row r="199" spans="1:22" ht="6.9" customHeight="1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</row>
    <row r="200" spans="1:22">
      <c r="A200" s="132" t="s">
        <v>145</v>
      </c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</row>
    <row r="201" spans="1:22">
      <c r="A201" s="72">
        <v>170</v>
      </c>
      <c r="B201" s="73" t="s">
        <v>271</v>
      </c>
      <c r="C201" s="77" t="s">
        <v>57</v>
      </c>
      <c r="D201" s="58">
        <v>680601998.88</v>
      </c>
      <c r="E201" s="58">
        <v>16929340.640000001</v>
      </c>
      <c r="F201" s="10">
        <v>0</v>
      </c>
      <c r="G201" s="58">
        <v>2165360.84</v>
      </c>
      <c r="H201" s="58">
        <f>(E201+F201)-G201</f>
        <v>14763979.800000001</v>
      </c>
      <c r="I201" s="58">
        <v>1263878049</v>
      </c>
      <c r="J201" s="13">
        <f>(I201/$I$219)</f>
        <v>2.0835206190337414E-2</v>
      </c>
      <c r="K201" s="58">
        <v>1238596652</v>
      </c>
      <c r="L201" s="13">
        <f>(K201/$K$219)</f>
        <v>1.9243562572458878E-2</v>
      </c>
      <c r="M201" s="13">
        <f t="shared" ref="M201:M220" si="108">((K201-I201)/I201)</f>
        <v>-2.0003035118778299E-2</v>
      </c>
      <c r="N201" s="19">
        <f>(G201/K201)</f>
        <v>1.7482372784582659E-3</v>
      </c>
      <c r="O201" s="20">
        <f>H201/K201</f>
        <v>1.1919925486767746E-2</v>
      </c>
      <c r="P201" s="21">
        <f>K201/V201</f>
        <v>1.0840623698004075</v>
      </c>
      <c r="Q201" s="21">
        <f>H201/V201</f>
        <v>1.2921942671029718E-2</v>
      </c>
      <c r="R201" s="58">
        <v>1.0841000000000001</v>
      </c>
      <c r="S201" s="58">
        <v>1.0841000000000001</v>
      </c>
      <c r="T201" s="58">
        <v>651</v>
      </c>
      <c r="U201" s="58">
        <v>1162479319</v>
      </c>
      <c r="V201" s="58">
        <v>1142551099</v>
      </c>
    </row>
    <row r="202" spans="1:22">
      <c r="A202" s="72">
        <v>171</v>
      </c>
      <c r="B202" s="73" t="s">
        <v>190</v>
      </c>
      <c r="C202" s="77" t="s">
        <v>191</v>
      </c>
      <c r="D202" s="58">
        <v>290446599</v>
      </c>
      <c r="E202" s="58">
        <v>2000330</v>
      </c>
      <c r="F202" s="10">
        <v>0</v>
      </c>
      <c r="G202" s="58">
        <v>820642</v>
      </c>
      <c r="H202" s="58">
        <f>(E202+F202)-G202</f>
        <v>1179688</v>
      </c>
      <c r="I202" s="58">
        <v>350728459.91799998</v>
      </c>
      <c r="J202" s="13">
        <f t="shared" ref="J202:J213" si="109">(I202/$I$219)</f>
        <v>5.7818076554085494E-3</v>
      </c>
      <c r="K202" s="58">
        <v>374941553</v>
      </c>
      <c r="L202" s="13">
        <f t="shared" ref="L202:L213" si="110">(K202/$K$219)</f>
        <v>5.8253114317076381E-3</v>
      </c>
      <c r="M202" s="13">
        <f t="shared" ref="M202:M213" si="111">((K202-I202)/I202)</f>
        <v>6.9036579146331656E-2</v>
      </c>
      <c r="N202" s="19">
        <f t="shared" ref="N202:N213" si="112">(G202/K202)</f>
        <v>2.1887197976160301E-3</v>
      </c>
      <c r="O202" s="20">
        <f t="shared" ref="O202:O213" si="113">H202/K202</f>
        <v>3.146325048693656E-3</v>
      </c>
      <c r="P202" s="21">
        <f t="shared" ref="P202:P213" si="114">K202/V202</f>
        <v>1140.2742346046584</v>
      </c>
      <c r="Q202" s="21">
        <f t="shared" ref="Q202:Q213" si="115">H202/V202</f>
        <v>3.5876733867166237</v>
      </c>
      <c r="R202" s="58">
        <v>1142.3599999999999</v>
      </c>
      <c r="S202" s="58">
        <v>1142.3599999999999</v>
      </c>
      <c r="T202" s="58">
        <v>22</v>
      </c>
      <c r="U202" s="58">
        <v>327217</v>
      </c>
      <c r="V202" s="115">
        <v>328817</v>
      </c>
    </row>
    <row r="203" spans="1:22" ht="15" customHeight="1">
      <c r="A203" s="72">
        <v>172</v>
      </c>
      <c r="B203" s="73" t="s">
        <v>192</v>
      </c>
      <c r="C203" s="77" t="s">
        <v>61</v>
      </c>
      <c r="D203" s="58">
        <v>113705760.51000001</v>
      </c>
      <c r="E203" s="58">
        <v>2755862.16</v>
      </c>
      <c r="F203" s="10">
        <v>0</v>
      </c>
      <c r="G203" s="58">
        <v>505171.72</v>
      </c>
      <c r="H203" s="58">
        <f t="shared" ref="H203:H213" si="116">(E203+F203)-G203</f>
        <v>2250690.4400000004</v>
      </c>
      <c r="I203" s="58">
        <v>341221354.68000001</v>
      </c>
      <c r="J203" s="13">
        <f t="shared" si="109"/>
        <v>5.6250816975016984E-3</v>
      </c>
      <c r="K203" s="58">
        <v>244575499.28</v>
      </c>
      <c r="L203" s="13">
        <f t="shared" si="110"/>
        <v>3.7998681140347951E-3</v>
      </c>
      <c r="M203" s="13">
        <f t="shared" si="111"/>
        <v>-0.28323507328735398</v>
      </c>
      <c r="N203" s="19">
        <f t="shared" si="112"/>
        <v>2.065504195993315E-3</v>
      </c>
      <c r="O203" s="20">
        <f t="shared" si="113"/>
        <v>9.2024362482168269E-3</v>
      </c>
      <c r="P203" s="21">
        <f t="shared" si="114"/>
        <v>117.9162976937485</v>
      </c>
      <c r="Q203" s="21">
        <f t="shared" si="115"/>
        <v>1.0851172121524775</v>
      </c>
      <c r="R203" s="58">
        <v>119.27</v>
      </c>
      <c r="S203" s="58">
        <v>119.27</v>
      </c>
      <c r="T203" s="58">
        <v>68</v>
      </c>
      <c r="U203" s="58">
        <v>2885783</v>
      </c>
      <c r="V203" s="58">
        <v>2074145</v>
      </c>
    </row>
    <row r="204" spans="1:22" ht="15" customHeight="1">
      <c r="A204" s="72">
        <v>173</v>
      </c>
      <c r="B204" s="73" t="s">
        <v>193</v>
      </c>
      <c r="C204" s="77" t="s">
        <v>168</v>
      </c>
      <c r="D204" s="58">
        <v>54631595.32</v>
      </c>
      <c r="E204" s="58">
        <v>767939.18</v>
      </c>
      <c r="F204" s="10">
        <v>0</v>
      </c>
      <c r="G204" s="58">
        <v>159375.4</v>
      </c>
      <c r="H204" s="58">
        <f t="shared" si="116"/>
        <v>608563.78</v>
      </c>
      <c r="I204" s="58">
        <v>63675017.950000003</v>
      </c>
      <c r="J204" s="13">
        <f t="shared" si="109"/>
        <v>1.0496915657419461E-3</v>
      </c>
      <c r="K204" s="58">
        <v>64326381.310000002</v>
      </c>
      <c r="L204" s="13">
        <f t="shared" si="110"/>
        <v>9.9941231215182899E-4</v>
      </c>
      <c r="M204" s="13">
        <f t="shared" si="111"/>
        <v>1.0229496291802764E-2</v>
      </c>
      <c r="N204" s="19">
        <f t="shared" si="112"/>
        <v>2.477605560181324E-3</v>
      </c>
      <c r="O204" s="20">
        <f t="shared" si="113"/>
        <v>9.4605629542135368E-3</v>
      </c>
      <c r="P204" s="21">
        <f t="shared" si="114"/>
        <v>99.314472830181685</v>
      </c>
      <c r="Q204" s="21">
        <f t="shared" si="115"/>
        <v>0.93957082247446366</v>
      </c>
      <c r="R204" s="58">
        <v>101.29</v>
      </c>
      <c r="S204" s="58">
        <v>101.29</v>
      </c>
      <c r="T204" s="58">
        <v>20</v>
      </c>
      <c r="U204" s="58">
        <v>646541</v>
      </c>
      <c r="V204" s="58">
        <v>647704</v>
      </c>
    </row>
    <row r="205" spans="1:22" ht="15" customHeight="1">
      <c r="A205" s="72">
        <v>174</v>
      </c>
      <c r="B205" s="18" t="s">
        <v>258</v>
      </c>
      <c r="C205" s="70" t="s">
        <v>68</v>
      </c>
      <c r="D205" s="15">
        <v>169891780.86000001</v>
      </c>
      <c r="E205" s="28">
        <v>2581059.62</v>
      </c>
      <c r="F205" s="28">
        <v>0</v>
      </c>
      <c r="G205" s="10">
        <v>872840.97</v>
      </c>
      <c r="H205" s="12">
        <f t="shared" si="116"/>
        <v>1708218.6500000001</v>
      </c>
      <c r="I205" s="16">
        <v>156464206.59</v>
      </c>
      <c r="J205" s="13">
        <f t="shared" si="109"/>
        <v>2.5793343023003956E-3</v>
      </c>
      <c r="K205" s="16">
        <v>166399113.93000001</v>
      </c>
      <c r="L205" s="13">
        <f t="shared" si="110"/>
        <v>2.5852740323035112E-3</v>
      </c>
      <c r="M205" s="13">
        <f t="shared" si="111"/>
        <v>6.3496358410160283E-2</v>
      </c>
      <c r="N205" s="19">
        <f t="shared" si="112"/>
        <v>5.2454664534282471E-3</v>
      </c>
      <c r="O205" s="20">
        <f t="shared" si="113"/>
        <v>1.0265791744051025E-2</v>
      </c>
      <c r="P205" s="21">
        <f t="shared" si="114"/>
        <v>1.1037021506586664</v>
      </c>
      <c r="Q205" s="21">
        <f t="shared" si="115"/>
        <v>1.1330376426123098E-2</v>
      </c>
      <c r="R205" s="10">
        <v>1.1095999999999999</v>
      </c>
      <c r="S205" s="10">
        <v>1.1095999999999999</v>
      </c>
      <c r="T205" s="10">
        <v>41</v>
      </c>
      <c r="U205" s="10">
        <v>141563362.09</v>
      </c>
      <c r="V205" s="10">
        <v>150764510</v>
      </c>
    </row>
    <row r="206" spans="1:22" ht="15" customHeight="1">
      <c r="A206" s="72">
        <v>175</v>
      </c>
      <c r="B206" s="77" t="s">
        <v>194</v>
      </c>
      <c r="C206" s="77" t="s">
        <v>72</v>
      </c>
      <c r="D206" s="58">
        <v>5841460573.04</v>
      </c>
      <c r="E206" s="58">
        <v>72624032.780000001</v>
      </c>
      <c r="F206" s="10">
        <v>0</v>
      </c>
      <c r="G206" s="58">
        <v>9360855.25</v>
      </c>
      <c r="H206" s="58">
        <f t="shared" si="116"/>
        <v>63263177.530000001</v>
      </c>
      <c r="I206" s="58">
        <v>5293930098.29</v>
      </c>
      <c r="J206" s="13">
        <f t="shared" si="109"/>
        <v>8.7271177185470186E-2</v>
      </c>
      <c r="K206" s="58">
        <v>5823710468.4700003</v>
      </c>
      <c r="L206" s="13">
        <f t="shared" si="110"/>
        <v>9.0480574626877211E-2</v>
      </c>
      <c r="M206" s="13">
        <f t="shared" si="111"/>
        <v>0.10007317065843492</v>
      </c>
      <c r="N206" s="19">
        <f t="shared" si="112"/>
        <v>1.6073696143859423E-3</v>
      </c>
      <c r="O206" s="20">
        <f t="shared" si="113"/>
        <v>1.0863036181573849E-2</v>
      </c>
      <c r="P206" s="21">
        <f t="shared" si="114"/>
        <v>156.6152152703016</v>
      </c>
      <c r="Q206" s="21">
        <f t="shared" si="115"/>
        <v>1.7013167500662636</v>
      </c>
      <c r="R206" s="58">
        <v>156.61000000000001</v>
      </c>
      <c r="S206" s="58">
        <v>156.61000000000001</v>
      </c>
      <c r="T206" s="58">
        <v>722</v>
      </c>
      <c r="U206" s="58">
        <v>34225899</v>
      </c>
      <c r="V206" s="58">
        <v>37184832</v>
      </c>
    </row>
    <row r="207" spans="1:22" ht="15" customHeight="1">
      <c r="A207" s="72">
        <v>176</v>
      </c>
      <c r="B207" s="77" t="s">
        <v>220</v>
      </c>
      <c r="C207" s="77" t="s">
        <v>59</v>
      </c>
      <c r="D207" s="58">
        <v>680717572.25999999</v>
      </c>
      <c r="E207" s="58">
        <v>8559388.9600000009</v>
      </c>
      <c r="F207" s="10">
        <v>0</v>
      </c>
      <c r="G207" s="58">
        <v>1597177.97</v>
      </c>
      <c r="H207" s="58">
        <f t="shared" si="116"/>
        <v>6962210.9900000012</v>
      </c>
      <c r="I207" s="58">
        <v>807478109.04999995</v>
      </c>
      <c r="J207" s="13">
        <f t="shared" si="109"/>
        <v>1.3311389425231255E-2</v>
      </c>
      <c r="K207" s="58">
        <v>675857571.38999999</v>
      </c>
      <c r="L207" s="13">
        <f t="shared" si="110"/>
        <v>1.0500518828395443E-2</v>
      </c>
      <c r="M207" s="13">
        <f t="shared" si="111"/>
        <v>-0.16300198876580302</v>
      </c>
      <c r="N207" s="19">
        <f t="shared" si="112"/>
        <v>2.363187212233444E-3</v>
      </c>
      <c r="O207" s="20">
        <f t="shared" si="113"/>
        <v>1.0301299097206524E-2</v>
      </c>
      <c r="P207" s="21">
        <f t="shared" si="114"/>
        <v>1276.5575369494434</v>
      </c>
      <c r="Q207" s="21">
        <f t="shared" si="115"/>
        <v>13.150201002909487</v>
      </c>
      <c r="R207" s="58">
        <v>1276.56</v>
      </c>
      <c r="S207" s="58">
        <v>1276.56</v>
      </c>
      <c r="T207" s="58">
        <v>236</v>
      </c>
      <c r="U207" s="58">
        <v>638880.78</v>
      </c>
      <c r="V207" s="58">
        <v>529437.61</v>
      </c>
    </row>
    <row r="208" spans="1:22" ht="15" customHeight="1">
      <c r="A208" s="72">
        <v>177</v>
      </c>
      <c r="B208" s="73" t="s">
        <v>116</v>
      </c>
      <c r="C208" s="77" t="s">
        <v>117</v>
      </c>
      <c r="D208" s="58">
        <v>17704399444.720001</v>
      </c>
      <c r="E208" s="58">
        <v>655764704.26999998</v>
      </c>
      <c r="F208" s="10">
        <v>0</v>
      </c>
      <c r="G208" s="58">
        <v>52129769.200000003</v>
      </c>
      <c r="H208" s="58">
        <f>(E208+F208)-G208</f>
        <v>603634935.06999993</v>
      </c>
      <c r="I208" s="58">
        <v>31118374412.889999</v>
      </c>
      <c r="J208" s="13">
        <f t="shared" si="109"/>
        <v>0.51299074915785892</v>
      </c>
      <c r="K208" s="58">
        <v>32163077224.040001</v>
      </c>
      <c r="L208" s="13">
        <f t="shared" si="110"/>
        <v>0.49970439374612552</v>
      </c>
      <c r="M208" s="13">
        <f t="shared" si="111"/>
        <v>3.3571895411003853E-2</v>
      </c>
      <c r="N208" s="19">
        <f t="shared" si="112"/>
        <v>1.6207954492935173E-3</v>
      </c>
      <c r="O208" s="20">
        <f t="shared" si="113"/>
        <v>1.8767947198125013E-2</v>
      </c>
      <c r="P208" s="21">
        <f t="shared" si="114"/>
        <v>1263.4053762239496</v>
      </c>
      <c r="Q208" s="21">
        <f t="shared" si="115"/>
        <v>23.711525390798354</v>
      </c>
      <c r="R208" s="58">
        <v>1263.4100000000001</v>
      </c>
      <c r="S208" s="58">
        <v>1263.4100000000001</v>
      </c>
      <c r="T208" s="58">
        <v>10774</v>
      </c>
      <c r="U208" s="58">
        <v>24416369.800000001</v>
      </c>
      <c r="V208" s="58">
        <v>25457448.440000001</v>
      </c>
    </row>
    <row r="209" spans="1:22" ht="15" customHeight="1">
      <c r="A209" s="72">
        <v>178</v>
      </c>
      <c r="B209" s="78" t="s">
        <v>217</v>
      </c>
      <c r="C209" s="78" t="s">
        <v>218</v>
      </c>
      <c r="D209" s="58">
        <v>424019415.02999997</v>
      </c>
      <c r="E209" s="58">
        <v>5279671.2300000004</v>
      </c>
      <c r="F209" s="10">
        <v>11435764.82</v>
      </c>
      <c r="G209" s="58">
        <v>781534.86</v>
      </c>
      <c r="H209" s="84">
        <f>(E209+F209)-G209</f>
        <v>15933901.190000001</v>
      </c>
      <c r="I209" s="58">
        <v>502370716.56</v>
      </c>
      <c r="J209" s="13">
        <f t="shared" si="109"/>
        <v>8.2816514392324535E-3</v>
      </c>
      <c r="K209" s="58">
        <v>472173310.94999999</v>
      </c>
      <c r="L209" s="13">
        <f t="shared" si="110"/>
        <v>7.3359609358215902E-3</v>
      </c>
      <c r="M209" s="13">
        <f t="shared" si="111"/>
        <v>-6.0109804601625155E-2</v>
      </c>
      <c r="N209" s="19">
        <f t="shared" si="112"/>
        <v>1.655186436581036E-3</v>
      </c>
      <c r="O209" s="20">
        <f t="shared" si="113"/>
        <v>3.3745874280656445E-2</v>
      </c>
      <c r="P209" s="21">
        <f t="shared" si="114"/>
        <v>127.30608609901216</v>
      </c>
      <c r="Q209" s="21">
        <f t="shared" si="115"/>
        <v>4.2960551766596895</v>
      </c>
      <c r="R209" s="58">
        <v>126.63</v>
      </c>
      <c r="S209" s="58">
        <v>127.66</v>
      </c>
      <c r="T209" s="58">
        <v>142</v>
      </c>
      <c r="U209" s="58">
        <v>3954953.23</v>
      </c>
      <c r="V209" s="58">
        <v>3708961.02</v>
      </c>
    </row>
    <row r="210" spans="1:22" ht="15" customHeight="1">
      <c r="A210" s="72">
        <v>179</v>
      </c>
      <c r="B210" s="78" t="s">
        <v>219</v>
      </c>
      <c r="C210" s="78" t="s">
        <v>218</v>
      </c>
      <c r="D210" s="58">
        <v>209739576.69</v>
      </c>
      <c r="E210" s="58">
        <v>1527893.47</v>
      </c>
      <c r="F210" s="10">
        <v>16740256.52</v>
      </c>
      <c r="G210" s="58">
        <v>406042.08</v>
      </c>
      <c r="H210" s="58">
        <f t="shared" si="116"/>
        <v>17862107.91</v>
      </c>
      <c r="I210" s="58">
        <v>237633415.75</v>
      </c>
      <c r="J210" s="13">
        <f t="shared" si="109"/>
        <v>3.9174200539228016E-3</v>
      </c>
      <c r="K210" s="58">
        <v>297822911.76999998</v>
      </c>
      <c r="L210" s="13">
        <f t="shared" si="110"/>
        <v>4.627151081753364E-3</v>
      </c>
      <c r="M210" s="13">
        <f t="shared" si="111"/>
        <v>0.25328717272372914</v>
      </c>
      <c r="N210" s="19">
        <f t="shared" si="112"/>
        <v>1.3633675044906369E-3</v>
      </c>
      <c r="O210" s="20">
        <f t="shared" si="113"/>
        <v>5.9975600278176007E-2</v>
      </c>
      <c r="P210" s="21">
        <f t="shared" si="114"/>
        <v>126.3003864765915</v>
      </c>
      <c r="Q210" s="21">
        <f t="shared" si="115"/>
        <v>7.5749414942991979</v>
      </c>
      <c r="R210" s="58">
        <v>126.3</v>
      </c>
      <c r="S210" s="58">
        <v>126.3</v>
      </c>
      <c r="T210" s="58">
        <v>89</v>
      </c>
      <c r="U210" s="58">
        <v>1913447.19</v>
      </c>
      <c r="V210" s="58">
        <v>2358052.2599999998</v>
      </c>
    </row>
    <row r="211" spans="1:22" ht="16.2" customHeight="1">
      <c r="A211" s="72">
        <v>180</v>
      </c>
      <c r="B211" s="77" t="s">
        <v>195</v>
      </c>
      <c r="C211" s="77" t="s">
        <v>143</v>
      </c>
      <c r="D211" s="58">
        <v>1215610405.01</v>
      </c>
      <c r="E211" s="58">
        <v>29783775.890000001</v>
      </c>
      <c r="F211" s="10">
        <v>0</v>
      </c>
      <c r="G211" s="58">
        <v>3539081.85</v>
      </c>
      <c r="H211" s="58">
        <f t="shared" si="116"/>
        <v>26244694.039999999</v>
      </c>
      <c r="I211" s="58">
        <v>1610663066</v>
      </c>
      <c r="J211" s="13">
        <f t="shared" si="109"/>
        <v>2.6552005638378676E-2</v>
      </c>
      <c r="K211" s="58">
        <v>1958966155</v>
      </c>
      <c r="L211" s="13">
        <f t="shared" si="110"/>
        <v>3.0435644824487771E-2</v>
      </c>
      <c r="M211" s="13">
        <f t="shared" si="111"/>
        <v>0.21624826219241064</v>
      </c>
      <c r="N211" s="19">
        <f t="shared" si="112"/>
        <v>1.8066069395670597E-3</v>
      </c>
      <c r="O211" s="20">
        <f t="shared" si="113"/>
        <v>1.3397216676262586E-2</v>
      </c>
      <c r="P211" s="21">
        <f t="shared" si="114"/>
        <v>104.94474287933063</v>
      </c>
      <c r="Q211" s="21">
        <f t="shared" si="115"/>
        <v>1.4059674593890579</v>
      </c>
      <c r="R211" s="58">
        <v>104.94</v>
      </c>
      <c r="S211" s="58">
        <v>104.94</v>
      </c>
      <c r="T211" s="58">
        <f>639+14</f>
        <v>653</v>
      </c>
      <c r="U211" s="58">
        <v>15057048</v>
      </c>
      <c r="V211" s="58">
        <v>18666644</v>
      </c>
    </row>
    <row r="212" spans="1:22">
      <c r="A212" s="72">
        <v>181</v>
      </c>
      <c r="B212" s="73" t="s">
        <v>196</v>
      </c>
      <c r="C212" s="73" t="s">
        <v>45</v>
      </c>
      <c r="D212" s="58">
        <v>5046294446.7399998</v>
      </c>
      <c r="E212" s="58">
        <v>50403521.420000002</v>
      </c>
      <c r="F212" s="10">
        <v>0</v>
      </c>
      <c r="G212" s="58">
        <v>10560250.68</v>
      </c>
      <c r="H212" s="58">
        <f t="shared" si="116"/>
        <v>39843270.740000002</v>
      </c>
      <c r="I212" s="58">
        <v>5499420893.0200005</v>
      </c>
      <c r="J212" s="13">
        <f t="shared" si="109"/>
        <v>9.0658721641838746E-2</v>
      </c>
      <c r="K212" s="58">
        <v>5077973350.1099997</v>
      </c>
      <c r="L212" s="13">
        <f t="shared" si="110"/>
        <v>7.8894366254205262E-2</v>
      </c>
      <c r="M212" s="13">
        <f t="shared" si="111"/>
        <v>-7.6634895038659862E-2</v>
      </c>
      <c r="N212" s="19">
        <f t="shared" si="112"/>
        <v>2.0796191614064381E-3</v>
      </c>
      <c r="O212" s="20">
        <f t="shared" si="113"/>
        <v>7.8462937855191608E-3</v>
      </c>
      <c r="P212" s="21">
        <f t="shared" si="114"/>
        <v>138.48998838974353</v>
      </c>
      <c r="Q212" s="21">
        <f t="shared" si="115"/>
        <v>1.0866331352590652</v>
      </c>
      <c r="R212" s="58">
        <v>138.49</v>
      </c>
      <c r="S212" s="58">
        <v>138.49</v>
      </c>
      <c r="T212" s="58">
        <v>1403</v>
      </c>
      <c r="U212" s="58">
        <v>40026953.5</v>
      </c>
      <c r="V212" s="58">
        <v>36666718</v>
      </c>
    </row>
    <row r="213" spans="1:22" ht="15" customHeight="1">
      <c r="A213" s="72">
        <v>182</v>
      </c>
      <c r="B213" s="77" t="s">
        <v>197</v>
      </c>
      <c r="C213" s="77" t="s">
        <v>49</v>
      </c>
      <c r="D213" s="58">
        <v>2962423609.1599998</v>
      </c>
      <c r="E213" s="58">
        <v>44858247</v>
      </c>
      <c r="F213" s="10">
        <v>0</v>
      </c>
      <c r="G213" s="58">
        <v>6649993.7999999998</v>
      </c>
      <c r="H213" s="58">
        <f t="shared" si="116"/>
        <v>38208253.200000003</v>
      </c>
      <c r="I213" s="58">
        <v>4135482014</v>
      </c>
      <c r="J213" s="13">
        <f t="shared" si="109"/>
        <v>6.8173998691009666E-2</v>
      </c>
      <c r="K213" s="58">
        <v>4053347129</v>
      </c>
      <c r="L213" s="13">
        <f t="shared" si="110"/>
        <v>6.2975173539229018E-2</v>
      </c>
      <c r="M213" s="13">
        <f t="shared" si="111"/>
        <v>-1.9861018551633337E-2</v>
      </c>
      <c r="N213" s="19">
        <f t="shared" si="112"/>
        <v>1.6406178864923956E-3</v>
      </c>
      <c r="O213" s="20">
        <f t="shared" si="113"/>
        <v>9.4263461736686614E-3</v>
      </c>
      <c r="P213" s="21">
        <f t="shared" si="114"/>
        <v>1.1479969432678052</v>
      </c>
      <c r="Q213" s="21">
        <f t="shared" si="115"/>
        <v>1.0821416593555795E-2</v>
      </c>
      <c r="R213" s="58">
        <v>1.1479999999999999</v>
      </c>
      <c r="S213" s="58">
        <v>1.1479999999999999</v>
      </c>
      <c r="T213" s="58">
        <v>193</v>
      </c>
      <c r="U213" s="58">
        <v>3669888037.4699998</v>
      </c>
      <c r="V213" s="58">
        <v>3530799583.3699999</v>
      </c>
    </row>
    <row r="214" spans="1:22" ht="4.95" customHeight="1">
      <c r="A214" s="86"/>
      <c r="B214" s="18"/>
      <c r="C214" s="18"/>
      <c r="D214" s="11"/>
      <c r="E214" s="11"/>
      <c r="F214" s="11"/>
      <c r="G214" s="30"/>
      <c r="H214" s="12"/>
      <c r="I214" s="22"/>
      <c r="J214" s="13"/>
      <c r="K214" s="31"/>
      <c r="L214" s="13"/>
      <c r="M214" s="13"/>
      <c r="N214" s="19"/>
      <c r="O214" s="20"/>
      <c r="P214" s="21"/>
      <c r="Q214" s="21"/>
      <c r="R214" s="12"/>
      <c r="S214" s="12"/>
      <c r="T214" s="41"/>
      <c r="U214" s="30"/>
      <c r="V214" s="41"/>
    </row>
    <row r="215" spans="1:22" ht="15" customHeight="1">
      <c r="A215" s="131" t="s">
        <v>215</v>
      </c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</row>
    <row r="216" spans="1:22" ht="15" customHeight="1">
      <c r="A216" s="86">
        <v>183</v>
      </c>
      <c r="B216" s="70" t="s">
        <v>299</v>
      </c>
      <c r="C216" s="70" t="s">
        <v>25</v>
      </c>
      <c r="D216" s="10">
        <v>1238045052.8299999</v>
      </c>
      <c r="E216" s="10">
        <v>14177723.029999999</v>
      </c>
      <c r="F216" s="10">
        <v>189899756.44999999</v>
      </c>
      <c r="G216" s="10">
        <v>9061057.8499999996</v>
      </c>
      <c r="H216" s="12">
        <f>(E216+F216)-G216</f>
        <v>195016421.63</v>
      </c>
      <c r="I216" s="107">
        <v>1311285326</v>
      </c>
      <c r="J216" s="13">
        <f t="shared" ref="J216:J218" si="117">(I216/$I$219)</f>
        <v>2.1616721774059246E-2</v>
      </c>
      <c r="K216" s="10">
        <v>1705345903</v>
      </c>
      <c r="L216" s="13">
        <f t="shared" ref="L216:L218" si="118">(K216/$K$219)</f>
        <v>2.6495252138035726E-2</v>
      </c>
      <c r="M216" s="13">
        <f>((K216-I216)/I216)</f>
        <v>0.30051474624676766</v>
      </c>
      <c r="N216" s="19">
        <f>(G216/K216)</f>
        <v>5.3133254866710757E-3</v>
      </c>
      <c r="O216" s="20">
        <f>H216/K216</f>
        <v>0.11435593288548218</v>
      </c>
      <c r="P216" s="21">
        <f>K216/V216</f>
        <v>92.498379057407604</v>
      </c>
      <c r="Q216" s="21">
        <f>H216/V216</f>
        <v>10.577738427504794</v>
      </c>
      <c r="R216" s="10">
        <v>92.035899999999998</v>
      </c>
      <c r="S216" s="10">
        <v>94.810900000000004</v>
      </c>
      <c r="T216" s="10">
        <v>2015</v>
      </c>
      <c r="U216" s="10">
        <v>16208095</v>
      </c>
      <c r="V216" s="10">
        <v>18436495</v>
      </c>
    </row>
    <row r="217" spans="1:22" ht="15" customHeight="1">
      <c r="A217" s="86">
        <v>184</v>
      </c>
      <c r="B217" s="70" t="s">
        <v>216</v>
      </c>
      <c r="C217" s="18" t="s">
        <v>117</v>
      </c>
      <c r="D217" s="15">
        <v>137051370.31999999</v>
      </c>
      <c r="E217" s="15">
        <v>1387995.98</v>
      </c>
      <c r="F217" s="15">
        <v>1240000</v>
      </c>
      <c r="G217" s="10">
        <v>589932.71</v>
      </c>
      <c r="H217" s="12">
        <f>(E217+F217)-G217</f>
        <v>2038063.27</v>
      </c>
      <c r="I217" s="16">
        <v>229249308.22</v>
      </c>
      <c r="J217" s="13">
        <f t="shared" si="117"/>
        <v>3.7792068701051665E-3</v>
      </c>
      <c r="K217" s="16">
        <v>231892374.78</v>
      </c>
      <c r="L217" s="13">
        <f t="shared" si="118"/>
        <v>3.602815667997636E-3</v>
      </c>
      <c r="M217" s="13">
        <f>((K217-I217)/I217)</f>
        <v>1.1529223710736667E-2</v>
      </c>
      <c r="N217" s="19">
        <f t="shared" ref="N217" si="119">(G217/K217)</f>
        <v>2.5439935683942974E-3</v>
      </c>
      <c r="O217" s="20">
        <f t="shared" ref="O217" si="120">H217/K217</f>
        <v>8.788832629505576E-3</v>
      </c>
      <c r="P217" s="21">
        <f t="shared" ref="P217" si="121">K217/V217</f>
        <v>1125.0864876454018</v>
      </c>
      <c r="Q217" s="21">
        <f t="shared" ref="Q217" si="122">H217/V217</f>
        <v>9.8881968336337298</v>
      </c>
      <c r="R217" s="12">
        <v>1125.0899999999999</v>
      </c>
      <c r="S217" s="12">
        <v>1125.0899999999999</v>
      </c>
      <c r="T217" s="10">
        <v>137</v>
      </c>
      <c r="U217" s="10">
        <v>205533.01</v>
      </c>
      <c r="V217" s="10">
        <v>206110.71</v>
      </c>
    </row>
    <row r="218" spans="1:22" ht="15" customHeight="1">
      <c r="A218" s="86">
        <v>185</v>
      </c>
      <c r="B218" s="82" t="s">
        <v>300</v>
      </c>
      <c r="C218" s="82" t="s">
        <v>301</v>
      </c>
      <c r="D218" s="15">
        <f>45000000+36500000</f>
        <v>81500000</v>
      </c>
      <c r="E218" s="15">
        <v>1017736.22</v>
      </c>
      <c r="F218" s="15">
        <v>0</v>
      </c>
      <c r="G218" s="10">
        <v>20756.46</v>
      </c>
      <c r="H218" s="12">
        <f>(E218+F218)-G218</f>
        <v>996979.76</v>
      </c>
      <c r="I218" s="65">
        <v>59109014.079999998</v>
      </c>
      <c r="J218" s="13">
        <f t="shared" si="117"/>
        <v>9.744203541146852E-4</v>
      </c>
      <c r="K218" s="16">
        <v>86574326.060000002</v>
      </c>
      <c r="L218" s="13">
        <f t="shared" si="118"/>
        <v>1.3450694041631137E-3</v>
      </c>
      <c r="M218" s="13">
        <f>((K218-I218)/I218)</f>
        <v>0.46465522065429121</v>
      </c>
      <c r="N218" s="19">
        <f t="shared" ref="N218" si="123">(G218/K218)</f>
        <v>2.3975306473208714E-4</v>
      </c>
      <c r="O218" s="20">
        <f t="shared" ref="O218" si="124">H218/K218</f>
        <v>1.151588242580193E-2</v>
      </c>
      <c r="P218" s="21">
        <f t="shared" ref="P218" si="125">K218/V218</f>
        <v>107.38060728965888</v>
      </c>
      <c r="Q218" s="21">
        <f t="shared" ref="Q218" si="126">H218/V218</f>
        <v>1.2365824483589214</v>
      </c>
      <c r="R218" s="12">
        <v>106.29</v>
      </c>
      <c r="S218" s="12">
        <v>108.48</v>
      </c>
      <c r="T218" s="10">
        <v>222</v>
      </c>
      <c r="U218" s="10">
        <v>559632</v>
      </c>
      <c r="V218" s="10">
        <v>806238</v>
      </c>
    </row>
    <row r="219" spans="1:22" ht="15" customHeight="1">
      <c r="A219" s="122" t="s">
        <v>50</v>
      </c>
      <c r="B219" s="122"/>
      <c r="C219" s="122"/>
      <c r="D219" s="122"/>
      <c r="E219" s="122"/>
      <c r="F219" s="122"/>
      <c r="G219" s="122"/>
      <c r="H219" s="122"/>
      <c r="I219" s="36">
        <f>SUM(I197:I218)</f>
        <v>60660693129.408005</v>
      </c>
      <c r="J219" s="34">
        <f>(I219/$I$229)</f>
        <v>1.0365017036627027E-2</v>
      </c>
      <c r="K219" s="36">
        <f>SUM(K197:K218)</f>
        <v>64364207372.529991</v>
      </c>
      <c r="L219" s="34">
        <f>(K219/$K$229)</f>
        <v>1.0182753609942865E-2</v>
      </c>
      <c r="M219" s="34">
        <f t="shared" si="108"/>
        <v>6.1052949646012877E-2</v>
      </c>
      <c r="N219" s="19"/>
      <c r="O219" s="19"/>
      <c r="P219" s="35"/>
      <c r="Q219" s="35"/>
      <c r="R219" s="36"/>
      <c r="S219" s="36"/>
      <c r="T219" s="36">
        <f>SUM(T197:T213)</f>
        <v>31522</v>
      </c>
      <c r="U219" s="36"/>
      <c r="V219" s="36"/>
    </row>
    <row r="220" spans="1:22" ht="15" customHeight="1">
      <c r="A220" s="130" t="s">
        <v>312</v>
      </c>
      <c r="B220" s="130"/>
      <c r="C220" s="130"/>
      <c r="D220" s="130"/>
      <c r="E220" s="130"/>
      <c r="F220" s="130"/>
      <c r="G220" s="130"/>
      <c r="H220" s="130"/>
      <c r="I220" s="46">
        <f>SUM(I24,I68,I108,I148,I157,I188,I193,I219)</f>
        <v>5835138215589.8789</v>
      </c>
      <c r="J220" s="47"/>
      <c r="K220" s="46">
        <f>SUM(K24,K68,K108,K148,K157,K188,K193,K219)</f>
        <v>6302971395520.6709</v>
      </c>
      <c r="L220" s="47"/>
      <c r="M220" s="116">
        <f t="shared" si="108"/>
        <v>8.0175166833387226E-2</v>
      </c>
      <c r="N220" s="117"/>
      <c r="O220" s="117"/>
      <c r="P220" s="118"/>
      <c r="Q220" s="118"/>
      <c r="R220" s="46"/>
      <c r="S220" s="46"/>
      <c r="T220" s="46">
        <f>SUM(T24,T68,T108,T148,T157,T188,T193,T219)</f>
        <v>898378</v>
      </c>
      <c r="U220" s="46"/>
      <c r="V220" s="46"/>
    </row>
    <row r="221" spans="1:22" ht="7.2" customHeight="1">
      <c r="A221" s="85"/>
      <c r="B221" s="85"/>
      <c r="C221" s="85"/>
      <c r="D221" s="85"/>
      <c r="E221" s="85"/>
      <c r="F221" s="85"/>
      <c r="G221" s="85"/>
      <c r="H221" s="85"/>
      <c r="I221" s="36"/>
      <c r="J221" s="87"/>
      <c r="K221" s="36"/>
      <c r="L221" s="87"/>
      <c r="M221" s="87"/>
      <c r="N221" s="88"/>
      <c r="O221" s="88"/>
      <c r="P221" s="89"/>
      <c r="Q221" s="89"/>
      <c r="R221" s="36"/>
      <c r="S221" s="36"/>
      <c r="T221" s="36"/>
      <c r="U221" s="36"/>
      <c r="V221" s="36"/>
    </row>
    <row r="222" spans="1:22" ht="15" customHeight="1">
      <c r="A222" s="128" t="s">
        <v>308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</row>
    <row r="223" spans="1:22" ht="15" customHeight="1">
      <c r="A223" s="90">
        <v>1</v>
      </c>
      <c r="B223" s="91" t="s">
        <v>309</v>
      </c>
      <c r="C223" s="92" t="s">
        <v>57</v>
      </c>
      <c r="D223" s="15">
        <f>731135.6*1533.554</f>
        <v>1121235923.9224</v>
      </c>
      <c r="E223" s="15">
        <f>6811.97*1533.554</f>
        <v>10446523.84138</v>
      </c>
      <c r="F223" s="111">
        <v>0</v>
      </c>
      <c r="G223" s="15">
        <f>2020.97*1533.554</f>
        <v>3099266.6273800004</v>
      </c>
      <c r="H223" s="12">
        <f>(E223+F223)-G223</f>
        <v>7347257.2139999997</v>
      </c>
      <c r="I223" s="10">
        <v>1532997847.8644998</v>
      </c>
      <c r="J223" s="13">
        <f>(I223/$I$228)</f>
        <v>8.8577362419327468E-2</v>
      </c>
      <c r="K223" s="10">
        <f>1179790*1533.554</f>
        <v>1809271673.6600001</v>
      </c>
      <c r="L223" s="13">
        <f>(K223/$K$228)</f>
        <v>0.10089321557743393</v>
      </c>
      <c r="M223" s="13">
        <f>((K223-I223)/I223)</f>
        <v>0.18021801281740601</v>
      </c>
      <c r="N223" s="19">
        <f>(G223/K223)</f>
        <v>1.7129912950609855E-3</v>
      </c>
      <c r="O223" s="20">
        <f>H223/K223</f>
        <v>4.0608921926783576E-3</v>
      </c>
      <c r="P223" s="21">
        <f>K223/V223</f>
        <v>1550.1169255747166</v>
      </c>
      <c r="Q223" s="21">
        <f>H223/V223</f>
        <v>6.2948577208049459</v>
      </c>
      <c r="R223" s="10">
        <f>1.0108*1533.554</f>
        <v>1550.1163832</v>
      </c>
      <c r="S223" s="10">
        <f>1.0108*1533.554</f>
        <v>1550.1163832</v>
      </c>
      <c r="T223" s="10">
        <v>47</v>
      </c>
      <c r="U223" s="10">
        <v>994102</v>
      </c>
      <c r="V223" s="10">
        <v>1167184</v>
      </c>
    </row>
    <row r="224" spans="1:22" ht="15" customHeight="1">
      <c r="A224" s="90">
        <v>2</v>
      </c>
      <c r="B224" s="91" t="s">
        <v>302</v>
      </c>
      <c r="C224" s="93" t="s">
        <v>228</v>
      </c>
      <c r="D224" s="15">
        <v>4176681814.6900001</v>
      </c>
      <c r="E224" s="15">
        <v>104445636.34</v>
      </c>
      <c r="F224" s="15">
        <v>0</v>
      </c>
      <c r="G224" s="15">
        <v>8114430.6500000004</v>
      </c>
      <c r="H224" s="12">
        <f>(E224+F224)-G224</f>
        <v>96331205.689999998</v>
      </c>
      <c r="I224" s="10">
        <v>4014551201.8899999</v>
      </c>
      <c r="J224" s="13">
        <f t="shared" ref="J224:J227" si="127">(I224/$I$228)</f>
        <v>0.23196272405477519</v>
      </c>
      <c r="K224" s="10">
        <v>4120262835.5799999</v>
      </c>
      <c r="L224" s="13">
        <f t="shared" ref="L224:L227" si="128">(K224/$K$228)</f>
        <v>0.22976459122079973</v>
      </c>
      <c r="M224" s="13">
        <f t="shared" ref="M224:M229" si="129">((K224-I224)/I224)</f>
        <v>2.6332117433259378E-2</v>
      </c>
      <c r="N224" s="19">
        <f t="shared" ref="N224:N227" si="130">(G224/K224)</f>
        <v>1.969396364700057E-3</v>
      </c>
      <c r="O224" s="20">
        <f t="shared" ref="O224:O227" si="131">H224/K224</f>
        <v>2.3379869084599228E-2</v>
      </c>
      <c r="P224" s="21">
        <f t="shared" ref="P224:P227" si="132">K224/V224</f>
        <v>124.15965055446404</v>
      </c>
      <c r="Q224" s="21">
        <f t="shared" ref="Q224:Q227" si="133">H224/V224</f>
        <v>2.9028363755529574</v>
      </c>
      <c r="R224" s="10">
        <v>123.3</v>
      </c>
      <c r="S224" s="10">
        <v>123.3</v>
      </c>
      <c r="T224" s="10">
        <v>9</v>
      </c>
      <c r="U224" s="10">
        <v>33185200</v>
      </c>
      <c r="V224" s="10">
        <v>33185200</v>
      </c>
    </row>
    <row r="225" spans="1:22" ht="15" customHeight="1">
      <c r="A225" s="90">
        <v>3</v>
      </c>
      <c r="B225" s="91" t="s">
        <v>303</v>
      </c>
      <c r="C225" s="94" t="s">
        <v>304</v>
      </c>
      <c r="D225" s="15">
        <v>577355119.52999997</v>
      </c>
      <c r="E225" s="15">
        <v>1923928.31</v>
      </c>
      <c r="F225" s="111">
        <v>0</v>
      </c>
      <c r="G225" s="15">
        <v>647578.49</v>
      </c>
      <c r="H225" s="12">
        <f>(E225+F225)-G225</f>
        <v>1276349.82</v>
      </c>
      <c r="I225" s="10">
        <v>567943109.5</v>
      </c>
      <c r="J225" s="13">
        <f t="shared" si="127"/>
        <v>3.2816029529212927E-2</v>
      </c>
      <c r="K225" s="10">
        <v>576700056.88</v>
      </c>
      <c r="L225" s="13">
        <f t="shared" si="128"/>
        <v>3.2159417521089452E-2</v>
      </c>
      <c r="M225" s="13">
        <f t="shared" si="129"/>
        <v>1.5418705207479932E-2</v>
      </c>
      <c r="N225" s="19">
        <f t="shared" si="130"/>
        <v>1.1229034612957364E-3</v>
      </c>
      <c r="O225" s="20">
        <f t="shared" si="131"/>
        <v>2.2131952386222559E-3</v>
      </c>
      <c r="P225" s="21">
        <f t="shared" si="132"/>
        <v>159531.07684987705</v>
      </c>
      <c r="Q225" s="21">
        <f t="shared" si="133"/>
        <v>353.07341969642903</v>
      </c>
      <c r="R225" s="95">
        <f>103.91*1533.554</f>
        <v>159351.59614000001</v>
      </c>
      <c r="S225" s="95">
        <f>103.91*1533.554</f>
        <v>159351.59614000001</v>
      </c>
      <c r="T225" s="10">
        <v>4</v>
      </c>
      <c r="U225" s="10">
        <v>3614.97</v>
      </c>
      <c r="V225" s="10">
        <v>3614.97</v>
      </c>
    </row>
    <row r="226" spans="1:22" ht="15" customHeight="1">
      <c r="A226" s="90">
        <v>4</v>
      </c>
      <c r="B226" s="91" t="s">
        <v>305</v>
      </c>
      <c r="C226" s="92" t="s">
        <v>306</v>
      </c>
      <c r="D226" s="15">
        <v>11398324368.27</v>
      </c>
      <c r="E226" s="15">
        <v>247102719.11000001</v>
      </c>
      <c r="F226" s="111">
        <v>0</v>
      </c>
      <c r="G226" s="15">
        <v>22507786.43</v>
      </c>
      <c r="H226" s="12">
        <f>(E226+F226)-G226</f>
        <v>224594932.68000001</v>
      </c>
      <c r="I226" s="10">
        <v>11078691306.110001</v>
      </c>
      <c r="J226" s="13">
        <f t="shared" si="127"/>
        <v>0.64013218043336484</v>
      </c>
      <c r="K226" s="10">
        <v>11294700035.67</v>
      </c>
      <c r="L226" s="13">
        <f t="shared" si="128"/>
        <v>0.62984383283693124</v>
      </c>
      <c r="M226" s="13">
        <f t="shared" si="129"/>
        <v>1.9497675636188965E-2</v>
      </c>
      <c r="N226" s="19">
        <f t="shared" si="130"/>
        <v>1.9927741647779705E-3</v>
      </c>
      <c r="O226" s="20">
        <f t="shared" si="131"/>
        <v>1.9884984282070584E-2</v>
      </c>
      <c r="P226" s="21">
        <f t="shared" si="132"/>
        <v>1.0829050849156281</v>
      </c>
      <c r="Q226" s="21">
        <f t="shared" si="133"/>
        <v>2.1533550592521572E-2</v>
      </c>
      <c r="R226" s="10">
        <v>1.08</v>
      </c>
      <c r="S226" s="10">
        <v>1.08</v>
      </c>
      <c r="T226" s="10">
        <v>16</v>
      </c>
      <c r="U226" s="10">
        <v>10430000000</v>
      </c>
      <c r="V226" s="10">
        <v>10430000000</v>
      </c>
    </row>
    <row r="227" spans="1:22" ht="15" customHeight="1">
      <c r="A227" s="90">
        <v>5</v>
      </c>
      <c r="B227" s="92" t="s">
        <v>307</v>
      </c>
      <c r="C227" s="92" t="s">
        <v>49</v>
      </c>
      <c r="D227" s="15">
        <v>127556815.07027397</v>
      </c>
      <c r="E227" s="15">
        <v>1624315</v>
      </c>
      <c r="F227" s="15">
        <v>7805439.1899999995</v>
      </c>
      <c r="G227" s="15">
        <v>506663.25</v>
      </c>
      <c r="H227" s="12">
        <f>(E227+F227)-G227</f>
        <v>8923090.9399999995</v>
      </c>
      <c r="I227" s="10">
        <v>112697277</v>
      </c>
      <c r="J227" s="13">
        <f t="shared" si="127"/>
        <v>6.5117035633194672E-3</v>
      </c>
      <c r="K227" s="10">
        <v>131605889.71027397</v>
      </c>
      <c r="L227" s="13">
        <f t="shared" si="128"/>
        <v>7.3389428437455901E-3</v>
      </c>
      <c r="M227" s="13">
        <f t="shared" si="129"/>
        <v>0.16778233878955182</v>
      </c>
      <c r="N227" s="19">
        <f t="shared" si="130"/>
        <v>3.8498523973007777E-3</v>
      </c>
      <c r="O227" s="20">
        <f t="shared" si="131"/>
        <v>6.7801607964840249E-2</v>
      </c>
      <c r="P227" s="21">
        <f t="shared" si="132"/>
        <v>1.1012774711488884</v>
      </c>
      <c r="Q227" s="21">
        <f t="shared" si="133"/>
        <v>7.4668383359347612E-2</v>
      </c>
      <c r="R227" s="10">
        <v>1.1000000000000001</v>
      </c>
      <c r="S227" s="10">
        <v>1.1000000000000001</v>
      </c>
      <c r="T227" s="10">
        <v>12</v>
      </c>
      <c r="U227" s="10">
        <v>109946912.66</v>
      </c>
      <c r="V227" s="10">
        <v>119502934.69</v>
      </c>
    </row>
    <row r="228" spans="1:22" ht="14.4" customHeight="1">
      <c r="A228" s="122" t="s">
        <v>50</v>
      </c>
      <c r="B228" s="122"/>
      <c r="C228" s="122"/>
      <c r="D228" s="122"/>
      <c r="E228" s="122"/>
      <c r="F228" s="122"/>
      <c r="G228" s="122"/>
      <c r="H228" s="122"/>
      <c r="I228" s="36">
        <f>SUM(I223:I227)</f>
        <v>17306880742.364502</v>
      </c>
      <c r="J228" s="34">
        <f>(I228/$I$229)</f>
        <v>2.9572051437459553E-3</v>
      </c>
      <c r="K228" s="36">
        <f>SUM(K223:K227)</f>
        <v>17932540491.500275</v>
      </c>
      <c r="L228" s="34">
        <f>(K228/$K$229)</f>
        <v>2.8370215198704365E-3</v>
      </c>
      <c r="M228" s="13">
        <f t="shared" si="129"/>
        <v>3.6150925082892423E-2</v>
      </c>
      <c r="N228" s="112"/>
      <c r="O228" s="112"/>
      <c r="P228" s="112"/>
      <c r="Q228" s="112"/>
      <c r="R228" s="112"/>
      <c r="S228" s="112"/>
      <c r="T228" s="36">
        <f>SUM(T223:T227)</f>
        <v>88</v>
      </c>
      <c r="U228" s="112"/>
      <c r="V228" s="112"/>
    </row>
    <row r="229" spans="1:22" ht="13.8" customHeight="1">
      <c r="A229" s="129" t="s">
        <v>198</v>
      </c>
      <c r="B229" s="129"/>
      <c r="C229" s="129"/>
      <c r="D229" s="129"/>
      <c r="E229" s="129"/>
      <c r="F229" s="129"/>
      <c r="G229" s="129"/>
      <c r="H229" s="129"/>
      <c r="I229" s="108">
        <f>I220+I228</f>
        <v>5852445096332.2432</v>
      </c>
      <c r="J229" s="109"/>
      <c r="K229" s="108">
        <f>K220+K228</f>
        <v>6320903936012.1709</v>
      </c>
      <c r="L229" s="109"/>
      <c r="M229" s="110">
        <f t="shared" si="129"/>
        <v>8.0044978119233154E-2</v>
      </c>
      <c r="N229" s="113"/>
      <c r="O229" s="113"/>
      <c r="P229" s="113"/>
      <c r="Q229" s="113"/>
      <c r="R229" s="113"/>
      <c r="S229" s="113"/>
      <c r="T229" s="108">
        <f>T220+T228</f>
        <v>898466</v>
      </c>
      <c r="U229" s="113"/>
      <c r="V229" s="113"/>
    </row>
    <row r="230" spans="1:22">
      <c r="A230" s="154" t="s">
        <v>199</v>
      </c>
      <c r="B230" s="42" t="s">
        <v>294</v>
      </c>
      <c r="C230" s="68">
        <v>1533.5540000000001</v>
      </c>
      <c r="D230" s="6"/>
      <c r="E230" s="6"/>
      <c r="F230" s="6"/>
      <c r="G230" s="6"/>
      <c r="H230" s="7"/>
      <c r="I230" s="8"/>
      <c r="J230" s="6"/>
      <c r="K230" s="8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9"/>
    </row>
  </sheetData>
  <sheetProtection algorithmName="SHA-512" hashValue="fPiIDpLEGf4yeS6CBiZ+PCKAMj4LFG88vJfs3XvZ9GhY27C8B0DZs2ofWOPn4XYPcx8kIs0ZZ+q8DV7VQ7Q+gQ==" saltValue="tmq0JyuTX+Expm7m3eqflg==" spinCount="100000" sheet="1" objects="1" scenarios="1"/>
  <mergeCells count="36">
    <mergeCell ref="A222:V222"/>
    <mergeCell ref="A229:H229"/>
    <mergeCell ref="A219:H219"/>
    <mergeCell ref="A220:H220"/>
    <mergeCell ref="A194:V194"/>
    <mergeCell ref="A195:V195"/>
    <mergeCell ref="A196:V196"/>
    <mergeCell ref="A199:V199"/>
    <mergeCell ref="A200:V200"/>
    <mergeCell ref="A215:V215"/>
    <mergeCell ref="A228:H228"/>
    <mergeCell ref="A159:V159"/>
    <mergeCell ref="A188:H188"/>
    <mergeCell ref="A189:V189"/>
    <mergeCell ref="A190:V190"/>
    <mergeCell ref="A193:H193"/>
    <mergeCell ref="A148:H148"/>
    <mergeCell ref="A149:V149"/>
    <mergeCell ref="A150:V150"/>
    <mergeCell ref="A157:H157"/>
    <mergeCell ref="A158:V158"/>
    <mergeCell ref="A109:V109"/>
    <mergeCell ref="A110:V110"/>
    <mergeCell ref="A111:V111"/>
    <mergeCell ref="A129:V129"/>
    <mergeCell ref="A130:V130"/>
    <mergeCell ref="A26:V26"/>
    <mergeCell ref="A68:H68"/>
    <mergeCell ref="A69:V69"/>
    <mergeCell ref="A70:V70"/>
    <mergeCell ref="A108:H108"/>
    <mergeCell ref="A1:V1"/>
    <mergeCell ref="A3:V3"/>
    <mergeCell ref="A4:V4"/>
    <mergeCell ref="A24:H24"/>
    <mergeCell ref="A25:V25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68 J108 J148 J157 J188 J193 J219 J2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8" sqref="F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59"/>
      <c r="F2" s="59"/>
    </row>
    <row r="3" spans="1:6">
      <c r="A3" s="96"/>
      <c r="B3" s="96"/>
      <c r="C3" s="96"/>
      <c r="D3" s="96"/>
      <c r="E3" s="59"/>
      <c r="F3" s="59"/>
    </row>
    <row r="4" spans="1:6" ht="33" customHeight="1">
      <c r="A4" s="134" t="s">
        <v>200</v>
      </c>
      <c r="B4" s="135" t="s">
        <v>310</v>
      </c>
      <c r="C4" s="135" t="s">
        <v>311</v>
      </c>
      <c r="D4" s="96"/>
      <c r="E4" s="59"/>
      <c r="F4" s="59"/>
    </row>
    <row r="5" spans="1:6" ht="18.899999999999999" customHeight="1">
      <c r="A5" s="136" t="s">
        <v>19</v>
      </c>
      <c r="B5" s="137">
        <v>47.822839795400007</v>
      </c>
      <c r="C5" s="138">
        <f>July!K24/1000000000</f>
        <v>66.406113220960009</v>
      </c>
      <c r="D5" s="96"/>
      <c r="E5" s="59"/>
      <c r="F5" s="59"/>
    </row>
    <row r="6" spans="1:6">
      <c r="A6" s="134" t="s">
        <v>51</v>
      </c>
      <c r="B6" s="139">
        <v>3165.3955731113892</v>
      </c>
      <c r="C6" s="138">
        <f>July!K68/1000000000</f>
        <v>3486.7623653120704</v>
      </c>
      <c r="D6" s="96"/>
      <c r="E6" s="59"/>
      <c r="F6" s="59"/>
    </row>
    <row r="7" spans="1:6">
      <c r="A7" s="134" t="s">
        <v>201</v>
      </c>
      <c r="B7" s="137">
        <v>209.13505235314</v>
      </c>
      <c r="C7" s="138">
        <f>July!K108/1000000000</f>
        <v>219.07189169631997</v>
      </c>
      <c r="D7" s="96"/>
      <c r="E7" s="59"/>
      <c r="F7" s="59"/>
    </row>
    <row r="8" spans="1:6">
      <c r="A8" s="134" t="s">
        <v>202</v>
      </c>
      <c r="B8" s="139">
        <v>1918.2247141771018</v>
      </c>
      <c r="C8" s="138">
        <f>July!K148/1000000000</f>
        <v>1964.46643918118</v>
      </c>
      <c r="D8" s="96"/>
      <c r="E8" s="59"/>
      <c r="F8" s="59"/>
    </row>
    <row r="9" spans="1:6">
      <c r="A9" s="134" t="s">
        <v>203</v>
      </c>
      <c r="B9" s="137">
        <v>361.88054143226003</v>
      </c>
      <c r="C9" s="138">
        <f>July!K157/1000000000</f>
        <v>418.14732028246999</v>
      </c>
      <c r="D9" s="96"/>
      <c r="E9" s="59"/>
      <c r="F9" s="59"/>
    </row>
    <row r="10" spans="1:6">
      <c r="A10" s="134" t="s">
        <v>160</v>
      </c>
      <c r="B10" s="137">
        <v>65.270670122349969</v>
      </c>
      <c r="C10" s="138">
        <f>July!K188/1000000000</f>
        <v>75.255158315529997</v>
      </c>
      <c r="D10" s="96"/>
      <c r="E10" s="59"/>
      <c r="F10" s="59"/>
    </row>
    <row r="11" spans="1:6">
      <c r="A11" s="134" t="s">
        <v>183</v>
      </c>
      <c r="B11" s="137">
        <v>6.7481314688299996</v>
      </c>
      <c r="C11" s="138">
        <f>July!K193/1000000000</f>
        <v>8.4979001396100013</v>
      </c>
      <c r="D11" s="96"/>
      <c r="E11" s="59"/>
      <c r="F11" s="59"/>
    </row>
    <row r="12" spans="1:6">
      <c r="A12" s="134" t="s">
        <v>204</v>
      </c>
      <c r="B12" s="137">
        <v>60.660693129408003</v>
      </c>
      <c r="C12" s="138">
        <f>July!K219/1000000000</f>
        <v>64.364207372529989</v>
      </c>
      <c r="D12" s="96"/>
      <c r="E12" s="59"/>
      <c r="F12" s="59"/>
    </row>
    <row r="13" spans="1:6">
      <c r="A13" s="134" t="s">
        <v>308</v>
      </c>
      <c r="B13" s="137">
        <f>July!I228/1000000000</f>
        <v>17.306880742364502</v>
      </c>
      <c r="C13" s="137">
        <f>July!K228/1000000000</f>
        <v>17.932540491500276</v>
      </c>
      <c r="D13" s="96"/>
      <c r="E13" s="59"/>
      <c r="F13" s="59"/>
    </row>
    <row r="14" spans="1:6">
      <c r="A14" s="96"/>
      <c r="B14" s="96"/>
      <c r="C14" s="96"/>
      <c r="D14" s="96"/>
      <c r="E14" s="59"/>
      <c r="F14" s="59"/>
    </row>
    <row r="15" spans="1:6">
      <c r="A15" s="96"/>
      <c r="B15" s="96"/>
      <c r="C15" s="96"/>
      <c r="D15" s="96"/>
      <c r="E15" s="59"/>
      <c r="F15" s="59"/>
    </row>
    <row r="16" spans="1:6">
      <c r="A16" s="96"/>
      <c r="B16" s="97"/>
      <c r="C16" s="96"/>
      <c r="D16" s="96"/>
      <c r="E16" s="59"/>
      <c r="F16" s="59"/>
    </row>
    <row r="17" spans="1:6">
      <c r="A17" s="98"/>
      <c r="B17" s="99"/>
      <c r="C17" s="100"/>
      <c r="D17" s="96"/>
      <c r="E17" s="59"/>
      <c r="F17" s="59"/>
    </row>
    <row r="18" spans="1:6" ht="15.6">
      <c r="A18" s="48"/>
      <c r="B18" s="51"/>
      <c r="C18" s="52"/>
      <c r="D18" s="2"/>
      <c r="E18" s="2"/>
      <c r="F18" s="2"/>
    </row>
    <row r="19" spans="1:6">
      <c r="A19" s="53"/>
      <c r="B19" s="50"/>
      <c r="C19" s="54"/>
      <c r="D19" s="2"/>
      <c r="E19" s="2"/>
      <c r="F19" s="2"/>
    </row>
    <row r="20" spans="1:6">
      <c r="A20" s="53"/>
      <c r="B20" s="51"/>
      <c r="C20" s="52"/>
      <c r="D20" s="2"/>
      <c r="E20" s="2"/>
      <c r="F20" s="2"/>
    </row>
    <row r="21" spans="1:6">
      <c r="A21" s="53"/>
      <c r="B21" s="50"/>
      <c r="C21" s="54"/>
      <c r="D21" s="2"/>
      <c r="E21" s="2"/>
      <c r="F21" s="2"/>
    </row>
    <row r="22" spans="1:6">
      <c r="A22" s="53"/>
      <c r="B22" s="55"/>
      <c r="C22" s="56"/>
      <c r="D22" s="2"/>
      <c r="E22" s="2"/>
      <c r="F22" s="2"/>
    </row>
    <row r="23" spans="1:6">
      <c r="A23" s="53"/>
      <c r="B23" s="50"/>
      <c r="C23" s="54"/>
      <c r="D23" s="2"/>
      <c r="E23" s="2"/>
      <c r="F23" s="2"/>
    </row>
    <row r="24" spans="1:6">
      <c r="A24" s="53"/>
      <c r="B24" s="50"/>
      <c r="C24" s="49"/>
      <c r="D24" s="2"/>
      <c r="E24" s="2"/>
      <c r="F24" s="2"/>
    </row>
    <row r="25" spans="1:6">
      <c r="A25" s="53"/>
      <c r="B25" s="50"/>
      <c r="C25" s="50"/>
      <c r="D25" s="2"/>
      <c r="E25" s="2"/>
      <c r="F25" s="2"/>
    </row>
    <row r="26" spans="1:6">
      <c r="A26" s="53"/>
      <c r="B26" s="50"/>
      <c r="C26" s="50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r5tgLdxfTEOgqCXLsVI6SA2cV5hEfuVqEtXDsOhbu0jXbdfwV/3X2va2f1DaKDRVpl9ER7vdEnurAFHOSjOtOw==" saltValue="aNPOdqKWNOiOyf9hUNTB6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G11" sqref="G11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140" t="s">
        <v>200</v>
      </c>
      <c r="B1" s="141" t="s">
        <v>311</v>
      </c>
      <c r="C1" s="59"/>
      <c r="D1" s="59"/>
      <c r="E1" s="2"/>
      <c r="F1" s="2"/>
    </row>
    <row r="2" spans="1:6">
      <c r="A2" s="140" t="s">
        <v>183</v>
      </c>
      <c r="B2" s="142">
        <f>July!K193</f>
        <v>8497900139.6100006</v>
      </c>
      <c r="C2" s="59"/>
      <c r="D2" s="59"/>
      <c r="E2" s="2"/>
      <c r="F2" s="2"/>
    </row>
    <row r="3" spans="1:6">
      <c r="A3" s="140" t="s">
        <v>308</v>
      </c>
      <c r="B3" s="142">
        <f>July!K228</f>
        <v>17932540491.500275</v>
      </c>
      <c r="C3" s="59"/>
      <c r="D3" s="59"/>
      <c r="E3" s="2"/>
      <c r="F3" s="2"/>
    </row>
    <row r="4" spans="1:6">
      <c r="A4" s="140" t="s">
        <v>204</v>
      </c>
      <c r="B4" s="143">
        <f>July!K219</f>
        <v>64364207372.529991</v>
      </c>
      <c r="C4" s="59"/>
      <c r="D4" s="59"/>
      <c r="E4" s="2"/>
      <c r="F4" s="2"/>
    </row>
    <row r="5" spans="1:6">
      <c r="A5" s="140" t="s">
        <v>19</v>
      </c>
      <c r="B5" s="144">
        <f>July!K24</f>
        <v>66406113220.960007</v>
      </c>
      <c r="C5" s="59"/>
      <c r="D5" s="59"/>
      <c r="E5" s="2"/>
      <c r="F5" s="2"/>
    </row>
    <row r="6" spans="1:6">
      <c r="A6" s="140" t="s">
        <v>160</v>
      </c>
      <c r="B6" s="144">
        <f>July!K188</f>
        <v>75255158315.529999</v>
      </c>
      <c r="C6" s="59"/>
      <c r="D6" s="59"/>
      <c r="E6" s="2"/>
      <c r="F6" s="2"/>
    </row>
    <row r="7" spans="1:6">
      <c r="A7" s="140" t="s">
        <v>201</v>
      </c>
      <c r="B7" s="145">
        <f>July!K108</f>
        <v>219071891696.31998</v>
      </c>
      <c r="C7" s="59"/>
      <c r="D7" s="59"/>
      <c r="E7" s="2"/>
      <c r="F7" s="2"/>
    </row>
    <row r="8" spans="1:6">
      <c r="A8" s="140" t="s">
        <v>203</v>
      </c>
      <c r="B8" s="145">
        <f>July!K157</f>
        <v>418147320282.46997</v>
      </c>
      <c r="C8" s="59"/>
      <c r="D8" s="59"/>
      <c r="E8" s="2"/>
      <c r="F8" s="2"/>
    </row>
    <row r="9" spans="1:6">
      <c r="A9" s="140" t="s">
        <v>202</v>
      </c>
      <c r="B9" s="144">
        <f>July!K148</f>
        <v>1964466439181.1799</v>
      </c>
      <c r="C9" s="59"/>
      <c r="D9" s="59"/>
      <c r="E9" s="2"/>
      <c r="F9" s="2"/>
    </row>
    <row r="10" spans="1:6">
      <c r="A10" s="140" t="s">
        <v>51</v>
      </c>
      <c r="B10" s="144">
        <f>July!K68</f>
        <v>3486762365312.0703</v>
      </c>
      <c r="C10" s="59"/>
      <c r="D10" s="59"/>
      <c r="E10" s="2"/>
      <c r="F10" s="2"/>
    </row>
    <row r="11" spans="1:6">
      <c r="A11" s="59"/>
      <c r="B11" s="59"/>
      <c r="C11" s="59"/>
      <c r="D11" s="59"/>
      <c r="E11" s="2"/>
      <c r="F11" s="2"/>
    </row>
    <row r="12" spans="1:6">
      <c r="A12" s="146"/>
      <c r="B12" s="59"/>
      <c r="C12" s="59"/>
      <c r="D12" s="59"/>
      <c r="E12" s="2"/>
      <c r="F12" s="2"/>
    </row>
    <row r="13" spans="1:6">
      <c r="A13" s="147"/>
      <c r="B13" s="59"/>
      <c r="C13" s="59"/>
      <c r="D13" s="59"/>
      <c r="E13" s="2"/>
      <c r="F13" s="2"/>
    </row>
    <row r="14" spans="1:6" ht="15" customHeight="1">
      <c r="A14" s="59"/>
      <c r="B14" s="148"/>
      <c r="C14" s="59"/>
      <c r="D14" s="59"/>
      <c r="E14" s="2"/>
      <c r="F14" s="2"/>
    </row>
    <row r="15" spans="1:6">
      <c r="A15" s="149"/>
      <c r="B15" s="148"/>
      <c r="C15" s="59"/>
      <c r="D15" s="59"/>
      <c r="E15" s="2"/>
      <c r="F15" s="2"/>
    </row>
    <row r="16" spans="1:6">
      <c r="A16" s="103"/>
      <c r="B16" s="102"/>
      <c r="C16" s="2"/>
      <c r="D16" s="59"/>
      <c r="E16" s="2"/>
      <c r="F16" s="2"/>
    </row>
    <row r="17" spans="1:6">
      <c r="A17" s="101"/>
      <c r="B17" s="102"/>
      <c r="C17" s="2"/>
      <c r="D17" s="59"/>
      <c r="E17" s="2"/>
      <c r="F17" s="2"/>
    </row>
    <row r="18" spans="1:6">
      <c r="A18" s="104"/>
      <c r="B18" s="102"/>
      <c r="C18" s="2"/>
      <c r="D18" s="59"/>
      <c r="E18" s="2"/>
      <c r="F18" s="2"/>
    </row>
    <row r="19" spans="1:6">
      <c r="B19" s="102"/>
      <c r="C19" s="2"/>
      <c r="D19" s="59"/>
      <c r="E19" s="2"/>
      <c r="F19" s="2"/>
    </row>
    <row r="20" spans="1:6">
      <c r="A20" s="22"/>
      <c r="B20" s="102"/>
      <c r="C20" s="2"/>
      <c r="D20" s="59"/>
      <c r="E20" s="2"/>
      <c r="F20" s="2"/>
    </row>
    <row r="21" spans="1:6">
      <c r="A21" s="105"/>
      <c r="B21" s="102"/>
      <c r="C21" s="2"/>
      <c r="D21" s="59"/>
      <c r="E21" s="2"/>
      <c r="F21" s="2"/>
    </row>
    <row r="22" spans="1:6">
      <c r="A22" s="53"/>
      <c r="B22" s="106"/>
      <c r="C22" s="2"/>
      <c r="D22" s="59"/>
      <c r="E22" s="2"/>
      <c r="F22" s="2"/>
    </row>
    <row r="23" spans="1:6">
      <c r="A23" s="2"/>
      <c r="B23" s="51"/>
      <c r="C23" s="2"/>
      <c r="D23" s="59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</row>
    <row r="33" spans="1:17" ht="15.9" customHeight="1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"/>
    </row>
    <row r="34" spans="1:17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"/>
    </row>
  </sheetData>
  <sheetProtection algorithmName="SHA-512" hashValue="JjEiueIUmlH4/A4uyblZnYn6YElmMfhGlHOvKW3CQ1FShEwxQCoNvF2hC6pwYiKVR5C5K6dO1k6kEiyUasZb0w==" saltValue="oY47iF3PG29BXCyoq9eeWA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D7" sqref="D7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59"/>
      <c r="B4" s="59"/>
      <c r="C4" s="2"/>
      <c r="D4" s="2"/>
      <c r="E4" s="2"/>
    </row>
    <row r="5" spans="1:5" ht="15.6">
      <c r="A5" s="150" t="s">
        <v>200</v>
      </c>
      <c r="B5" s="151" t="s">
        <v>205</v>
      </c>
      <c r="C5" s="2"/>
      <c r="D5" s="2"/>
      <c r="E5" s="2"/>
    </row>
    <row r="6" spans="1:5">
      <c r="A6" s="146" t="s">
        <v>19</v>
      </c>
      <c r="B6" s="152">
        <f>July!T24</f>
        <v>53890</v>
      </c>
      <c r="C6" s="2"/>
      <c r="D6" s="2"/>
      <c r="E6" s="2"/>
    </row>
    <row r="7" spans="1:5">
      <c r="A7" s="146" t="s">
        <v>51</v>
      </c>
      <c r="B7" s="152">
        <f>July!T68</f>
        <v>443503</v>
      </c>
      <c r="C7" s="2"/>
      <c r="D7" s="2"/>
      <c r="E7" s="2"/>
    </row>
    <row r="8" spans="1:5">
      <c r="A8" s="146" t="s">
        <v>201</v>
      </c>
      <c r="B8" s="152">
        <f>July!T108</f>
        <v>46137</v>
      </c>
      <c r="C8" s="2"/>
      <c r="D8" s="2"/>
      <c r="E8" s="2"/>
    </row>
    <row r="9" spans="1:5">
      <c r="A9" s="146" t="s">
        <v>202</v>
      </c>
      <c r="B9" s="152">
        <f>July!T148</f>
        <v>22913</v>
      </c>
      <c r="C9" s="2"/>
      <c r="D9" s="2"/>
      <c r="E9" s="2"/>
    </row>
    <row r="10" spans="1:5">
      <c r="A10" s="146" t="s">
        <v>203</v>
      </c>
      <c r="B10" s="152">
        <f>July!T157</f>
        <v>218660</v>
      </c>
      <c r="C10" s="2"/>
      <c r="D10" s="2"/>
      <c r="E10" s="2"/>
    </row>
    <row r="11" spans="1:5">
      <c r="A11" s="146" t="s">
        <v>160</v>
      </c>
      <c r="B11" s="152">
        <f>July!T188</f>
        <v>69472</v>
      </c>
      <c r="C11" s="2"/>
      <c r="D11" s="2"/>
      <c r="E11" s="2"/>
    </row>
    <row r="12" spans="1:5">
      <c r="A12" s="146" t="s">
        <v>183</v>
      </c>
      <c r="B12" s="152">
        <f>July!T193</f>
        <v>12281</v>
      </c>
      <c r="C12" s="2"/>
      <c r="D12" s="2"/>
      <c r="E12" s="2"/>
    </row>
    <row r="13" spans="1:5">
      <c r="A13" s="146" t="s">
        <v>204</v>
      </c>
      <c r="B13" s="152">
        <f>July!T219</f>
        <v>31522</v>
      </c>
      <c r="C13" s="2"/>
      <c r="D13" s="2"/>
      <c r="E13" s="2"/>
    </row>
    <row r="14" spans="1:5">
      <c r="A14" s="146" t="s">
        <v>308</v>
      </c>
      <c r="B14" s="153">
        <f>July!T228</f>
        <v>88</v>
      </c>
      <c r="C14" s="2"/>
      <c r="D14" s="2"/>
      <c r="E14" s="2"/>
    </row>
    <row r="15" spans="1:5">
      <c r="A15" s="59"/>
      <c r="B15" s="59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</sheetData>
  <sheetProtection algorithmName="SHA-512" hashValue="VwR7SFjDc2PBrdNY9gPIyNNTDAHkWQrKKhHK4FuehOrCII4rv/K1pXI9CxZJz9x5HO8oxWMTd0hjI+FNMdiYyA==" saltValue="KGCzS/m/L7Cq7yrMGFxtq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July</vt:lpstr>
      <vt:lpstr>NAV Comparison</vt:lpstr>
      <vt:lpstr>Market Share</vt:lpstr>
      <vt:lpstr>Unitholders</vt:lpstr>
      <vt:lpstr>July!_Hlk34300669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2024-12-20T14:59:31Z</cp:lastPrinted>
  <dcterms:created xsi:type="dcterms:W3CDTF">2023-10-09T09:40:00Z</dcterms:created>
  <dcterms:modified xsi:type="dcterms:W3CDTF">2025-11-19T10:38:19Z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