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23040" windowHeight="9072" tabRatio="604"/>
  </bookViews>
  <sheets>
    <sheet name="June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definedNames>
    <definedName name="_Hlk34300669" localSheetId="0">June!$K$62</definedName>
    <definedName name="Component">"Group"</definedName>
    <definedName name="FX_RATE">June!$C$230</definedName>
    <definedName name="pbCountingPages">FALSE</definedName>
  </definedNames>
  <calcPr calcId="162913"/>
</workbook>
</file>

<file path=xl/calcChain.xml><?xml version="1.0" encoding="utf-8"?>
<calcChain xmlns="http://schemas.openxmlformats.org/spreadsheetml/2006/main">
  <c r="H119" i="7" l="1"/>
  <c r="H112" i="7"/>
  <c r="D12" i="2"/>
  <c r="D11" i="2"/>
  <c r="D10" i="2"/>
  <c r="D9" i="2"/>
  <c r="D8" i="2"/>
  <c r="D7" i="2"/>
  <c r="D6" i="2"/>
  <c r="D5" i="2"/>
  <c r="C12" i="2"/>
  <c r="C11" i="2"/>
  <c r="C10" i="2"/>
  <c r="C9" i="2"/>
  <c r="C8" i="2"/>
  <c r="C7" i="2"/>
  <c r="C6" i="2"/>
  <c r="C5" i="2"/>
  <c r="E173" i="7"/>
  <c r="T148" i="7" l="1"/>
  <c r="L224" i="7"/>
  <c r="M224" i="7"/>
  <c r="N224" i="7"/>
  <c r="O224" i="7"/>
  <c r="P224" i="7"/>
  <c r="Q224" i="7"/>
  <c r="L225" i="7"/>
  <c r="M225" i="7"/>
  <c r="N225" i="7"/>
  <c r="O225" i="7"/>
  <c r="P225" i="7"/>
  <c r="Q225" i="7"/>
  <c r="L226" i="7"/>
  <c r="M226" i="7"/>
  <c r="N226" i="7"/>
  <c r="O226" i="7"/>
  <c r="P226" i="7"/>
  <c r="Q226" i="7"/>
  <c r="L227" i="7"/>
  <c r="M227" i="7"/>
  <c r="N227" i="7"/>
  <c r="O227" i="7"/>
  <c r="P227" i="7"/>
  <c r="Q227" i="7"/>
  <c r="L228" i="7"/>
  <c r="J228" i="7"/>
  <c r="L219" i="7"/>
  <c r="J219" i="7"/>
  <c r="L193" i="7"/>
  <c r="J193" i="7"/>
  <c r="L188" i="7"/>
  <c r="J188" i="7"/>
  <c r="L157" i="7"/>
  <c r="J157" i="7"/>
  <c r="L108" i="7"/>
  <c r="L68" i="7"/>
  <c r="L24" i="7"/>
  <c r="L148" i="7"/>
  <c r="J148" i="7"/>
  <c r="K148" i="7"/>
  <c r="L114" i="7" s="1"/>
  <c r="I148" i="7"/>
  <c r="M228" i="7"/>
  <c r="N228" i="7"/>
  <c r="O228" i="7"/>
  <c r="P228" i="7"/>
  <c r="Q228" i="7"/>
  <c r="N219" i="7"/>
  <c r="O219" i="7"/>
  <c r="P219" i="7"/>
  <c r="Q219" i="7"/>
  <c r="Q223" i="7"/>
  <c r="P223" i="7"/>
  <c r="O223" i="7"/>
  <c r="N223" i="7"/>
  <c r="M223" i="7"/>
  <c r="L223" i="7"/>
  <c r="J224" i="7"/>
  <c r="J225" i="7"/>
  <c r="J226" i="7"/>
  <c r="J227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Q216" i="7"/>
  <c r="P216" i="7"/>
  <c r="O216" i="7"/>
  <c r="N216" i="7"/>
  <c r="M216" i="7"/>
  <c r="L216" i="7"/>
  <c r="J217" i="7"/>
  <c r="J218" i="7"/>
  <c r="L202" i="7"/>
  <c r="M202" i="7"/>
  <c r="N202" i="7"/>
  <c r="O202" i="7"/>
  <c r="P202" i="7"/>
  <c r="Q202" i="7"/>
  <c r="L203" i="7"/>
  <c r="M203" i="7"/>
  <c r="N203" i="7"/>
  <c r="O203" i="7"/>
  <c r="P203" i="7"/>
  <c r="Q203" i="7"/>
  <c r="L204" i="7"/>
  <c r="M204" i="7"/>
  <c r="N204" i="7"/>
  <c r="O204" i="7"/>
  <c r="P204" i="7"/>
  <c r="Q204" i="7"/>
  <c r="L205" i="7"/>
  <c r="M205" i="7"/>
  <c r="N205" i="7"/>
  <c r="O205" i="7"/>
  <c r="P205" i="7"/>
  <c r="Q205" i="7"/>
  <c r="L206" i="7"/>
  <c r="M206" i="7"/>
  <c r="N206" i="7"/>
  <c r="O206" i="7"/>
  <c r="P206" i="7"/>
  <c r="Q206" i="7"/>
  <c r="L207" i="7"/>
  <c r="M207" i="7"/>
  <c r="N207" i="7"/>
  <c r="O207" i="7"/>
  <c r="P207" i="7"/>
  <c r="Q207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L198" i="7"/>
  <c r="M198" i="7"/>
  <c r="N198" i="7"/>
  <c r="O198" i="7"/>
  <c r="P198" i="7"/>
  <c r="Q198" i="7"/>
  <c r="J198" i="7"/>
  <c r="L192" i="7"/>
  <c r="M192" i="7"/>
  <c r="N192" i="7"/>
  <c r="O192" i="7"/>
  <c r="P192" i="7"/>
  <c r="Q192" i="7"/>
  <c r="M193" i="7"/>
  <c r="J192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L165" i="7"/>
  <c r="M165" i="7"/>
  <c r="N165" i="7"/>
  <c r="O165" i="7"/>
  <c r="P165" i="7"/>
  <c r="Q165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P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L152" i="7"/>
  <c r="M152" i="7"/>
  <c r="N152" i="7"/>
  <c r="O152" i="7"/>
  <c r="P152" i="7"/>
  <c r="Q152" i="7"/>
  <c r="L153" i="7"/>
  <c r="M153" i="7"/>
  <c r="N153" i="7"/>
  <c r="O153" i="7"/>
  <c r="P153" i="7"/>
  <c r="Q153" i="7"/>
  <c r="L154" i="7"/>
  <c r="M154" i="7"/>
  <c r="N154" i="7"/>
  <c r="O154" i="7"/>
  <c r="P154" i="7"/>
  <c r="Q154" i="7"/>
  <c r="L155" i="7"/>
  <c r="M155" i="7"/>
  <c r="N155" i="7"/>
  <c r="O155" i="7"/>
  <c r="P155" i="7"/>
  <c r="Q155" i="7"/>
  <c r="L156" i="7"/>
  <c r="M156" i="7"/>
  <c r="N156" i="7"/>
  <c r="O156" i="7"/>
  <c r="P156" i="7"/>
  <c r="Q156" i="7"/>
  <c r="J152" i="7"/>
  <c r="J153" i="7"/>
  <c r="J154" i="7"/>
  <c r="J155" i="7"/>
  <c r="J156" i="7"/>
  <c r="M147" i="7"/>
  <c r="N147" i="7"/>
  <c r="O147" i="7"/>
  <c r="P147" i="7"/>
  <c r="Q147" i="7"/>
  <c r="L132" i="7"/>
  <c r="M132" i="7"/>
  <c r="N132" i="7"/>
  <c r="O132" i="7"/>
  <c r="P132" i="7"/>
  <c r="Q132" i="7"/>
  <c r="M133" i="7"/>
  <c r="N133" i="7"/>
  <c r="O133" i="7"/>
  <c r="P133" i="7"/>
  <c r="Q133" i="7"/>
  <c r="L134" i="7"/>
  <c r="M134" i="7"/>
  <c r="N134" i="7"/>
  <c r="O134" i="7"/>
  <c r="P134" i="7"/>
  <c r="Q134" i="7"/>
  <c r="M135" i="7"/>
  <c r="N135" i="7"/>
  <c r="O135" i="7"/>
  <c r="P135" i="7"/>
  <c r="Q135" i="7"/>
  <c r="L136" i="7"/>
  <c r="M136" i="7"/>
  <c r="N136" i="7"/>
  <c r="O136" i="7"/>
  <c r="P136" i="7"/>
  <c r="Q136" i="7"/>
  <c r="M137" i="7"/>
  <c r="N137" i="7"/>
  <c r="O137" i="7"/>
  <c r="P137" i="7"/>
  <c r="Q137" i="7"/>
  <c r="L138" i="7"/>
  <c r="M138" i="7"/>
  <c r="N138" i="7"/>
  <c r="O138" i="7"/>
  <c r="P138" i="7"/>
  <c r="Q138" i="7"/>
  <c r="M139" i="7"/>
  <c r="N139" i="7"/>
  <c r="O139" i="7"/>
  <c r="P139" i="7"/>
  <c r="Q139" i="7"/>
  <c r="L140" i="7"/>
  <c r="M140" i="7"/>
  <c r="N140" i="7"/>
  <c r="O140" i="7"/>
  <c r="P140" i="7"/>
  <c r="Q140" i="7"/>
  <c r="M141" i="7"/>
  <c r="N141" i="7"/>
  <c r="O141" i="7"/>
  <c r="P141" i="7"/>
  <c r="Q141" i="7"/>
  <c r="L142" i="7"/>
  <c r="M142" i="7"/>
  <c r="N142" i="7"/>
  <c r="O142" i="7"/>
  <c r="P142" i="7"/>
  <c r="Q142" i="7"/>
  <c r="M143" i="7"/>
  <c r="N143" i="7"/>
  <c r="O143" i="7"/>
  <c r="P143" i="7"/>
  <c r="Q143" i="7"/>
  <c r="L144" i="7"/>
  <c r="M144" i="7"/>
  <c r="N144" i="7"/>
  <c r="O144" i="7"/>
  <c r="P144" i="7"/>
  <c r="Q144" i="7"/>
  <c r="M145" i="7"/>
  <c r="N145" i="7"/>
  <c r="O145" i="7"/>
  <c r="P145" i="7"/>
  <c r="Q145" i="7"/>
  <c r="L146" i="7"/>
  <c r="M146" i="7"/>
  <c r="N146" i="7"/>
  <c r="O146" i="7"/>
  <c r="P146" i="7"/>
  <c r="Q146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M113" i="7"/>
  <c r="N113" i="7"/>
  <c r="O113" i="7"/>
  <c r="P113" i="7"/>
  <c r="Q113" i="7"/>
  <c r="M114" i="7"/>
  <c r="N114" i="7"/>
  <c r="O114" i="7"/>
  <c r="P114" i="7"/>
  <c r="Q114" i="7"/>
  <c r="M115" i="7"/>
  <c r="N115" i="7"/>
  <c r="O115" i="7"/>
  <c r="P115" i="7"/>
  <c r="Q115" i="7"/>
  <c r="M116" i="7"/>
  <c r="N116" i="7"/>
  <c r="O116" i="7"/>
  <c r="P116" i="7"/>
  <c r="Q116" i="7"/>
  <c r="M117" i="7"/>
  <c r="N117" i="7"/>
  <c r="O117" i="7"/>
  <c r="P117" i="7"/>
  <c r="Q117" i="7"/>
  <c r="M118" i="7"/>
  <c r="N118" i="7"/>
  <c r="O118" i="7"/>
  <c r="P118" i="7"/>
  <c r="Q118" i="7"/>
  <c r="M119" i="7"/>
  <c r="N119" i="7"/>
  <c r="O119" i="7"/>
  <c r="P119" i="7"/>
  <c r="Q119" i="7"/>
  <c r="M120" i="7"/>
  <c r="N120" i="7"/>
  <c r="O120" i="7"/>
  <c r="P120" i="7"/>
  <c r="Q120" i="7"/>
  <c r="M121" i="7"/>
  <c r="N121" i="7"/>
  <c r="O121" i="7"/>
  <c r="P121" i="7"/>
  <c r="Q121" i="7"/>
  <c r="M122" i="7"/>
  <c r="N122" i="7"/>
  <c r="O122" i="7"/>
  <c r="P122" i="7"/>
  <c r="Q122" i="7"/>
  <c r="M123" i="7"/>
  <c r="N123" i="7"/>
  <c r="O123" i="7"/>
  <c r="P123" i="7"/>
  <c r="Q123" i="7"/>
  <c r="M124" i="7"/>
  <c r="N124" i="7"/>
  <c r="O124" i="7"/>
  <c r="P124" i="7"/>
  <c r="Q124" i="7"/>
  <c r="M125" i="7"/>
  <c r="N125" i="7"/>
  <c r="O125" i="7"/>
  <c r="P125" i="7"/>
  <c r="Q125" i="7"/>
  <c r="M126" i="7"/>
  <c r="N126" i="7"/>
  <c r="O126" i="7"/>
  <c r="P126" i="7"/>
  <c r="Q126" i="7"/>
  <c r="M127" i="7"/>
  <c r="N127" i="7"/>
  <c r="O127" i="7"/>
  <c r="P127" i="7"/>
  <c r="Q127" i="7"/>
  <c r="M128" i="7"/>
  <c r="N128" i="7"/>
  <c r="O128" i="7"/>
  <c r="P128" i="7"/>
  <c r="Q128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L72" i="7"/>
  <c r="M72" i="7"/>
  <c r="N72" i="7"/>
  <c r="O72" i="7"/>
  <c r="P72" i="7"/>
  <c r="Q72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L127" i="7" l="1"/>
  <c r="L125" i="7"/>
  <c r="L123" i="7"/>
  <c r="L121" i="7"/>
  <c r="L119" i="7"/>
  <c r="L117" i="7"/>
  <c r="L115" i="7"/>
  <c r="L113" i="7"/>
  <c r="L145" i="7"/>
  <c r="L143" i="7"/>
  <c r="L141" i="7"/>
  <c r="L139" i="7"/>
  <c r="L137" i="7"/>
  <c r="L135" i="7"/>
  <c r="L133" i="7"/>
  <c r="L147" i="7"/>
  <c r="L128" i="7"/>
  <c r="L126" i="7"/>
  <c r="L124" i="7"/>
  <c r="L122" i="7"/>
  <c r="L120" i="7"/>
  <c r="L118" i="7"/>
  <c r="L116" i="7"/>
  <c r="H143" i="7" l="1"/>
  <c r="K120" i="7"/>
  <c r="T228" i="7"/>
  <c r="K228" i="7"/>
  <c r="I228" i="7"/>
  <c r="H182" i="7"/>
  <c r="H61" i="7"/>
  <c r="S141" i="7"/>
  <c r="R141" i="7"/>
  <c r="K141" i="7"/>
  <c r="E141" i="7"/>
  <c r="H141" i="7" s="1"/>
  <c r="D141" i="7"/>
  <c r="H57" i="7"/>
  <c r="S147" i="7"/>
  <c r="R147" i="7"/>
  <c r="K147" i="7"/>
  <c r="G147" i="7"/>
  <c r="E147" i="7"/>
  <c r="H147" i="7" s="1"/>
  <c r="D147" i="7"/>
  <c r="H106" i="7"/>
  <c r="H66" i="7" l="1"/>
  <c r="T37" i="7"/>
  <c r="H38" i="7" l="1"/>
  <c r="S225" i="7" l="1"/>
  <c r="R225" i="7"/>
  <c r="H152" i="7"/>
  <c r="S223" i="7"/>
  <c r="R223" i="7"/>
  <c r="K223" i="7"/>
  <c r="G223" i="7"/>
  <c r="E223" i="7"/>
  <c r="H227" i="7"/>
  <c r="H226" i="7"/>
  <c r="H225" i="7"/>
  <c r="H224" i="7"/>
  <c r="D223" i="7"/>
  <c r="T42" i="7"/>
  <c r="K113" i="7"/>
  <c r="G113" i="7"/>
  <c r="E113" i="7"/>
  <c r="D113" i="7"/>
  <c r="S135" i="7"/>
  <c r="R135" i="7"/>
  <c r="K135" i="7"/>
  <c r="G135" i="7"/>
  <c r="E135" i="7"/>
  <c r="D135" i="7"/>
  <c r="S131" i="7"/>
  <c r="R131" i="7"/>
  <c r="K131" i="7"/>
  <c r="G131" i="7"/>
  <c r="E131" i="7"/>
  <c r="D131" i="7"/>
  <c r="S132" i="7"/>
  <c r="R132" i="7"/>
  <c r="K132" i="7"/>
  <c r="G132" i="7"/>
  <c r="E132" i="7"/>
  <c r="D132" i="7"/>
  <c r="S137" i="7"/>
  <c r="R137" i="7"/>
  <c r="K137" i="7"/>
  <c r="G137" i="7"/>
  <c r="E137" i="7"/>
  <c r="D137" i="7"/>
  <c r="S128" i="7"/>
  <c r="R128" i="7"/>
  <c r="K128" i="7"/>
  <c r="G128" i="7"/>
  <c r="E128" i="7"/>
  <c r="D128" i="7"/>
  <c r="T166" i="7"/>
  <c r="K123" i="7"/>
  <c r="G123" i="7"/>
  <c r="E123" i="7"/>
  <c r="D123" i="7"/>
  <c r="S120" i="7"/>
  <c r="R120" i="7"/>
  <c r="G120" i="7"/>
  <c r="E120" i="7"/>
  <c r="D120" i="7"/>
  <c r="K140" i="7"/>
  <c r="G140" i="7"/>
  <c r="F140" i="7"/>
  <c r="E140" i="7"/>
  <c r="D140" i="7"/>
  <c r="S146" i="7"/>
  <c r="R146" i="7"/>
  <c r="K146" i="7"/>
  <c r="G146" i="7"/>
  <c r="F146" i="7"/>
  <c r="E146" i="7"/>
  <c r="D146" i="7"/>
  <c r="S124" i="7"/>
  <c r="R124" i="7"/>
  <c r="K124" i="7"/>
  <c r="G124" i="7"/>
  <c r="D124" i="7"/>
  <c r="D83" i="7"/>
  <c r="S116" i="7"/>
  <c r="R116" i="7"/>
  <c r="K116" i="7"/>
  <c r="G116" i="7"/>
  <c r="E116" i="7"/>
  <c r="D116" i="7"/>
  <c r="K112" i="7"/>
  <c r="G112" i="7"/>
  <c r="F112" i="7"/>
  <c r="E112" i="7"/>
  <c r="D112" i="7"/>
  <c r="R114" i="7"/>
  <c r="S114" i="7"/>
  <c r="K114" i="7"/>
  <c r="G114" i="7"/>
  <c r="F114" i="7"/>
  <c r="E114" i="7"/>
  <c r="D114" i="7"/>
  <c r="S139" i="7"/>
  <c r="R139" i="7"/>
  <c r="K139" i="7"/>
  <c r="G139" i="7"/>
  <c r="F139" i="7"/>
  <c r="E139" i="7"/>
  <c r="D139" i="7"/>
  <c r="H223" i="7" l="1"/>
  <c r="S126" i="7"/>
  <c r="R126" i="7"/>
  <c r="K126" i="7"/>
  <c r="G126" i="7"/>
  <c r="E126" i="7"/>
  <c r="D126" i="7"/>
  <c r="S144" i="7" l="1"/>
  <c r="R144" i="7"/>
  <c r="K144" i="7"/>
  <c r="G144" i="7"/>
  <c r="E144" i="7"/>
  <c r="D144" i="7"/>
  <c r="S117" i="7" l="1"/>
  <c r="K117" i="7"/>
  <c r="G117" i="7"/>
  <c r="E117" i="7"/>
  <c r="D117" i="7"/>
  <c r="S115" i="7" l="1"/>
  <c r="R115" i="7"/>
  <c r="K115" i="7"/>
  <c r="G115" i="7"/>
  <c r="E115" i="7"/>
  <c r="D115" i="7"/>
  <c r="S145" i="7" l="1"/>
  <c r="R145" i="7"/>
  <c r="K145" i="7"/>
  <c r="G145" i="7"/>
  <c r="E145" i="7"/>
  <c r="D145" i="7"/>
  <c r="K138" i="7" l="1"/>
  <c r="G138" i="7"/>
  <c r="E138" i="7"/>
  <c r="D138" i="7"/>
  <c r="S142" i="7"/>
  <c r="R142" i="7"/>
  <c r="K142" i="7"/>
  <c r="G142" i="7"/>
  <c r="E142" i="7"/>
  <c r="D142" i="7"/>
  <c r="S125" i="7" l="1"/>
  <c r="R125" i="7"/>
  <c r="K125" i="7"/>
  <c r="G125" i="7"/>
  <c r="E125" i="7"/>
  <c r="D125" i="7"/>
  <c r="H10" i="7" l="1"/>
  <c r="S118" i="7"/>
  <c r="R118" i="7"/>
  <c r="K118" i="7"/>
  <c r="G118" i="7"/>
  <c r="E118" i="7"/>
  <c r="D118" i="7"/>
  <c r="H90" i="7"/>
  <c r="H5" i="7"/>
  <c r="H168" i="7" l="1"/>
  <c r="D136" i="7"/>
  <c r="R136" i="7" l="1"/>
  <c r="K136" i="7"/>
  <c r="G136" i="7"/>
  <c r="E136" i="7"/>
  <c r="H45" i="7"/>
  <c r="H87" i="7"/>
  <c r="H172" i="7"/>
  <c r="S122" i="7" l="1"/>
  <c r="R122" i="7"/>
  <c r="S121" i="7"/>
  <c r="R121" i="7"/>
  <c r="H171" i="7"/>
  <c r="K119" i="7"/>
  <c r="E119" i="7"/>
  <c r="D119" i="7"/>
  <c r="S133" i="7"/>
  <c r="R133" i="7"/>
  <c r="G133" i="7"/>
  <c r="E133" i="7"/>
  <c r="D133" i="7"/>
  <c r="H71" i="7"/>
  <c r="H29" i="7"/>
  <c r="H161" i="7"/>
  <c r="S112" i="7"/>
  <c r="R112" i="7"/>
  <c r="H133" i="7" l="1"/>
  <c r="H145" i="7" l="1"/>
  <c r="S138" i="7"/>
  <c r="R138" i="7"/>
  <c r="H44" i="7" l="1"/>
  <c r="S123" i="7"/>
  <c r="R123" i="7"/>
  <c r="H123" i="7"/>
  <c r="H18" i="7" l="1"/>
  <c r="H218" i="7" l="1"/>
  <c r="H216" i="7"/>
  <c r="H217" i="7"/>
  <c r="H213" i="7"/>
  <c r="H20" i="7" l="1"/>
  <c r="S140" i="7" l="1"/>
  <c r="R140" i="7"/>
  <c r="R117" i="7" l="1"/>
  <c r="G119" i="7" l="1"/>
  <c r="K133" i="7"/>
  <c r="S113" i="7" l="1"/>
  <c r="R113" i="7"/>
  <c r="S136" i="7"/>
  <c r="F138" i="7" l="1"/>
  <c r="H51" i="7" l="1"/>
  <c r="M191" i="7" l="1"/>
  <c r="N191" i="7"/>
  <c r="P191" i="7"/>
  <c r="H202" i="7" l="1"/>
  <c r="H115" i="7"/>
  <c r="H33" i="7" l="1"/>
  <c r="H31" i="7" l="1"/>
  <c r="H136" i="7" l="1"/>
  <c r="H48" i="7" l="1"/>
  <c r="H43" i="7" l="1"/>
  <c r="H151" i="7" l="1"/>
  <c r="H96" i="7" l="1"/>
  <c r="H104" i="7" l="1"/>
  <c r="T157" i="7" l="1"/>
  <c r="B10" i="6" s="1"/>
  <c r="K157" i="7"/>
  <c r="P201" i="7"/>
  <c r="N201" i="7"/>
  <c r="M201" i="7"/>
  <c r="I157" i="7"/>
  <c r="B6" i="3" l="1"/>
  <c r="M157" i="7"/>
  <c r="H205" i="7"/>
  <c r="H15" i="7" l="1"/>
  <c r="H134" i="7" l="1"/>
  <c r="H81" i="7"/>
  <c r="H176" i="7"/>
  <c r="H22" i="7"/>
  <c r="H162" i="7" l="1"/>
  <c r="H163" i="7"/>
  <c r="H165" i="7"/>
  <c r="H166" i="7"/>
  <c r="H167" i="7"/>
  <c r="H169" i="7"/>
  <c r="H170" i="7"/>
  <c r="H173" i="7"/>
  <c r="H175" i="7"/>
  <c r="H174" i="7"/>
  <c r="H177" i="7"/>
  <c r="H178" i="7"/>
  <c r="H179" i="7"/>
  <c r="H180" i="7"/>
  <c r="H181" i="7"/>
  <c r="H183" i="7"/>
  <c r="H184" i="7"/>
  <c r="H185" i="7"/>
  <c r="H186" i="7"/>
  <c r="H187" i="7"/>
  <c r="H160" i="7"/>
  <c r="O173" i="7" l="1"/>
  <c r="Q173" i="7"/>
  <c r="P151" i="7"/>
  <c r="N151" i="7"/>
  <c r="M151" i="7"/>
  <c r="H203" i="7" l="1"/>
  <c r="H204" i="7"/>
  <c r="H206" i="7"/>
  <c r="H207" i="7"/>
  <c r="H208" i="7"/>
  <c r="H210" i="7"/>
  <c r="H212" i="7"/>
  <c r="H201" i="7" l="1"/>
  <c r="H198" i="7"/>
  <c r="H197" i="7"/>
  <c r="H191" i="7"/>
  <c r="H192" i="7"/>
  <c r="H153" i="7"/>
  <c r="H154" i="7"/>
  <c r="H155" i="7"/>
  <c r="H156" i="7"/>
  <c r="H132" i="7"/>
  <c r="H135" i="7"/>
  <c r="H137" i="7"/>
  <c r="H138" i="7"/>
  <c r="H139" i="7"/>
  <c r="H140" i="7"/>
  <c r="H142" i="7"/>
  <c r="H144" i="7"/>
  <c r="H146" i="7"/>
  <c r="H131" i="7"/>
  <c r="H113" i="7"/>
  <c r="H114" i="7"/>
  <c r="H116" i="7"/>
  <c r="H117" i="7"/>
  <c r="H118" i="7"/>
  <c r="H120" i="7"/>
  <c r="H121" i="7"/>
  <c r="H122" i="7"/>
  <c r="H124" i="7"/>
  <c r="H125" i="7"/>
  <c r="H126" i="7"/>
  <c r="H127" i="7"/>
  <c r="H128" i="7"/>
  <c r="O191" i="7" l="1"/>
  <c r="Q191" i="7"/>
  <c r="Q201" i="7"/>
  <c r="O201" i="7"/>
  <c r="Q151" i="7"/>
  <c r="O151" i="7"/>
  <c r="H72" i="7"/>
  <c r="H73" i="7"/>
  <c r="H74" i="7"/>
  <c r="H75" i="7"/>
  <c r="H76" i="7"/>
  <c r="H77" i="7"/>
  <c r="H78" i="7"/>
  <c r="H79" i="7"/>
  <c r="H80" i="7"/>
  <c r="H82" i="7"/>
  <c r="H83" i="7"/>
  <c r="H84" i="7"/>
  <c r="H85" i="7"/>
  <c r="H86" i="7"/>
  <c r="H88" i="7"/>
  <c r="H89" i="7"/>
  <c r="H91" i="7"/>
  <c r="H92" i="7"/>
  <c r="H93" i="7"/>
  <c r="H94" i="7"/>
  <c r="H95" i="7"/>
  <c r="H97" i="7"/>
  <c r="H98" i="7"/>
  <c r="H99" i="7"/>
  <c r="H100" i="7"/>
  <c r="H101" i="7"/>
  <c r="H102" i="7"/>
  <c r="H103" i="7"/>
  <c r="H107" i="7"/>
  <c r="H8" i="7"/>
  <c r="H9" i="7"/>
  <c r="H11" i="7"/>
  <c r="H12" i="7"/>
  <c r="H13" i="7"/>
  <c r="H14" i="7"/>
  <c r="H16" i="7"/>
  <c r="H17" i="7"/>
  <c r="H19" i="7"/>
  <c r="H21" i="7"/>
  <c r="H23" i="7"/>
  <c r="H7" i="7"/>
  <c r="H28" i="7" l="1"/>
  <c r="H30" i="7"/>
  <c r="H32" i="7"/>
  <c r="H34" i="7"/>
  <c r="H35" i="7"/>
  <c r="H36" i="7"/>
  <c r="H37" i="7"/>
  <c r="H39" i="7"/>
  <c r="H40" i="7"/>
  <c r="H41" i="7"/>
  <c r="H42" i="7"/>
  <c r="H46" i="7"/>
  <c r="H47" i="7"/>
  <c r="H49" i="7"/>
  <c r="H50" i="7"/>
  <c r="H52" i="7"/>
  <c r="H53" i="7"/>
  <c r="H54" i="7"/>
  <c r="H55" i="7"/>
  <c r="H56" i="7"/>
  <c r="H58" i="7"/>
  <c r="H59" i="7"/>
  <c r="H60" i="7"/>
  <c r="H62" i="7"/>
  <c r="H63" i="7"/>
  <c r="H64" i="7"/>
  <c r="H65" i="7"/>
  <c r="H67" i="7"/>
  <c r="T219" i="7" l="1"/>
  <c r="B13" i="6" s="1"/>
  <c r="K219" i="7"/>
  <c r="I219" i="7"/>
  <c r="Q197" i="7"/>
  <c r="P197" i="7"/>
  <c r="O197" i="7"/>
  <c r="N197" i="7"/>
  <c r="M197" i="7"/>
  <c r="T193" i="7"/>
  <c r="B12" i="6" s="1"/>
  <c r="K193" i="7"/>
  <c r="I193" i="7"/>
  <c r="K188" i="7"/>
  <c r="I188" i="7"/>
  <c r="T188" i="7"/>
  <c r="B11" i="6" s="1"/>
  <c r="P160" i="7"/>
  <c r="N160" i="7"/>
  <c r="M160" i="7"/>
  <c r="Q160" i="7"/>
  <c r="L151" i="7"/>
  <c r="B9" i="6"/>
  <c r="P112" i="7"/>
  <c r="N112" i="7"/>
  <c r="M112" i="7"/>
  <c r="Q112" i="7"/>
  <c r="T108" i="7"/>
  <c r="B8" i="6" s="1"/>
  <c r="K108" i="7"/>
  <c r="I108" i="7"/>
  <c r="P71" i="7"/>
  <c r="N71" i="7"/>
  <c r="M71" i="7"/>
  <c r="T68" i="7"/>
  <c r="B7" i="6" s="1"/>
  <c r="K68" i="7"/>
  <c r="I68" i="7"/>
  <c r="P27" i="7"/>
  <c r="N27" i="7"/>
  <c r="M27" i="7"/>
  <c r="H27" i="7"/>
  <c r="Q27" i="7" s="1"/>
  <c r="T24" i="7"/>
  <c r="B6" i="6" s="1"/>
  <c r="K24" i="7"/>
  <c r="I24" i="7"/>
  <c r="P5" i="7"/>
  <c r="N5" i="7"/>
  <c r="M5" i="7"/>
  <c r="Q5" i="7"/>
  <c r="J223" i="7" l="1"/>
  <c r="J216" i="7"/>
  <c r="B2" i="3"/>
  <c r="L191" i="7"/>
  <c r="J191" i="7"/>
  <c r="B4" i="3"/>
  <c r="B7" i="3"/>
  <c r="B9" i="3"/>
  <c r="B5" i="3"/>
  <c r="B3" i="3"/>
  <c r="L201" i="7"/>
  <c r="J201" i="7"/>
  <c r="M24" i="7"/>
  <c r="M68" i="7"/>
  <c r="M108" i="7"/>
  <c r="M188" i="7"/>
  <c r="J151" i="7"/>
  <c r="Q131" i="7"/>
  <c r="N131" i="7"/>
  <c r="J71" i="7"/>
  <c r="L197" i="7"/>
  <c r="O112" i="7"/>
  <c r="J160" i="7"/>
  <c r="L27" i="7"/>
  <c r="J197" i="7"/>
  <c r="M219" i="7"/>
  <c r="T220" i="7"/>
  <c r="T229" i="7" s="1"/>
  <c r="L71" i="7"/>
  <c r="M131" i="7"/>
  <c r="P131" i="7"/>
  <c r="O160" i="7"/>
  <c r="L5" i="7"/>
  <c r="Q71" i="7"/>
  <c r="O71" i="7"/>
  <c r="J5" i="7"/>
  <c r="O5" i="7"/>
  <c r="J27" i="7"/>
  <c r="O27" i="7"/>
  <c r="L160" i="7"/>
  <c r="J131" i="7" l="1"/>
  <c r="B8" i="3"/>
  <c r="M148" i="7"/>
  <c r="O131" i="7"/>
  <c r="K220" i="7"/>
  <c r="J112" i="7"/>
  <c r="L112" i="7"/>
  <c r="L131" i="7"/>
  <c r="I220" i="7"/>
  <c r="K229" i="7" l="1"/>
  <c r="I229" i="7"/>
  <c r="J108" i="7" l="1"/>
  <c r="J68" i="7"/>
  <c r="J24" i="7"/>
</calcChain>
</file>

<file path=xl/sharedStrings.xml><?xml version="1.0" encoding="utf-8"?>
<sst xmlns="http://schemas.openxmlformats.org/spreadsheetml/2006/main" count="462" uniqueCount="309">
  <si>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</si>
  <si>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</si>
  <si>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</si>
  <si>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</si>
  <si>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</si>
  <si>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</si>
  <si>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</si>
  <si>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</si>
  <si>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</si>
  <si>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</si>
  <si>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</si>
  <si>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</si>
  <si>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</si>
  <si>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</si>
  <si>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</si>
  <si>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</si>
  <si>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</si>
  <si>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</si>
  <si>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</si>
  <si>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</si>
  <si>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</si>
  <si>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</si>
  <si>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</si>
  <si>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</si>
  <si>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</si>
  <si>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</si>
  <si>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</si>
  <si>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</si>
  <si>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</si>
  <si>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</si>
  <si>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</si>
  <si>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</si>
  <si>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</si>
  <si>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</si>
  <si>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</si>
  <si>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</si>
  <si>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</si>
  <si>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</si>
  <si>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</si>
  <si>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</si>
  <si>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</si>
  <si>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</si>
  <si>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</si>
  <si>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</si>
  <si>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</si>
  <si>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</si>
  <si>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</si>
  <si>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</si>
  <si>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</si>
  <si>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</si>
  <si>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</si>
  <si>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</si>
  <si>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</si>
  <si>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</si>
  <si>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</si>
  <si>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</si>
  <si>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</si>
  <si>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</si>
  <si>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</si>
  <si>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</si>
  <si>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</si>
  <si>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</si>
  <si>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</si>
  <si>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</si>
  <si>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</si>
  <si>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</si>
  <si>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</si>
  <si>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</si>
  <si>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</si>
  <si>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</si>
  <si>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</si>
  <si>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</si>
  <si>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</si>
  <si>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</si>
  <si>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</si>
  <si>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</si>
  <si>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</si>
  <si>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</si>
  <si>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</si>
  <si>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</si>
  <si>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</si>
  <si>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</si>
  <si>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</si>
  <si>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</si>
  <si>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</si>
  <si>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</si>
  <si>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</si>
  <si>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</si>
  <si>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</si>
  <si>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</si>
  <si>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</si>
  <si>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</si>
  <si>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</si>
  <si>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</si>
  <si>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</si>
  <si>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</si>
  <si>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</si>
  <si>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</si>
  <si>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</si>
  <si>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</si>
  <si>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</si>
  <si>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</si>
  <si>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</si>
  <si>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</si>
  <si>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</si>
  <si>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</si>
  <si>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</si>
  <si>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</si>
  <si>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</si>
  <si>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</si>
  <si>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</si>
  <si>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</si>
  <si>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</si>
  <si>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</si>
  <si>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</si>
  <si>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</si>
  <si>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</si>
  <si>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</si>
  <si>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</si>
  <si>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</si>
  <si>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</si>
  <si>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</si>
  <si>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</si>
  <si>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</si>
  <si>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</si>
  <si>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</si>
  <si>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</si>
  <si>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</si>
  <si>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</si>
  <si>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</si>
  <si>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</si>
  <si>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</si>
  <si>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</si>
  <si>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</si>
  <si>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</si>
  <si>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</si>
  <si>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</si>
  <si>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</si>
  <si>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</si>
  <si>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</si>
  <si>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</si>
  <si>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</si>
  <si>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</si>
  <si>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</si>
  <si>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</si>
  <si>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</si>
  <si>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</si>
  <si>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</si>
  <si>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</si>
  <si>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</si>
  <si>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</si>
  <si>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</si>
  <si>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</si>
  <si>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</si>
  <si>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</si>
  <si>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</si>
  <si>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</si>
  <si>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</si>
  <si>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</si>
  <si>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</si>
  <si>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</si>
  <si>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</si>
  <si>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</si>
  <si>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</si>
  <si>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</si>
  <si>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</si>
  <si>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</si>
  <si>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</si>
  <si>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</si>
  <si>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</si>
  <si>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</si>
  <si>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</si>
  <si>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</si>
  <si>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</si>
  <si>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</si>
  <si>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</si>
  <si>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</si>
  <si>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</si>
  <si>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</si>
  <si>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</si>
  <si>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</si>
  <si>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</si>
  <si>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</si>
  <si>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</si>
  <si>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</si>
  <si>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</si>
  <si>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</si>
  <si>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</si>
  <si>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</si>
  <si>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</si>
  <si>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</si>
  <si>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</si>
  <si>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</si>
  <si>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</si>
  <si>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</si>
  <si>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</si>
  <si>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</si>
  <si>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</si>
  <si>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</si>
  <si>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</si>
  <si>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</si>
  <si>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</si>
  <si>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</si>
  <si>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</si>
  <si>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</si>
  <si>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</si>
  <si>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</si>
  <si>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</si>
  <si>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</si>
  <si>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</si>
  <si>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</si>
  <si>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</si>
  <si>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</si>
  <si>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</si>
  <si>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</si>
  <si>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</si>
  <si>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</si>
  <si>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</si>
  <si>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</si>
  <si>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</si>
  <si>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</si>
  <si>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</si>
  <si>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</si>
  <si>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</si>
  <si>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</si>
  <si>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</si>
  <si>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</si>
  <si>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</si>
  <si>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</si>
  <si>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</si>
  <si>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</si>
  <si>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</si>
  <si>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</si>
  <si>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</si>
  <si>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</si>
  <si>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</si>
  <si>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</si>
  <si>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</si>
  <si>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</si>
  <si>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</si>
  <si>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</si>
  <si>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</si>
  <si>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</si>
  <si>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</si>
  <si>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</si>
  <si>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</si>
  <si>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</si>
  <si>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</si>
  <si>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</si>
  <si>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</si>
  <si>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</si>
  <si>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</si>
  <si>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</si>
  <si>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</si>
  <si>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</si>
  <si>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</si>
  <si>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</si>
  <si>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</si>
  <si>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</si>
  <si>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</si>
  <si>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</si>
  <si>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</si>
  <si>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</si>
  <si>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</si>
  <si>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</si>
  <si>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</si>
  <si>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</si>
  <si>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</si>
  <si>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</si>
  <si>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</si>
  <si>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</si>
  <si>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</si>
  <si>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</si>
  <si>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</si>
  <si>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</si>
  <si>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</si>
  <si>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Balanced Fund</t>
  </si>
  <si>
    <t>One17 Halal Fund</t>
  </si>
  <si>
    <t>One17 Capital Limited</t>
  </si>
  <si>
    <t>ARM Halal Balanced Fund</t>
  </si>
  <si>
    <t>Vetiva Fund Managers</t>
  </si>
  <si>
    <t>Vetiva USD Fixed Income Fund</t>
  </si>
  <si>
    <t>MONTHLY UPDATE ON REGISTERED MUTUAL FUNDS AS AT 30TH JUNE, 2025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</si>
  <si>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30th June, 2025 = N1529.7105</t>
    </r>
  </si>
  <si>
    <t>NET ASSET VALUE (N) PREVIOUS - MAY</t>
  </si>
  <si>
    <t>MOFI Real Estate Investment Fun</t>
  </si>
  <si>
    <t>ARM Specialized Fund</t>
  </si>
  <si>
    <t>Clean Energy Fund</t>
  </si>
  <si>
    <t>FBN Blended Dollar Fund</t>
  </si>
  <si>
    <t>FCMB-TLG Private Debt Fund</t>
  </si>
  <si>
    <t>United Capital Children Investment Fund</t>
  </si>
  <si>
    <t>First Asset Management Limited</t>
  </si>
  <si>
    <t>FCMB Asset Management Ltd.</t>
  </si>
  <si>
    <t>Coronation Money Market Fund</t>
  </si>
  <si>
    <t>Parthian Money Market Fund</t>
  </si>
  <si>
    <t>Parthian Capital Ltd.</t>
  </si>
  <si>
    <t>STL Money Market Fund</t>
  </si>
  <si>
    <t>STL Asset Mgt. Limited</t>
  </si>
  <si>
    <t>Zedcrest Money Market Fund</t>
  </si>
  <si>
    <t>Zedcrest Investment Managers Limited</t>
  </si>
  <si>
    <t>Zedcrest Fixed Income Fund</t>
  </si>
  <si>
    <t>Parthian Dollar Fixed Income Fund</t>
  </si>
  <si>
    <t>STL Dollar Fund</t>
  </si>
  <si>
    <t>Zedcrest Dollar Fund</t>
  </si>
  <si>
    <t>STL Balanced Fund</t>
  </si>
  <si>
    <t>SPECIALISED FUNDS</t>
  </si>
  <si>
    <t>Apr 2025</t>
  </si>
  <si>
    <t>May 2025</t>
  </si>
  <si>
    <t>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</si>
</sst>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b/>
      <sz val="28"/>
      <color theme="0"/>
      <name val="Segoe UI Black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sz val="8"/>
      <color theme="1"/>
      <name val="Century Gothic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5">
    <xf numFmtId="0" fontId="0" fillId="0" borderId="0"/>
    <xf numFmtId="164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16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27" borderId="0" applyNumberFormat="0" applyBorder="0" applyAlignment="0" applyProtection="0"/>
    <xf numFmtId="17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37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8" fillId="2" borderId="2" xfId="1" applyFont="1" applyFill="1" applyBorder="1"/>
    <xf numFmtId="172" fontId="18" fillId="2" borderId="2" xfId="0" applyNumberFormat="1" applyFont="1" applyFill="1" applyBorder="1" applyAlignment="1">
      <alignment horizontal="right"/>
    </xf>
    <xf numFmtId="164" fontId="18" fillId="2" borderId="2" xfId="1" applyFont="1" applyFill="1" applyBorder="1" applyAlignment="1"/>
    <xf numFmtId="10" fontId="18" fillId="2" borderId="2" xfId="0" applyNumberFormat="1" applyFont="1" applyFill="1" applyBorder="1" applyAlignment="1">
      <alignment horizontal="center"/>
    </xf>
    <xf numFmtId="0" fontId="20" fillId="0" borderId="0" xfId="0" applyFont="1"/>
    <xf numFmtId="164" fontId="18" fillId="2" borderId="2" xfId="1" applyFont="1" applyFill="1" applyBorder="1" applyAlignment="1">
      <alignment horizontal="right"/>
    </xf>
    <xf numFmtId="164" fontId="18" fillId="0" borderId="2" xfId="1" applyFont="1" applyBorder="1"/>
    <xf numFmtId="164" fontId="18" fillId="0" borderId="2" xfId="1" applyFont="1" applyFill="1" applyBorder="1"/>
    <xf numFmtId="49" fontId="18" fillId="2" borderId="2" xfId="0" applyNumberFormat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center" vertical="center"/>
    </xf>
    <xf numFmtId="10" fontId="18" fillId="6" borderId="2" xfId="0" applyNumberFormat="1" applyFont="1" applyFill="1" applyBorder="1" applyAlignment="1">
      <alignment horizontal="center" vertical="center"/>
    </xf>
    <xf numFmtId="172" fontId="18" fillId="6" borderId="2" xfId="0" applyNumberFormat="1" applyFont="1" applyFill="1" applyBorder="1" applyAlignment="1">
      <alignment horizontal="right" vertical="center"/>
    </xf>
    <xf numFmtId="172" fontId="18" fillId="2" borderId="2" xfId="0" applyNumberFormat="1" applyFont="1" applyFill="1" applyBorder="1"/>
    <xf numFmtId="172" fontId="18" fillId="6" borderId="2" xfId="0" applyNumberFormat="1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wrapText="1"/>
    </xf>
    <xf numFmtId="172" fontId="19" fillId="2" borderId="2" xfId="0" applyNumberFormat="1" applyFont="1" applyFill="1" applyBorder="1"/>
    <xf numFmtId="164" fontId="18" fillId="2" borderId="2" xfId="1" applyFont="1" applyFill="1" applyBorder="1" applyAlignment="1">
      <alignment horizontal="right" vertical="top" wrapText="1"/>
    </xf>
    <xf numFmtId="164" fontId="18" fillId="2" borderId="2" xfId="1" applyFont="1" applyFill="1" applyBorder="1" applyAlignment="1">
      <alignment horizontal="center" vertical="top" wrapText="1"/>
    </xf>
    <xf numFmtId="164" fontId="18" fillId="2" borderId="2" xfId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center" vertical="top" wrapText="1"/>
    </xf>
    <xf numFmtId="171" fontId="18" fillId="0" borderId="2" xfId="0" applyNumberFormat="1" applyFont="1" applyBorder="1"/>
    <xf numFmtId="174" fontId="18" fillId="0" borderId="2" xfId="0" applyNumberFormat="1" applyFont="1" applyBorder="1"/>
    <xf numFmtId="164" fontId="7" fillId="5" borderId="2" xfId="1" applyFont="1" applyFill="1" applyBorder="1" applyAlignment="1">
      <alignment horizontal="center" vertical="top" wrapText="1"/>
    </xf>
    <xf numFmtId="172" fontId="19" fillId="2" borderId="2" xfId="0" applyNumberFormat="1" applyFont="1" applyFill="1" applyBorder="1" applyAlignment="1">
      <alignment horizontal="left"/>
    </xf>
    <xf numFmtId="10" fontId="19" fillId="2" borderId="2" xfId="0" applyNumberFormat="1" applyFont="1" applyFill="1" applyBorder="1" applyAlignment="1">
      <alignment horizontal="center"/>
    </xf>
    <xf numFmtId="172" fontId="19" fillId="6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/>
    <xf numFmtId="164" fontId="19" fillId="2" borderId="2" xfId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right" vertical="center"/>
    </xf>
    <xf numFmtId="173" fontId="18" fillId="2" borderId="2" xfId="0" applyNumberFormat="1" applyFont="1" applyFill="1" applyBorder="1"/>
    <xf numFmtId="0" fontId="21" fillId="9" borderId="0" xfId="0" applyFont="1" applyFill="1" applyAlignment="1">
      <alignment horizontal="left"/>
    </xf>
    <xf numFmtId="164" fontId="18" fillId="0" borderId="2" xfId="1" applyFont="1" applyBorder="1" applyAlignment="1"/>
    <xf numFmtId="164" fontId="18" fillId="7" borderId="2" xfId="1" applyFont="1" applyFill="1" applyBorder="1"/>
    <xf numFmtId="164" fontId="18" fillId="0" borderId="2" xfId="1" applyFont="1" applyFill="1" applyBorder="1" applyAlignment="1">
      <alignment horizontal="right"/>
    </xf>
    <xf numFmtId="164" fontId="24" fillId="2" borderId="0" xfId="1" applyFont="1" applyFill="1" applyBorder="1"/>
    <xf numFmtId="4" fontId="25" fillId="2" borderId="0" xfId="0" applyNumberFormat="1" applyFont="1" applyFill="1"/>
    <xf numFmtId="4" fontId="25" fillId="2" borderId="0" xfId="0" applyNumberFormat="1" applyFont="1" applyFill="1" applyAlignment="1">
      <alignment horizontal="right"/>
    </xf>
    <xf numFmtId="4" fontId="24" fillId="2" borderId="0" xfId="0" applyNumberFormat="1" applyFont="1" applyFill="1" applyAlignment="1">
      <alignment horizontal="right"/>
    </xf>
    <xf numFmtId="0" fontId="23" fillId="0" borderId="0" xfId="0" applyFont="1" applyAlignment="1">
      <alignment horizontal="right"/>
    </xf>
    <xf numFmtId="4" fontId="24" fillId="2" borderId="0" xfId="0" applyNumberFormat="1" applyFont="1" applyFill="1"/>
    <xf numFmtId="164" fontId="25" fillId="2" borderId="0" xfId="1" applyFont="1" applyFill="1" applyBorder="1" applyAlignment="1">
      <alignment horizontal="right" vertical="top" wrapText="1"/>
    </xf>
    <xf numFmtId="164" fontId="24" fillId="2" borderId="0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left"/>
    </xf>
    <xf numFmtId="164" fontId="18" fillId="0" borderId="2" xfId="1" applyFont="1" applyFill="1" applyBorder="1" applyAlignment="1" applyProtection="1"/>
    <xf numFmtId="0" fontId="26" fillId="0" borderId="0" xfId="0" applyFont="1"/>
    <xf numFmtId="0" fontId="31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0" fontId="32" fillId="0" borderId="1" xfId="0" applyFont="1" applyBorder="1" applyAlignment="1">
      <alignment horizontal="right"/>
    </xf>
    <xf numFmtId="171" fontId="26" fillId="0" borderId="0" xfId="200" applyNumberFormat="1" applyFont="1"/>
    <xf numFmtId="0" fontId="28" fillId="0" borderId="2" xfId="0" applyFont="1" applyBorder="1" applyAlignment="1">
      <alignment horizontal="right"/>
    </xf>
    <xf numFmtId="16" fontId="28" fillId="2" borderId="2" xfId="0" quotePrefix="1" applyNumberFormat="1" applyFont="1" applyFill="1" applyBorder="1" applyAlignment="1">
      <alignment horizontal="right"/>
    </xf>
    <xf numFmtId="164" fontId="29" fillId="2" borderId="2" xfId="1" applyFont="1" applyFill="1" applyBorder="1" applyAlignment="1">
      <alignment horizontal="right" vertical="top" wrapText="1"/>
    </xf>
    <xf numFmtId="164" fontId="29" fillId="2" borderId="2" xfId="1" applyFont="1" applyFill="1" applyBorder="1"/>
    <xf numFmtId="4" fontId="29" fillId="2" borderId="2" xfId="0" applyNumberFormat="1" applyFont="1" applyFill="1" applyBorder="1"/>
    <xf numFmtId="4" fontId="29" fillId="2" borderId="2" xfId="0" applyNumberFormat="1" applyFont="1" applyFill="1" applyBorder="1" applyAlignment="1">
      <alignment horizontal="right"/>
    </xf>
    <xf numFmtId="0" fontId="32" fillId="0" borderId="0" xfId="0" applyFont="1" applyAlignment="1">
      <alignment horizontal="right"/>
    </xf>
    <xf numFmtId="4" fontId="34" fillId="2" borderId="0" xfId="0" applyNumberFormat="1" applyFont="1" applyFill="1" applyAlignment="1">
      <alignment horizontal="right"/>
    </xf>
    <xf numFmtId="164" fontId="35" fillId="2" borderId="2" xfId="1" applyFont="1" applyFill="1" applyBorder="1"/>
    <xf numFmtId="164" fontId="35" fillId="2" borderId="2" xfId="1" applyFont="1" applyFill="1" applyBorder="1" applyAlignment="1"/>
    <xf numFmtId="164" fontId="35" fillId="0" borderId="2" xfId="1" applyFont="1" applyBorder="1"/>
    <xf numFmtId="0" fontId="36" fillId="9" borderId="0" xfId="0" applyFont="1" applyFill="1" applyAlignment="1">
      <alignment horizontal="right" vertical="center"/>
    </xf>
    <xf numFmtId="49" fontId="18" fillId="2" borderId="2" xfId="0" applyNumberFormat="1" applyFont="1" applyFill="1" applyBorder="1"/>
    <xf numFmtId="173" fontId="18" fillId="2" borderId="2" xfId="0" applyNumberFormat="1" applyFont="1" applyFill="1" applyBorder="1" applyAlignment="1">
      <alignment horizontal="right" wrapText="1"/>
    </xf>
    <xf numFmtId="4" fontId="18" fillId="2" borderId="2" xfId="0" applyNumberFormat="1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0" fontId="18" fillId="2" borderId="2" xfId="0" applyFont="1" applyFill="1" applyBorder="1" applyAlignment="1">
      <alignment horizontal="right" wrapText="1"/>
    </xf>
    <xf numFmtId="2" fontId="18" fillId="2" borderId="2" xfId="0" applyNumberFormat="1" applyFont="1" applyFill="1" applyBorder="1"/>
    <xf numFmtId="2" fontId="18" fillId="2" borderId="2" xfId="0" applyNumberFormat="1" applyFont="1" applyFill="1" applyBorder="1" applyAlignment="1">
      <alignment wrapText="1"/>
    </xf>
    <xf numFmtId="164" fontId="35" fillId="0" borderId="0" xfId="1" applyFont="1"/>
    <xf numFmtId="164" fontId="18" fillId="2" borderId="2" xfId="1" applyFont="1" applyFill="1" applyBorder="1" applyAlignment="1">
      <alignment horizontal="center" wrapText="1"/>
    </xf>
    <xf numFmtId="10" fontId="18" fillId="2" borderId="2" xfId="464" applyNumberFormat="1" applyFont="1" applyFill="1" applyBorder="1" applyAlignment="1">
      <alignment horizontal="center" wrapText="1"/>
    </xf>
    <xf numFmtId="0" fontId="18" fillId="2" borderId="2" xfId="0" applyFont="1" applyFill="1" applyBorder="1"/>
    <xf numFmtId="174" fontId="18" fillId="2" borderId="2" xfId="1" applyNumberFormat="1" applyFont="1" applyFill="1" applyBorder="1" applyAlignment="1">
      <alignment horizontal="center" wrapText="1"/>
    </xf>
    <xf numFmtId="164" fontId="18" fillId="2" borderId="2" xfId="1" applyFont="1" applyFill="1" applyBorder="1" applyAlignment="1">
      <alignment horizontal="left" vertical="top" wrapText="1"/>
    </xf>
    <xf numFmtId="49" fontId="18" fillId="2" borderId="2" xfId="0" applyNumberFormat="1" applyFont="1" applyFill="1" applyBorder="1" applyAlignment="1">
      <alignment vertical="top" wrapText="1"/>
    </xf>
    <xf numFmtId="49" fontId="18" fillId="0" borderId="2" xfId="0" applyNumberFormat="1" applyFont="1" applyBorder="1" applyAlignment="1">
      <alignment wrapText="1"/>
    </xf>
    <xf numFmtId="2" fontId="18" fillId="2" borderId="2" xfId="463" applyNumberFormat="1" applyFont="1" applyFill="1" applyBorder="1" applyAlignment="1">
      <alignment wrapText="1"/>
    </xf>
    <xf numFmtId="49" fontId="18" fillId="2" borderId="2" xfId="0" applyNumberFormat="1" applyFont="1" applyFill="1" applyBorder="1" applyAlignment="1">
      <alignment vertical="center" wrapText="1"/>
    </xf>
    <xf numFmtId="164" fontId="35" fillId="2" borderId="0" xfId="1" applyFont="1" applyFill="1"/>
    <xf numFmtId="0" fontId="18" fillId="2" borderId="0" xfId="0" applyFont="1" applyFill="1"/>
    <xf numFmtId="2" fontId="18" fillId="2" borderId="2" xfId="1" applyNumberFormat="1" applyFont="1" applyFill="1" applyBorder="1" applyAlignment="1">
      <alignment wrapText="1"/>
    </xf>
    <xf numFmtId="2" fontId="18" fillId="2" borderId="2" xfId="1" applyNumberFormat="1" applyFont="1" applyFill="1" applyBorder="1"/>
    <xf numFmtId="0" fontId="29" fillId="2" borderId="0" xfId="0" applyFont="1" applyFill="1" applyAlignment="1">
      <alignment horizontal="left"/>
    </xf>
    <xf numFmtId="173" fontId="18" fillId="2" borderId="2" xfId="0" applyNumberFormat="1" applyFont="1" applyFill="1" applyBorder="1" applyAlignment="1">
      <alignment horizontal="center" wrapText="1"/>
    </xf>
    <xf numFmtId="164" fontId="38" fillId="2" borderId="2" xfId="1" applyFont="1" applyFill="1" applyBorder="1"/>
    <xf numFmtId="49" fontId="7" fillId="2" borderId="4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164" fontId="7" fillId="2" borderId="4" xfId="1" applyFont="1" applyFill="1" applyBorder="1"/>
    <xf numFmtId="10" fontId="7" fillId="2" borderId="4" xfId="0" applyNumberFormat="1" applyFont="1" applyFill="1" applyBorder="1"/>
    <xf numFmtId="10" fontId="19" fillId="2" borderId="0" xfId="0" applyNumberFormat="1" applyFont="1" applyFill="1" applyBorder="1"/>
    <xf numFmtId="10" fontId="19" fillId="2" borderId="2" xfId="0" applyNumberFormat="1" applyFont="1" applyFill="1" applyBorder="1" applyAlignment="1">
      <alignment horizontal="center" vertical="center"/>
    </xf>
    <xf numFmtId="10" fontId="18" fillId="2" borderId="2" xfId="0" applyNumberFormat="1" applyFont="1" applyFill="1" applyBorder="1" applyAlignment="1">
      <alignment horizontal="center" vertical="center"/>
    </xf>
    <xf numFmtId="172" fontId="19" fillId="2" borderId="0" xfId="0" applyNumberFormat="1" applyFont="1" applyFill="1" applyBorder="1" applyAlignment="1">
      <alignment horizontal="right" vertical="center"/>
    </xf>
    <xf numFmtId="164" fontId="19" fillId="2" borderId="4" xfId="1" applyFont="1" applyFill="1" applyBorder="1"/>
    <xf numFmtId="2" fontId="18" fillId="2" borderId="2" xfId="1" applyNumberFormat="1" applyFont="1" applyFill="1" applyBorder="1" applyAlignment="1">
      <alignment horizontal="left" wrapText="1"/>
    </xf>
    <xf numFmtId="1" fontId="18" fillId="2" borderId="2" xfId="1" applyNumberFormat="1" applyFont="1" applyFill="1" applyBorder="1" applyAlignment="1">
      <alignment horizontal="right"/>
    </xf>
    <xf numFmtId="2" fontId="18" fillId="2" borderId="2" xfId="1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right"/>
    </xf>
    <xf numFmtId="49" fontId="27" fillId="4" borderId="2" xfId="0" applyNumberFormat="1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top" wrapText="1"/>
    </xf>
    <xf numFmtId="173" fontId="19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wrapText="1"/>
    </xf>
    <xf numFmtId="173" fontId="18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9" fontId="7" fillId="15" borderId="2" xfId="0" applyNumberFormat="1" applyFont="1" applyFill="1" applyBorder="1" applyAlignment="1">
      <alignment horizontal="right"/>
    </xf>
    <xf numFmtId="49" fontId="7" fillId="15" borderId="4" xfId="0" applyNumberFormat="1" applyFont="1" applyFill="1" applyBorder="1" applyAlignment="1">
      <alignment horizontal="right"/>
    </xf>
    <xf numFmtId="164" fontId="7" fillId="15" borderId="4" xfId="1" applyFont="1" applyFill="1" applyBorder="1"/>
    <xf numFmtId="10" fontId="7" fillId="15" borderId="4" xfId="0" applyNumberFormat="1" applyFont="1" applyFill="1" applyBorder="1"/>
    <xf numFmtId="10" fontId="19" fillId="15" borderId="4" xfId="0" applyNumberFormat="1" applyFont="1" applyFill="1" applyBorder="1"/>
    <xf numFmtId="10" fontId="19" fillId="15" borderId="2" xfId="0" applyNumberFormat="1" applyFont="1" applyFill="1" applyBorder="1" applyAlignment="1">
      <alignment horizontal="center" vertical="center"/>
    </xf>
    <xf numFmtId="10" fontId="18" fillId="15" borderId="2" xfId="0" applyNumberFormat="1" applyFont="1" applyFill="1" applyBorder="1" applyAlignment="1">
      <alignment horizontal="center" vertical="center"/>
    </xf>
    <xf numFmtId="172" fontId="19" fillId="15" borderId="4" xfId="0" applyNumberFormat="1" applyFont="1" applyFill="1" applyBorder="1" applyAlignment="1">
      <alignment horizontal="right" vertical="center"/>
    </xf>
    <xf numFmtId="164" fontId="19" fillId="15" borderId="4" xfId="1" applyFont="1" applyFill="1" applyBorder="1"/>
    <xf numFmtId="164" fontId="40" fillId="0" borderId="0" xfId="1" applyFont="1"/>
    <xf numFmtId="43" fontId="4" fillId="0" borderId="0" xfId="200" applyFont="1"/>
    <xf numFmtId="4" fontId="24" fillId="2" borderId="2" xfId="0" applyNumberFormat="1" applyFont="1" applyFill="1" applyBorder="1"/>
    <xf numFmtId="4" fontId="24" fillId="2" borderId="2" xfId="0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4" fontId="25" fillId="2" borderId="0" xfId="0" applyNumberFormat="1" applyFont="1" applyFill="1" applyBorder="1" applyAlignment="1">
      <alignment horizontal="right"/>
    </xf>
    <xf numFmtId="164" fontId="24" fillId="2" borderId="5" xfId="1" applyFont="1" applyFill="1" applyBorder="1"/>
    <xf numFmtId="0" fontId="40" fillId="15" borderId="0" xfId="0" applyFont="1" applyFill="1"/>
    <xf numFmtId="164" fontId="40" fillId="2" borderId="0" xfId="1" applyFont="1" applyFill="1"/>
    <xf numFmtId="164" fontId="40" fillId="15" borderId="0" xfId="1" applyFont="1" applyFill="1"/>
    <xf numFmtId="164" fontId="39" fillId="15" borderId="0" xfId="1" applyFont="1" applyFill="1"/>
    <xf numFmtId="0" fontId="32" fillId="0" borderId="0" xfId="0" applyFont="1" applyBorder="1" applyAlignment="1">
      <alignment horizontal="right"/>
    </xf>
    <xf numFmtId="0" fontId="29" fillId="0" borderId="0" xfId="0" applyFont="1"/>
    <xf numFmtId="0" fontId="28" fillId="0" borderId="0" xfId="0" applyFont="1" applyAlignment="1">
      <alignment horizontal="right"/>
    </xf>
    <xf numFmtId="16" fontId="28" fillId="2" borderId="0" xfId="0" quotePrefix="1" applyNumberFormat="1" applyFont="1" applyFill="1" applyAlignment="1">
      <alignment horizontal="right" wrapText="1"/>
    </xf>
    <xf numFmtId="17" fontId="28" fillId="0" borderId="0" xfId="0" quotePrefix="1" applyNumberFormat="1" applyFont="1" applyAlignment="1">
      <alignment horizontal="right"/>
    </xf>
    <xf numFmtId="0" fontId="28" fillId="0" borderId="0" xfId="0" applyFont="1" applyAlignment="1">
      <alignment horizontal="right" wrapText="1"/>
    </xf>
    <xf numFmtId="43" fontId="29" fillId="2" borderId="0" xfId="200" applyFont="1" applyFill="1" applyBorder="1"/>
    <xf numFmtId="164" fontId="29" fillId="0" borderId="0" xfId="1" applyFont="1"/>
    <xf numFmtId="16" fontId="28" fillId="2" borderId="0" xfId="0" applyNumberFormat="1" applyFont="1" applyFill="1"/>
    <xf numFmtId="164" fontId="29" fillId="0" borderId="0" xfId="1" applyFont="1" applyBorder="1"/>
    <xf numFmtId="4" fontId="29" fillId="2" borderId="0" xfId="0" applyNumberFormat="1" applyFont="1" applyFill="1"/>
    <xf numFmtId="172" fontId="29" fillId="2" borderId="0" xfId="0" applyNumberFormat="1" applyFont="1" applyFill="1"/>
    <xf numFmtId="0" fontId="31" fillId="0" borderId="0" xfId="0" applyFont="1" applyAlignment="1">
      <alignment horizontal="right"/>
    </xf>
    <xf numFmtId="4" fontId="33" fillId="2" borderId="0" xfId="0" applyNumberFormat="1" applyFont="1" applyFill="1" applyAlignment="1">
      <alignment horizontal="right"/>
    </xf>
    <xf numFmtId="4" fontId="34" fillId="2" borderId="0" xfId="0" applyNumberFormat="1" applyFont="1" applyFill="1"/>
    <xf numFmtId="4" fontId="33" fillId="2" borderId="0" xfId="0" applyNumberFormat="1" applyFont="1" applyFill="1"/>
    <xf numFmtId="164" fontId="18" fillId="0" borderId="0" xfId="1" applyFont="1"/>
    <xf numFmtId="164" fontId="18" fillId="2" borderId="2" xfId="1" applyFont="1" applyFill="1" applyBorder="1" applyAlignment="1">
      <alignment horizontal="right" wrapText="1"/>
    </xf>
    <xf numFmtId="172" fontId="41" fillId="2" borderId="2" xfId="0" applyNumberFormat="1" applyFont="1" applyFill="1" applyBorder="1" applyAlignment="1">
      <alignment horizontal="center" wrapText="1"/>
    </xf>
    <xf numFmtId="0" fontId="41" fillId="2" borderId="2" xfId="0" applyFont="1" applyFill="1" applyBorder="1" applyAlignment="1">
      <alignment horizontal="center" wrapText="1"/>
    </xf>
    <xf numFmtId="2" fontId="41" fillId="2" borderId="2" xfId="0" applyNumberFormat="1" applyFont="1" applyFill="1" applyBorder="1" applyAlignment="1">
      <alignment horizontal="center" wrapText="1"/>
    </xf>
  </cellXfs>
  <cellStyles count="465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" xfId="464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00FFFF"/>
      <color rgb="FFFF33CC"/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Apr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38.4092374166</c:v>
                </c:pt>
                <c:pt idx="1">
                  <c:v>2770.932964702899</c:v>
                </c:pt>
                <c:pt idx="2">
                  <c:v>204.98454964474001</c:v>
                </c:pt>
                <c:pt idx="3">
                  <c:v>1951.2396774693273</c:v>
                </c:pt>
                <c:pt idx="4">
                  <c:v>355.82549393045997</c:v>
                </c:pt>
                <c:pt idx="5">
                  <c:v>58.687519196020006</c:v>
                </c:pt>
                <c:pt idx="6">
                  <c:v>6.8343344776499997</c:v>
                </c:pt>
                <c:pt idx="7">
                  <c:v>57.934627993589999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May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42.132274390619997</c:v>
                </c:pt>
                <c:pt idx="1">
                  <c:v>2990.538782123167</c:v>
                </c:pt>
                <c:pt idx="2">
                  <c:v>208.27970153560997</c:v>
                </c:pt>
                <c:pt idx="3">
                  <c:v>1940.4180649409723</c:v>
                </c:pt>
                <c:pt idx="4">
                  <c:v>359.22122360003004</c:v>
                </c:pt>
                <c:pt idx="5">
                  <c:v>60.953985544470001</c:v>
                </c:pt>
                <c:pt idx="6">
                  <c:v>6.0075058756699997</c:v>
                </c:pt>
                <c:pt idx="7">
                  <c:v>58.595245128711447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Jun 2025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accent2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Comparison'!$D$5:$D$12</c:f>
              <c:numCache>
                <c:formatCode>_-* #,##0.00_-;\-* #,##0.00_-;_-* "-"??_-;_-@_-</c:formatCode>
                <c:ptCount val="8"/>
                <c:pt idx="0">
                  <c:v>47.822839795400007</c:v>
                </c:pt>
                <c:pt idx="1">
                  <c:v>3165.3955731113892</c:v>
                </c:pt>
                <c:pt idx="2">
                  <c:v>209.13505235314</c:v>
                </c:pt>
                <c:pt idx="3">
                  <c:v>1928.6847369021568</c:v>
                </c:pt>
                <c:pt idx="4">
                  <c:v>361.88054143226003</c:v>
                </c:pt>
                <c:pt idx="5">
                  <c:v>65.270670122349969</c:v>
                </c:pt>
                <c:pt idx="6">
                  <c:v>6.7481314688299996</c:v>
                </c:pt>
                <c:pt idx="7">
                  <c:v>59.061049481108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C-4EAF-AD2B-9EF289B64D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27097032"/>
        <c:axId val="427089976"/>
      </c:barChart>
      <c:catAx>
        <c:axId val="42709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27089976"/>
        <c:crosses val="autoZero"/>
        <c:auto val="1"/>
        <c:lblAlgn val="ctr"/>
        <c:lblOffset val="100"/>
        <c:noMultiLvlLbl val="0"/>
      </c:catAx>
      <c:valAx>
        <c:axId val="42708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2709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Jun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0.16387243416296915"/>
                  <c:y val="-0.14293289835765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4.1958195051844678E-2"/>
                  <c:y val="0.136559003230298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6748131468.8299999</c:v>
                </c:pt>
                <c:pt idx="1">
                  <c:v>47822839795.400009</c:v>
                </c:pt>
                <c:pt idx="2" formatCode="#,##0.00">
                  <c:v>59061049481.108002</c:v>
                </c:pt>
                <c:pt idx="3" formatCode="#,##0.00">
                  <c:v>65270670122.349976</c:v>
                </c:pt>
                <c:pt idx="4" formatCode="#,##0.00">
                  <c:v>361880541432.26001</c:v>
                </c:pt>
                <c:pt idx="5" formatCode="#,##0.00">
                  <c:v>209135052353.13998</c:v>
                </c:pt>
                <c:pt idx="6" formatCode="#,##0.00">
                  <c:v>1928684736902.1567</c:v>
                </c:pt>
                <c:pt idx="7" formatCode="#,##0.00">
                  <c:v>3165395573111.3892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51827</c:v>
                </c:pt>
                <c:pt idx="1">
                  <c:v>424589</c:v>
                </c:pt>
                <c:pt idx="2">
                  <c:v>45621</c:v>
                </c:pt>
                <c:pt idx="3">
                  <c:v>22272</c:v>
                </c:pt>
                <c:pt idx="4">
                  <c:v>218195</c:v>
                </c:pt>
                <c:pt idx="5">
                  <c:v>68625</c:v>
                </c:pt>
                <c:pt idx="6">
                  <c:v>12041</c:v>
                </c:pt>
                <c:pt idx="7">
                  <c:v>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427096248"/>
        <c:axId val="427091152"/>
      </c:barChart>
      <c:catAx>
        <c:axId val="427096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091152"/>
        <c:crosses val="autoZero"/>
        <c:auto val="1"/>
        <c:lblAlgn val="ctr"/>
        <c:lblOffset val="100"/>
        <c:noMultiLvlLbl val="0"/>
      </c:catAx>
      <c:valAx>
        <c:axId val="4270911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427096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594360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Update%20on%20Registered%20Mutual%20Funds%20as%20at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"/>
      <sheetName val="NAV Comparison"/>
      <sheetName val="Market Share"/>
      <sheetName val="Unitholders"/>
    </sheetNames>
    <sheetDataSet>
      <sheetData sheetId="0">
        <row r="24">
          <cell r="K24">
            <v>42132274390.619995</v>
          </cell>
        </row>
        <row r="68">
          <cell r="K68">
            <v>2990538782123.167</v>
          </cell>
        </row>
        <row r="108">
          <cell r="K108">
            <v>208279701535.60999</v>
          </cell>
        </row>
        <row r="147">
          <cell r="K147">
            <v>1940418064940.9722</v>
          </cell>
        </row>
        <row r="156">
          <cell r="K156">
            <v>359221223600.03003</v>
          </cell>
        </row>
        <row r="187">
          <cell r="K187">
            <v>60953985544.470001</v>
          </cell>
        </row>
        <row r="192">
          <cell r="K192">
            <v>6007505875.6700001</v>
          </cell>
        </row>
        <row r="218">
          <cell r="K218">
            <v>58595245128.711449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5" customWidth="1"/>
    <col min="2" max="2" width="44.6640625" style="14" customWidth="1"/>
    <col min="3" max="3" width="43.88671875" style="14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111" t="s">
        <v>282</v>
      </c>
      <c r="B1" s="111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5"/>
    </row>
    <row r="2" spans="1:23" ht="48" customHeight="1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32" t="s">
        <v>7</v>
      </c>
      <c r="I2" s="29" t="s">
        <v>284</v>
      </c>
      <c r="J2" s="29" t="s">
        <v>8</v>
      </c>
      <c r="K2" s="29" t="s">
        <v>9</v>
      </c>
      <c r="L2" s="29" t="s">
        <v>8</v>
      </c>
      <c r="M2" s="29" t="s">
        <v>10</v>
      </c>
      <c r="N2" s="29" t="s">
        <v>11</v>
      </c>
      <c r="O2" s="29" t="s">
        <v>12</v>
      </c>
      <c r="P2" s="29" t="s">
        <v>13</v>
      </c>
      <c r="Q2" s="29" t="s">
        <v>14</v>
      </c>
      <c r="R2" s="29" t="s">
        <v>15</v>
      </c>
      <c r="S2" s="29" t="s">
        <v>16</v>
      </c>
      <c r="T2" s="29" t="s">
        <v>17</v>
      </c>
      <c r="U2" s="29" t="s">
        <v>18</v>
      </c>
      <c r="V2" s="29" t="s">
        <v>19</v>
      </c>
    </row>
    <row r="3" spans="1:23" ht="6" customHeight="1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3" ht="16.5" customHeight="1">
      <c r="A4" s="113" t="s">
        <v>20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3" ht="15" customHeight="1">
      <c r="A5" s="95">
        <v>1</v>
      </c>
      <c r="B5" s="18" t="s">
        <v>21</v>
      </c>
      <c r="C5" s="18" t="s">
        <v>22</v>
      </c>
      <c r="D5" s="10">
        <v>1907151365.4400001</v>
      </c>
      <c r="E5" s="10">
        <v>8226514.3200000003</v>
      </c>
      <c r="F5" s="10">
        <v>719680550.30999994</v>
      </c>
      <c r="G5" s="10">
        <v>3319959.61</v>
      </c>
      <c r="H5" s="12">
        <f>(E5+F5)-G5</f>
        <v>724587105.01999998</v>
      </c>
      <c r="I5" s="28">
        <v>1722918656.3499999</v>
      </c>
      <c r="J5" s="13">
        <f t="shared" ref="J5:J23" si="0">(I5/$I$24)</f>
        <v>4.0893084488540621E-2</v>
      </c>
      <c r="K5" s="28">
        <v>2070126817.1600001</v>
      </c>
      <c r="L5" s="13">
        <f>(K5/$K$24)</f>
        <v>4.3287408820065966E-2</v>
      </c>
      <c r="M5" s="13">
        <f>((K5-I5)/I5)</f>
        <v>0.20152324634150753</v>
      </c>
      <c r="N5" s="19">
        <f>(G5/K5)</f>
        <v>1.6037469697410332E-3</v>
      </c>
      <c r="O5" s="20">
        <f>H5/K5</f>
        <v>0.35002063594058386</v>
      </c>
      <c r="P5" s="21">
        <f>K5/V5</f>
        <v>487.57192465001259</v>
      </c>
      <c r="Q5" s="21">
        <f>H5/V5</f>
        <v>170.66023513277182</v>
      </c>
      <c r="R5" s="10">
        <v>487.57</v>
      </c>
      <c r="S5" s="10">
        <v>492.06</v>
      </c>
      <c r="T5" s="10">
        <v>1690</v>
      </c>
      <c r="U5" s="10">
        <v>3788471.06</v>
      </c>
      <c r="V5" s="10">
        <v>4245787.57</v>
      </c>
    </row>
    <row r="6" spans="1:23">
      <c r="A6" s="95">
        <v>2</v>
      </c>
      <c r="B6" s="18" t="s">
        <v>23</v>
      </c>
      <c r="C6" s="18" t="s">
        <v>24</v>
      </c>
      <c r="D6" s="10">
        <v>783626936.42999995</v>
      </c>
      <c r="E6" s="10">
        <v>2044382</v>
      </c>
      <c r="F6" s="10">
        <v>0</v>
      </c>
      <c r="G6" s="10">
        <v>1021992.71</v>
      </c>
      <c r="H6" s="12">
        <v>1022389.29</v>
      </c>
      <c r="I6" s="28">
        <v>709758769.24000001</v>
      </c>
      <c r="J6" s="13">
        <f t="shared" si="0"/>
        <v>1.6845963801043109E-2</v>
      </c>
      <c r="K6" s="28">
        <v>806509910.88999999</v>
      </c>
      <c r="L6" s="13">
        <f t="shared" ref="L6:L23" si="1">(K6/$K$24)</f>
        <v>1.6864534066577466E-2</v>
      </c>
      <c r="M6" s="13">
        <f t="shared" ref="M6:M23" si="2">((K6-I6)/I6)</f>
        <v>0.13631552837818373</v>
      </c>
      <c r="N6" s="19">
        <f t="shared" ref="N6:N23" si="3">(G6/K6)</f>
        <v>1.2671793566333368E-3</v>
      </c>
      <c r="O6" s="20">
        <f t="shared" ref="O6:O23" si="4">H6/K6</f>
        <v>1.267671080286878E-3</v>
      </c>
      <c r="P6" s="21">
        <f t="shared" ref="P6:P23" si="5">K6/V6</f>
        <v>325.92752028814272</v>
      </c>
      <c r="Q6" s="21">
        <f t="shared" ref="Q6:Q23" si="6">H6/V6</f>
        <v>0.41316889173889326</v>
      </c>
      <c r="R6" s="10">
        <v>327.85</v>
      </c>
      <c r="S6" s="10">
        <v>331.79</v>
      </c>
      <c r="T6" s="10">
        <v>376</v>
      </c>
      <c r="U6" s="10">
        <v>2414193.1</v>
      </c>
      <c r="V6" s="10">
        <v>2474506.94</v>
      </c>
    </row>
    <row r="7" spans="1:23">
      <c r="A7" s="95">
        <v>3</v>
      </c>
      <c r="B7" s="18" t="s">
        <v>25</v>
      </c>
      <c r="C7" s="73" t="s">
        <v>26</v>
      </c>
      <c r="D7" s="10">
        <v>4475241909.8299999</v>
      </c>
      <c r="E7" s="10">
        <v>58296053.93</v>
      </c>
      <c r="F7" s="10">
        <v>360260212.30000001</v>
      </c>
      <c r="G7" s="10">
        <v>33237647.469999999</v>
      </c>
      <c r="H7" s="12">
        <f t="shared" ref="H7:H23" si="7">(E7+F7)-G7</f>
        <v>385318618.75999999</v>
      </c>
      <c r="I7" s="28">
        <v>4294640214</v>
      </c>
      <c r="J7" s="13">
        <f t="shared" si="0"/>
        <v>0.10193231379306041</v>
      </c>
      <c r="K7" s="28">
        <v>4703681914</v>
      </c>
      <c r="L7" s="13">
        <f t="shared" si="1"/>
        <v>9.8356390672819025E-2</v>
      </c>
      <c r="M7" s="13">
        <f t="shared" si="2"/>
        <v>9.5244695624693843E-2</v>
      </c>
      <c r="N7" s="19">
        <f t="shared" si="3"/>
        <v>7.0663042437184662E-3</v>
      </c>
      <c r="O7" s="20">
        <f t="shared" si="4"/>
        <v>8.1918511031356278E-2</v>
      </c>
      <c r="P7" s="21">
        <f t="shared" si="5"/>
        <v>41.32753615110186</v>
      </c>
      <c r="Q7" s="21">
        <f t="shared" si="6"/>
        <v>3.3854902260928132</v>
      </c>
      <c r="R7" s="10">
        <v>41.120899999999999</v>
      </c>
      <c r="S7" s="10">
        <v>42.360700000000001</v>
      </c>
      <c r="T7" s="10">
        <v>6769</v>
      </c>
      <c r="U7" s="10">
        <v>113589662</v>
      </c>
      <c r="V7" s="10">
        <v>113814719</v>
      </c>
    </row>
    <row r="8" spans="1:23">
      <c r="A8" s="95">
        <v>4</v>
      </c>
      <c r="B8" s="89" t="s">
        <v>27</v>
      </c>
      <c r="C8" s="89" t="s">
        <v>28</v>
      </c>
      <c r="D8" s="10">
        <v>617203640.95000005</v>
      </c>
      <c r="E8" s="10">
        <v>5892334.29</v>
      </c>
      <c r="F8" s="10">
        <v>0</v>
      </c>
      <c r="G8" s="10">
        <v>1268261.92</v>
      </c>
      <c r="H8" s="12">
        <f t="shared" si="7"/>
        <v>4624072.37</v>
      </c>
      <c r="I8" s="28">
        <v>640920493.07000005</v>
      </c>
      <c r="J8" s="13">
        <f t="shared" si="0"/>
        <v>1.5212102891190932E-2</v>
      </c>
      <c r="K8" s="28">
        <v>742674943.46000004</v>
      </c>
      <c r="L8" s="13">
        <f t="shared" si="1"/>
        <v>1.5529712301431263E-2</v>
      </c>
      <c r="M8" s="13">
        <f t="shared" si="2"/>
        <v>0.15876298462949376</v>
      </c>
      <c r="N8" s="19">
        <f t="shared" si="3"/>
        <v>1.7076945050702489E-3</v>
      </c>
      <c r="O8" s="20">
        <f t="shared" si="4"/>
        <v>6.2262399057886747E-3</v>
      </c>
      <c r="P8" s="21">
        <f t="shared" si="5"/>
        <v>250.17195260524969</v>
      </c>
      <c r="Q8" s="21">
        <f t="shared" si="6"/>
        <v>1.5576305946198787</v>
      </c>
      <c r="R8" s="10">
        <v>250.172</v>
      </c>
      <c r="S8" s="10">
        <v>250.172</v>
      </c>
      <c r="T8" s="10">
        <v>1984</v>
      </c>
      <c r="U8" s="10">
        <v>2731499.17</v>
      </c>
      <c r="V8" s="10">
        <v>2968657.9</v>
      </c>
    </row>
    <row r="9" spans="1:23">
      <c r="A9" s="95">
        <v>5</v>
      </c>
      <c r="B9" s="18" t="s">
        <v>206</v>
      </c>
      <c r="C9" s="73" t="s">
        <v>102</v>
      </c>
      <c r="D9" s="10">
        <v>1194827168.9100001</v>
      </c>
      <c r="E9" s="10">
        <v>19938364.390000001</v>
      </c>
      <c r="F9" s="10">
        <v>61089214.200000003</v>
      </c>
      <c r="G9" s="10">
        <v>2112996.77</v>
      </c>
      <c r="H9" s="12">
        <f t="shared" si="7"/>
        <v>78914581.820000008</v>
      </c>
      <c r="I9" s="28">
        <v>1108144872.78</v>
      </c>
      <c r="J9" s="13">
        <f t="shared" si="0"/>
        <v>2.6301567831493778E-2</v>
      </c>
      <c r="K9" s="28">
        <v>1108144872.78</v>
      </c>
      <c r="L9" s="13">
        <f t="shared" si="1"/>
        <v>2.3171875144198158E-2</v>
      </c>
      <c r="M9" s="13">
        <f t="shared" si="2"/>
        <v>0</v>
      </c>
      <c r="N9" s="19">
        <f t="shared" si="3"/>
        <v>1.9067874805025545E-3</v>
      </c>
      <c r="O9" s="20">
        <f t="shared" si="4"/>
        <v>7.1213235524004381E-2</v>
      </c>
      <c r="P9" s="21">
        <f t="shared" si="5"/>
        <v>1.3641236373224497</v>
      </c>
      <c r="Q9" s="21">
        <f t="shared" si="6"/>
        <v>9.7143657868505137E-2</v>
      </c>
      <c r="R9" s="10">
        <v>1.3864000000000001</v>
      </c>
      <c r="S9" s="10">
        <v>1.4023000000000001</v>
      </c>
      <c r="T9" s="10">
        <v>531</v>
      </c>
      <c r="U9" s="10">
        <v>803593251.80999994</v>
      </c>
      <c r="V9" s="10">
        <v>812349293.32000005</v>
      </c>
    </row>
    <row r="10" spans="1:23">
      <c r="A10" s="95">
        <v>6</v>
      </c>
      <c r="B10" s="75" t="s">
        <v>205</v>
      </c>
      <c r="C10" s="76" t="s">
        <v>48</v>
      </c>
      <c r="D10" s="10">
        <v>112443720.22</v>
      </c>
      <c r="E10" s="10">
        <v>774664.2</v>
      </c>
      <c r="F10" s="16">
        <v>0</v>
      </c>
      <c r="G10" s="10">
        <v>93690.22</v>
      </c>
      <c r="H10" s="12">
        <f t="shared" si="7"/>
        <v>680973.98</v>
      </c>
      <c r="I10" s="16">
        <v>118925631.89</v>
      </c>
      <c r="J10" s="13">
        <f t="shared" si="0"/>
        <v>2.8226729653236258E-3</v>
      </c>
      <c r="K10" s="16">
        <v>124920302.5</v>
      </c>
      <c r="L10" s="13">
        <f t="shared" si="1"/>
        <v>2.6121473135942014E-3</v>
      </c>
      <c r="M10" s="13">
        <f t="shared" si="2"/>
        <v>5.0406884661708222E-2</v>
      </c>
      <c r="N10" s="19">
        <f t="shared" si="3"/>
        <v>7.4999994496491079E-4</v>
      </c>
      <c r="O10" s="20">
        <f t="shared" si="4"/>
        <v>5.4512674591065766E-3</v>
      </c>
      <c r="P10" s="21">
        <f t="shared" si="5"/>
        <v>183.91151295355493</v>
      </c>
      <c r="Q10" s="21">
        <f t="shared" si="6"/>
        <v>1.0025508459187717</v>
      </c>
      <c r="R10" s="10">
        <v>183.6129</v>
      </c>
      <c r="S10" s="10">
        <v>183.61</v>
      </c>
      <c r="T10" s="10">
        <v>103</v>
      </c>
      <c r="U10" s="10">
        <v>684751.92</v>
      </c>
      <c r="V10" s="10">
        <v>679241.34</v>
      </c>
    </row>
    <row r="11" spans="1:23">
      <c r="A11" s="95">
        <v>7</v>
      </c>
      <c r="B11" s="18" t="s">
        <v>29</v>
      </c>
      <c r="C11" s="18" t="s">
        <v>30</v>
      </c>
      <c r="D11" s="10">
        <v>1846905468.26</v>
      </c>
      <c r="E11" s="10">
        <v>8378659.3899999997</v>
      </c>
      <c r="F11" s="10">
        <v>140373166.96000001</v>
      </c>
      <c r="G11" s="10">
        <v>2953279.27</v>
      </c>
      <c r="H11" s="12">
        <f t="shared" si="7"/>
        <v>145798547.07999998</v>
      </c>
      <c r="I11" s="28">
        <v>1584508724.1700001</v>
      </c>
      <c r="J11" s="13">
        <f t="shared" si="0"/>
        <v>3.760795606426514E-2</v>
      </c>
      <c r="K11" s="28">
        <v>1820862588.98</v>
      </c>
      <c r="L11" s="13">
        <f t="shared" si="1"/>
        <v>3.8075166526500281E-2</v>
      </c>
      <c r="M11" s="13">
        <f t="shared" si="2"/>
        <v>0.14916539190013434</v>
      </c>
      <c r="N11" s="19">
        <f t="shared" si="3"/>
        <v>1.6219122123072177E-3</v>
      </c>
      <c r="O11" s="20">
        <f t="shared" si="4"/>
        <v>8.0071142085286373E-2</v>
      </c>
      <c r="P11" s="21">
        <f t="shared" si="5"/>
        <v>420.49554458162311</v>
      </c>
      <c r="Q11" s="21">
        <f t="shared" si="6"/>
        <v>33.669558496425019</v>
      </c>
      <c r="R11" s="10">
        <v>420.5</v>
      </c>
      <c r="S11" s="10">
        <v>425.82</v>
      </c>
      <c r="T11" s="10">
        <v>1685</v>
      </c>
      <c r="U11" s="10">
        <v>4098176</v>
      </c>
      <c r="V11" s="10">
        <v>4330277.96</v>
      </c>
    </row>
    <row r="12" spans="1:23">
      <c r="A12" s="95">
        <v>8</v>
      </c>
      <c r="B12" s="18" t="s">
        <v>31</v>
      </c>
      <c r="C12" s="73" t="s">
        <v>32</v>
      </c>
      <c r="D12" s="10">
        <v>468952525.17000002</v>
      </c>
      <c r="E12" s="10">
        <v>15367645.140000001</v>
      </c>
      <c r="F12" s="10">
        <v>35313864.460000001</v>
      </c>
      <c r="G12" s="10">
        <v>1537790.72</v>
      </c>
      <c r="H12" s="12">
        <f t="shared" si="7"/>
        <v>49143718.880000003</v>
      </c>
      <c r="I12" s="28">
        <v>415711695.24000001</v>
      </c>
      <c r="J12" s="13">
        <f t="shared" si="0"/>
        <v>9.8668230294387069E-3</v>
      </c>
      <c r="K12" s="28">
        <v>464326547.50999999</v>
      </c>
      <c r="L12" s="13">
        <f t="shared" si="1"/>
        <v>9.7093052084845591E-3</v>
      </c>
      <c r="M12" s="13">
        <f t="shared" si="2"/>
        <v>0.11694367232544059</v>
      </c>
      <c r="N12" s="19">
        <f t="shared" si="3"/>
        <v>3.3118733534547285E-3</v>
      </c>
      <c r="O12" s="20">
        <f t="shared" si="4"/>
        <v>0.10583870154213317</v>
      </c>
      <c r="P12" s="21">
        <f t="shared" si="5"/>
        <v>231.39631068324039</v>
      </c>
      <c r="Q12" s="21">
        <f t="shared" si="6"/>
        <v>24.490685064354199</v>
      </c>
      <c r="R12" s="10">
        <v>231.4</v>
      </c>
      <c r="S12" s="10">
        <v>240.77</v>
      </c>
      <c r="T12" s="10">
        <v>2475</v>
      </c>
      <c r="U12" s="10">
        <v>2006629</v>
      </c>
      <c r="V12" s="10">
        <v>2006629</v>
      </c>
    </row>
    <row r="13" spans="1:23">
      <c r="A13" s="95">
        <v>9</v>
      </c>
      <c r="B13" s="18" t="s">
        <v>33</v>
      </c>
      <c r="C13" s="18" t="s">
        <v>34</v>
      </c>
      <c r="D13" s="10">
        <v>74643288.890000001</v>
      </c>
      <c r="E13" s="10">
        <v>1095660.02</v>
      </c>
      <c r="F13" s="10">
        <v>20496974.620000001</v>
      </c>
      <c r="G13" s="10">
        <v>1269533.24</v>
      </c>
      <c r="H13" s="12">
        <f t="shared" si="7"/>
        <v>20323101.400000002</v>
      </c>
      <c r="I13" s="28">
        <v>72189691.189999998</v>
      </c>
      <c r="J13" s="13">
        <f t="shared" si="0"/>
        <v>1.7134059870755934E-3</v>
      </c>
      <c r="K13" s="28">
        <v>76892004.540000007</v>
      </c>
      <c r="L13" s="13">
        <f t="shared" si="1"/>
        <v>1.607851078458877E-3</v>
      </c>
      <c r="M13" s="13">
        <f t="shared" si="2"/>
        <v>6.5138294297779079E-2</v>
      </c>
      <c r="N13" s="19">
        <f t="shared" si="3"/>
        <v>1.6510601428521426E-2</v>
      </c>
      <c r="O13" s="20">
        <f t="shared" si="4"/>
        <v>0.26430708266199143</v>
      </c>
      <c r="P13" s="21">
        <f t="shared" si="5"/>
        <v>276.3632171980347</v>
      </c>
      <c r="Q13" s="21">
        <f t="shared" si="6"/>
        <v>73.044755692694849</v>
      </c>
      <c r="R13" s="10">
        <v>271.72000000000003</v>
      </c>
      <c r="S13" s="10">
        <v>280.32</v>
      </c>
      <c r="T13" s="10">
        <v>18</v>
      </c>
      <c r="U13" s="10">
        <v>278228.07</v>
      </c>
      <c r="V13" s="10">
        <v>278228.07</v>
      </c>
      <c r="W13" s="6"/>
    </row>
    <row r="14" spans="1:23">
      <c r="A14" s="95">
        <v>10</v>
      </c>
      <c r="B14" s="73" t="s">
        <v>35</v>
      </c>
      <c r="C14" s="73" t="s">
        <v>36</v>
      </c>
      <c r="D14" s="10">
        <v>1233379831.4100001</v>
      </c>
      <c r="E14" s="10">
        <v>5926701.8499999996</v>
      </c>
      <c r="F14" s="10">
        <v>122277261.40000001</v>
      </c>
      <c r="G14" s="10">
        <v>2043261.02</v>
      </c>
      <c r="H14" s="12">
        <f t="shared" si="7"/>
        <v>126160702.23</v>
      </c>
      <c r="I14" s="28">
        <v>1017337703.24</v>
      </c>
      <c r="J14" s="13">
        <f t="shared" si="0"/>
        <v>2.4146280208088938E-2</v>
      </c>
      <c r="K14" s="28">
        <v>1203929306.6400001</v>
      </c>
      <c r="L14" s="13">
        <f t="shared" si="1"/>
        <v>2.5174776566819518E-2</v>
      </c>
      <c r="M14" s="13">
        <f t="shared" si="2"/>
        <v>0.18341166635793238</v>
      </c>
      <c r="N14" s="19">
        <f t="shared" si="3"/>
        <v>1.6971602973121888E-3</v>
      </c>
      <c r="O14" s="20">
        <f t="shared" si="4"/>
        <v>0.10479078923836238</v>
      </c>
      <c r="P14" s="21">
        <f t="shared" si="5"/>
        <v>3.2640663041873559</v>
      </c>
      <c r="Q14" s="21">
        <f t="shared" si="6"/>
        <v>0.34204408414213766</v>
      </c>
      <c r="R14" s="10">
        <v>3.26</v>
      </c>
      <c r="S14" s="10">
        <v>3.29</v>
      </c>
      <c r="T14" s="10">
        <v>671</v>
      </c>
      <c r="U14" s="10">
        <v>343170619.75999999</v>
      </c>
      <c r="V14" s="10">
        <v>368843397.91000003</v>
      </c>
    </row>
    <row r="15" spans="1:23">
      <c r="A15" s="95">
        <v>11</v>
      </c>
      <c r="B15" s="75" t="s">
        <v>250</v>
      </c>
      <c r="C15" s="76" t="s">
        <v>273</v>
      </c>
      <c r="D15" s="80">
        <v>41838636.829999998</v>
      </c>
      <c r="E15" s="69">
        <v>193294.89</v>
      </c>
      <c r="F15" s="69">
        <v>7310454.4199999999</v>
      </c>
      <c r="G15" s="69">
        <v>170899.48</v>
      </c>
      <c r="H15" s="70">
        <f t="shared" si="7"/>
        <v>7332849.8299999991</v>
      </c>
      <c r="I15" s="16">
        <v>40624361.25</v>
      </c>
      <c r="J15" s="13">
        <f t="shared" si="0"/>
        <v>9.6421002278111755E-4</v>
      </c>
      <c r="K15" s="155">
        <v>45303750.259999998</v>
      </c>
      <c r="L15" s="13">
        <f t="shared" si="1"/>
        <v>9.4732455148674964E-4</v>
      </c>
      <c r="M15" s="13">
        <f t="shared" si="2"/>
        <v>0.11518677133662004</v>
      </c>
      <c r="N15" s="19">
        <f t="shared" si="3"/>
        <v>3.7723031541362735E-3</v>
      </c>
      <c r="O15" s="20">
        <f t="shared" si="4"/>
        <v>0.16185966477204397</v>
      </c>
      <c r="P15" s="21">
        <f t="shared" si="5"/>
        <v>18.974105321439968</v>
      </c>
      <c r="Q15" s="21">
        <f t="shared" si="6"/>
        <v>3.0711423266777289</v>
      </c>
      <c r="R15" s="69">
        <v>18.9741</v>
      </c>
      <c r="S15" s="69">
        <v>19.571300000000001</v>
      </c>
      <c r="T15" s="69">
        <v>30</v>
      </c>
      <c r="U15" s="71">
        <v>2384152</v>
      </c>
      <c r="V15" s="80">
        <v>2387662</v>
      </c>
    </row>
    <row r="16" spans="1:23">
      <c r="A16" s="95">
        <v>12</v>
      </c>
      <c r="B16" s="18" t="s">
        <v>37</v>
      </c>
      <c r="C16" s="73" t="s">
        <v>38</v>
      </c>
      <c r="D16" s="10">
        <v>2195309273.6999998</v>
      </c>
      <c r="E16" s="10">
        <v>20306738.25</v>
      </c>
      <c r="F16" s="10">
        <v>0</v>
      </c>
      <c r="G16" s="10">
        <v>3697395.37</v>
      </c>
      <c r="H16" s="12">
        <f t="shared" si="7"/>
        <v>16609342.879999999</v>
      </c>
      <c r="I16" s="28">
        <v>2005318278.49</v>
      </c>
      <c r="J16" s="13">
        <f t="shared" si="0"/>
        <v>4.7595775625548682E-2</v>
      </c>
      <c r="K16" s="28">
        <v>2178629818.4499998</v>
      </c>
      <c r="L16" s="13">
        <f t="shared" si="1"/>
        <v>4.5556261982157703E-2</v>
      </c>
      <c r="M16" s="13">
        <f t="shared" si="2"/>
        <v>8.6425951341002574E-2</v>
      </c>
      <c r="N16" s="19">
        <f t="shared" si="3"/>
        <v>1.6971196018195215E-3</v>
      </c>
      <c r="O16" s="20">
        <f t="shared" si="4"/>
        <v>7.6237563349871081E-3</v>
      </c>
      <c r="P16" s="21">
        <f t="shared" si="5"/>
        <v>4.5112296647370442</v>
      </c>
      <c r="Q16" s="21">
        <f t="shared" si="6"/>
        <v>3.439251573512081E-2</v>
      </c>
      <c r="R16" s="10">
        <v>4.45</v>
      </c>
      <c r="S16" s="10">
        <v>4.54</v>
      </c>
      <c r="T16" s="10">
        <v>3641</v>
      </c>
      <c r="U16" s="10">
        <v>484004577</v>
      </c>
      <c r="V16" s="10">
        <v>482934805</v>
      </c>
    </row>
    <row r="17" spans="1:23">
      <c r="A17" s="95">
        <v>13</v>
      </c>
      <c r="B17" s="18" t="s">
        <v>39</v>
      </c>
      <c r="C17" s="18" t="s">
        <v>40</v>
      </c>
      <c r="D17" s="10">
        <v>1075441493.6400001</v>
      </c>
      <c r="E17" s="10">
        <v>7951039.5800000001</v>
      </c>
      <c r="F17" s="10">
        <v>84134578.340000004</v>
      </c>
      <c r="G17" s="10">
        <v>1584346.14</v>
      </c>
      <c r="H17" s="12">
        <f t="shared" si="7"/>
        <v>90501271.780000001</v>
      </c>
      <c r="I17" s="28">
        <v>1029304469.04</v>
      </c>
      <c r="J17" s="13">
        <f t="shared" si="0"/>
        <v>2.4430308686804632E-2</v>
      </c>
      <c r="K17" s="28">
        <v>1132474857.45</v>
      </c>
      <c r="L17" s="13">
        <f t="shared" si="1"/>
        <v>2.3680627547319571E-2</v>
      </c>
      <c r="M17" s="13">
        <f t="shared" si="2"/>
        <v>0.10023311033150753</v>
      </c>
      <c r="N17" s="19">
        <f t="shared" si="3"/>
        <v>1.3990121984407504E-3</v>
      </c>
      <c r="O17" s="20">
        <f t="shared" si="4"/>
        <v>7.9914596941942029E-2</v>
      </c>
      <c r="P17" s="21">
        <f t="shared" si="5"/>
        <v>28.397553151264777</v>
      </c>
      <c r="Q17" s="21">
        <f t="shared" si="6"/>
        <v>2.2693790142207</v>
      </c>
      <c r="R17" s="10">
        <v>28.48</v>
      </c>
      <c r="S17" s="10">
        <v>28.63</v>
      </c>
      <c r="T17" s="10">
        <v>512</v>
      </c>
      <c r="U17" s="10">
        <v>38210037.579999998</v>
      </c>
      <c r="V17" s="10">
        <v>39879311.130000003</v>
      </c>
    </row>
    <row r="18" spans="1:23">
      <c r="A18" s="95">
        <v>14</v>
      </c>
      <c r="B18" s="89" t="s">
        <v>41</v>
      </c>
      <c r="C18" s="89" t="s">
        <v>42</v>
      </c>
      <c r="D18" s="10">
        <v>140091586.65000001</v>
      </c>
      <c r="E18" s="10">
        <v>2347954.31</v>
      </c>
      <c r="F18" s="10">
        <v>58893808.259999998</v>
      </c>
      <c r="G18" s="10">
        <v>264146.94</v>
      </c>
      <c r="H18" s="12">
        <f>(E18+F18)-G18</f>
        <v>60977615.630000003</v>
      </c>
      <c r="I18" s="28">
        <v>141158447.84999999</v>
      </c>
      <c r="J18" s="13">
        <f t="shared" si="0"/>
        <v>3.350363821835985E-3</v>
      </c>
      <c r="K18" s="28">
        <v>142450728.41</v>
      </c>
      <c r="L18" s="13">
        <f t="shared" si="1"/>
        <v>2.9787174709708908E-3</v>
      </c>
      <c r="M18" s="13">
        <f t="shared" si="2"/>
        <v>9.1548226810571464E-3</v>
      </c>
      <c r="N18" s="19">
        <f t="shared" si="3"/>
        <v>1.8543038912355394E-3</v>
      </c>
      <c r="O18" s="20">
        <f t="shared" si="4"/>
        <v>0.42806110091971555</v>
      </c>
      <c r="P18" s="21">
        <f t="shared" si="5"/>
        <v>1.550013222116432</v>
      </c>
      <c r="Q18" s="21">
        <f t="shared" si="6"/>
        <v>0.66350036629927556</v>
      </c>
      <c r="R18" s="10">
        <v>1.57</v>
      </c>
      <c r="S18" s="10">
        <v>1.64</v>
      </c>
      <c r="T18" s="10">
        <v>22</v>
      </c>
      <c r="U18" s="10">
        <v>91902911.780000001</v>
      </c>
      <c r="V18" s="10">
        <v>91902911.780000001</v>
      </c>
    </row>
    <row r="19" spans="1:23">
      <c r="A19" s="95">
        <v>15</v>
      </c>
      <c r="B19" s="18" t="s">
        <v>43</v>
      </c>
      <c r="C19" s="18" t="s">
        <v>44</v>
      </c>
      <c r="D19" s="10">
        <v>4289295580.0500002</v>
      </c>
      <c r="E19" s="10">
        <v>23614332.920000002</v>
      </c>
      <c r="F19" s="10">
        <v>498138159.5</v>
      </c>
      <c r="G19" s="10">
        <v>8396969.2100000009</v>
      </c>
      <c r="H19" s="12">
        <f t="shared" si="7"/>
        <v>513355523.21000004</v>
      </c>
      <c r="I19" s="28">
        <v>3490598396.9000001</v>
      </c>
      <c r="J19" s="13">
        <f t="shared" si="0"/>
        <v>8.2848563183124058E-2</v>
      </c>
      <c r="K19" s="28">
        <v>4271043579.29</v>
      </c>
      <c r="L19" s="13">
        <f t="shared" si="1"/>
        <v>8.9309702175001823E-2</v>
      </c>
      <c r="M19" s="13">
        <f t="shared" si="2"/>
        <v>0.22358492546238293</v>
      </c>
      <c r="N19" s="19">
        <f t="shared" si="3"/>
        <v>1.9660228358980773E-3</v>
      </c>
      <c r="O19" s="20">
        <f t="shared" si="4"/>
        <v>0.12019440066105297</v>
      </c>
      <c r="P19" s="21">
        <f t="shared" si="5"/>
        <v>42.666843505558802</v>
      </c>
      <c r="Q19" s="21">
        <f t="shared" si="6"/>
        <v>5.1283156832495811</v>
      </c>
      <c r="R19" s="10">
        <v>42.66</v>
      </c>
      <c r="S19" s="10">
        <v>42.84</v>
      </c>
      <c r="T19" s="10">
        <v>10268</v>
      </c>
      <c r="U19" s="10">
        <v>90616771</v>
      </c>
      <c r="V19" s="10">
        <v>100102169</v>
      </c>
    </row>
    <row r="20" spans="1:23">
      <c r="A20" s="95">
        <v>16</v>
      </c>
      <c r="B20" s="73" t="s">
        <v>45</v>
      </c>
      <c r="C20" s="18" t="s">
        <v>46</v>
      </c>
      <c r="D20" s="10">
        <v>1158402385.0599999</v>
      </c>
      <c r="E20" s="10">
        <v>6101085.0199999996</v>
      </c>
      <c r="F20" s="10">
        <v>62973888.649999999</v>
      </c>
      <c r="G20" s="10">
        <v>1226010.99</v>
      </c>
      <c r="H20" s="12">
        <f>(E20+F20)-G20</f>
        <v>67848962.680000007</v>
      </c>
      <c r="I20" s="28">
        <v>1033963063.71</v>
      </c>
      <c r="J20" s="13">
        <f t="shared" si="0"/>
        <v>2.4540879377264135E-2</v>
      </c>
      <c r="K20" s="28">
        <v>1163955716.8900001</v>
      </c>
      <c r="L20" s="13">
        <f t="shared" si="1"/>
        <v>2.4338908393348044E-2</v>
      </c>
      <c r="M20" s="13">
        <f t="shared" si="2"/>
        <v>0.12572272428530354</v>
      </c>
      <c r="N20" s="19">
        <f t="shared" si="3"/>
        <v>1.0533141185781593E-3</v>
      </c>
      <c r="O20" s="20">
        <f t="shared" si="4"/>
        <v>5.8291704482784965E-2</v>
      </c>
      <c r="P20" s="21">
        <f t="shared" si="5"/>
        <v>10496.640919068182</v>
      </c>
      <c r="Q20" s="21">
        <f t="shared" si="6"/>
        <v>611.86709051623086</v>
      </c>
      <c r="R20" s="10">
        <v>10420.09</v>
      </c>
      <c r="S20" s="10">
        <v>10549.11</v>
      </c>
      <c r="T20" s="10">
        <v>24</v>
      </c>
      <c r="U20" s="10">
        <v>104828.09</v>
      </c>
      <c r="V20" s="10">
        <v>110888.4</v>
      </c>
    </row>
    <row r="21" spans="1:23">
      <c r="A21" s="95">
        <v>17</v>
      </c>
      <c r="B21" s="18" t="s">
        <v>47</v>
      </c>
      <c r="C21" s="18" t="s">
        <v>46</v>
      </c>
      <c r="D21" s="10">
        <v>16822760038</v>
      </c>
      <c r="E21" s="10">
        <v>57849019.729999997</v>
      </c>
      <c r="F21" s="10">
        <v>1350276599.5799999</v>
      </c>
      <c r="G21" s="10">
        <v>43634146.329999998</v>
      </c>
      <c r="H21" s="12">
        <f t="shared" si="7"/>
        <v>1364491472.98</v>
      </c>
      <c r="I21" s="28">
        <v>15275083737.07</v>
      </c>
      <c r="J21" s="13">
        <f t="shared" si="0"/>
        <v>0.36255065642672085</v>
      </c>
      <c r="K21" s="28">
        <v>16884379979.530001</v>
      </c>
      <c r="L21" s="13">
        <f t="shared" si="1"/>
        <v>0.35306100707875732</v>
      </c>
      <c r="M21" s="13">
        <f t="shared" si="2"/>
        <v>0.10535433194087938</v>
      </c>
      <c r="N21" s="19">
        <f t="shared" si="3"/>
        <v>2.5842907102837315E-3</v>
      </c>
      <c r="O21" s="20">
        <f t="shared" si="4"/>
        <v>8.0813833533375762E-2</v>
      </c>
      <c r="P21" s="21">
        <f t="shared" si="5"/>
        <v>33253.612289351753</v>
      </c>
      <c r="Q21" s="21">
        <f t="shared" si="6"/>
        <v>2687.3518879350913</v>
      </c>
      <c r="R21" s="10">
        <v>32967.980000000003</v>
      </c>
      <c r="S21" s="10">
        <v>33449.379999999997</v>
      </c>
      <c r="T21" s="10">
        <v>17923</v>
      </c>
      <c r="U21" s="10">
        <v>500937.43</v>
      </c>
      <c r="V21" s="10">
        <v>507745.74</v>
      </c>
    </row>
    <row r="22" spans="1:23">
      <c r="A22" s="95">
        <v>18</v>
      </c>
      <c r="B22" s="18" t="s">
        <v>49</v>
      </c>
      <c r="C22" s="18" t="s">
        <v>50</v>
      </c>
      <c r="D22" s="10">
        <v>3883979530</v>
      </c>
      <c r="E22" s="10">
        <v>20682994</v>
      </c>
      <c r="F22" s="10">
        <v>349644899</v>
      </c>
      <c r="G22" s="10">
        <v>7727337</v>
      </c>
      <c r="H22" s="12">
        <f>(E22+F22)-G22</f>
        <v>362600556</v>
      </c>
      <c r="I22" s="28">
        <v>4396111082</v>
      </c>
      <c r="J22" s="13">
        <f t="shared" si="0"/>
        <v>0.10434070188669227</v>
      </c>
      <c r="K22" s="28">
        <v>4911020079</v>
      </c>
      <c r="L22" s="13">
        <f t="shared" si="1"/>
        <v>0.10269193757649628</v>
      </c>
      <c r="M22" s="13">
        <f t="shared" si="2"/>
        <v>0.11712829530361717</v>
      </c>
      <c r="N22" s="19">
        <f t="shared" si="3"/>
        <v>1.5734688263733324E-3</v>
      </c>
      <c r="O22" s="20">
        <f t="shared" si="4"/>
        <v>7.3834060982669425E-2</v>
      </c>
      <c r="P22" s="21">
        <f t="shared" si="5"/>
        <v>1.6150715136387255</v>
      </c>
      <c r="Q22" s="21">
        <f t="shared" si="6"/>
        <v>0.11924728862937387</v>
      </c>
      <c r="R22" s="10">
        <v>1.62</v>
      </c>
      <c r="S22" s="10">
        <v>1.63</v>
      </c>
      <c r="T22" s="10">
        <v>3065</v>
      </c>
      <c r="U22" s="10">
        <v>2525795877</v>
      </c>
      <c r="V22" s="10">
        <v>3040744659</v>
      </c>
    </row>
    <row r="23" spans="1:23">
      <c r="A23" s="95">
        <v>19</v>
      </c>
      <c r="B23" s="76" t="s">
        <v>251</v>
      </c>
      <c r="C23" s="76" t="s">
        <v>252</v>
      </c>
      <c r="D23" s="10">
        <v>4052390190.9899998</v>
      </c>
      <c r="E23" s="10">
        <v>17681879.989999998</v>
      </c>
      <c r="F23" s="10">
        <v>487366638.33999997</v>
      </c>
      <c r="G23" s="10">
        <v>10613235.26</v>
      </c>
      <c r="H23" s="12">
        <f t="shared" si="7"/>
        <v>494435283.06999999</v>
      </c>
      <c r="I23" s="28">
        <v>3035056103.1399999</v>
      </c>
      <c r="J23" s="13">
        <f t="shared" si="0"/>
        <v>7.2036369909707548E-2</v>
      </c>
      <c r="K23" s="28">
        <v>3971512077.6599998</v>
      </c>
      <c r="L23" s="13">
        <f t="shared" si="1"/>
        <v>8.30463455255121E-2</v>
      </c>
      <c r="M23" s="13">
        <f t="shared" si="2"/>
        <v>0.30854651205661865</v>
      </c>
      <c r="N23" s="19">
        <f t="shared" si="3"/>
        <v>2.6723411769789401E-3</v>
      </c>
      <c r="O23" s="20">
        <f t="shared" si="4"/>
        <v>0.12449547512425529</v>
      </c>
      <c r="P23" s="21">
        <f t="shared" si="5"/>
        <v>173.93141782907446</v>
      </c>
      <c r="Q23" s="21">
        <f t="shared" si="6"/>
        <v>21.653674501665996</v>
      </c>
      <c r="R23" s="10">
        <v>172.2</v>
      </c>
      <c r="S23" s="10">
        <v>175.13</v>
      </c>
      <c r="T23" s="10">
        <v>40</v>
      </c>
      <c r="U23" s="10">
        <v>19533946</v>
      </c>
      <c r="V23" s="10">
        <v>22833782</v>
      </c>
    </row>
    <row r="24" spans="1:23">
      <c r="A24" s="110" t="s">
        <v>51</v>
      </c>
      <c r="B24" s="110"/>
      <c r="C24" s="110"/>
      <c r="D24" s="110"/>
      <c r="E24" s="110"/>
      <c r="F24" s="110"/>
      <c r="G24" s="110"/>
      <c r="H24" s="110"/>
      <c r="I24" s="33">
        <f>SUM(I5:I23)</f>
        <v>42132274390.619995</v>
      </c>
      <c r="J24" s="34">
        <f>(I24/$I$229)</f>
        <v>7.4156747315951566E-3</v>
      </c>
      <c r="K24" s="54">
        <f>SUM(K5:K23)</f>
        <v>47822839795.400009</v>
      </c>
      <c r="L24" s="34">
        <f>(K24/$K$229)</f>
        <v>8.1590765054030834E-3</v>
      </c>
      <c r="M24" s="34">
        <f>((K24-I24)/I24)</f>
        <v>0.13506428236038731</v>
      </c>
      <c r="N24" s="19"/>
      <c r="O24" s="19"/>
      <c r="P24" s="35"/>
      <c r="Q24" s="35"/>
      <c r="R24" s="36"/>
      <c r="S24" s="36"/>
      <c r="T24" s="36">
        <f>SUM(T5:T23)</f>
        <v>51827</v>
      </c>
      <c r="U24" s="36"/>
      <c r="V24" s="36"/>
    </row>
    <row r="25" spans="1:23" ht="6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5"/>
    </row>
    <row r="26" spans="1:23">
      <c r="A26" s="113" t="s">
        <v>52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</row>
    <row r="27" spans="1:23" ht="12.9" customHeight="1">
      <c r="A27" s="95">
        <v>20</v>
      </c>
      <c r="B27" s="18" t="s">
        <v>53</v>
      </c>
      <c r="C27" s="18" t="s">
        <v>22</v>
      </c>
      <c r="D27" s="17">
        <v>3835458291.1399999</v>
      </c>
      <c r="E27" s="17">
        <v>58318235.259999998</v>
      </c>
      <c r="F27" s="17">
        <v>0</v>
      </c>
      <c r="G27" s="17">
        <v>6729680.29</v>
      </c>
      <c r="H27" s="12">
        <f>(E27+F27)-G27</f>
        <v>51588554.969999999</v>
      </c>
      <c r="I27" s="44">
        <v>3413302210.9200001</v>
      </c>
      <c r="J27" s="13">
        <f t="shared" ref="J27:J67" si="8">(I27/$I$68)</f>
        <v>1.1413669775239255E-3</v>
      </c>
      <c r="K27" s="44">
        <v>3691488696.2199998</v>
      </c>
      <c r="L27" s="13">
        <f t="shared" ref="L27:L67" si="9">(K27/$K$68)</f>
        <v>1.1662013833523793E-3</v>
      </c>
      <c r="M27" s="13">
        <f>((K27-I27)/I27)</f>
        <v>8.150068997992975E-2</v>
      </c>
      <c r="N27" s="19">
        <f>(G27/K27)</f>
        <v>1.823026113256432E-3</v>
      </c>
      <c r="O27" s="20">
        <f>H27/K27</f>
        <v>1.3975000119281281E-2</v>
      </c>
      <c r="P27" s="23">
        <f>K27/V27</f>
        <v>100.23739612289307</v>
      </c>
      <c r="Q27" s="23">
        <f>H27/V27</f>
        <v>1.4008176227738758</v>
      </c>
      <c r="R27" s="10">
        <v>100</v>
      </c>
      <c r="S27" s="10">
        <v>100</v>
      </c>
      <c r="T27" s="10">
        <v>861</v>
      </c>
      <c r="U27" s="17">
        <v>34030110</v>
      </c>
      <c r="V27" s="17">
        <v>36827460</v>
      </c>
    </row>
    <row r="28" spans="1:23" ht="15" customHeight="1">
      <c r="A28" s="95">
        <v>21</v>
      </c>
      <c r="B28" s="18" t="s">
        <v>54</v>
      </c>
      <c r="C28" s="18" t="s">
        <v>55</v>
      </c>
      <c r="D28" s="17">
        <v>22115140594.889999</v>
      </c>
      <c r="E28" s="17">
        <v>411932255.61000001</v>
      </c>
      <c r="F28" s="17">
        <v>0</v>
      </c>
      <c r="G28" s="17">
        <v>34796411.539999999</v>
      </c>
      <c r="H28" s="12">
        <f t="shared" ref="H28:H67" si="10">(E28+F28)-G28</f>
        <v>377135844.06999999</v>
      </c>
      <c r="I28" s="44">
        <v>20985429440.150002</v>
      </c>
      <c r="J28" s="13">
        <f t="shared" si="8"/>
        <v>7.017273798820679E-3</v>
      </c>
      <c r="K28" s="44">
        <v>22182740843.5</v>
      </c>
      <c r="L28" s="13">
        <f t="shared" ref="L28:L67" si="11">(K28/$K$68)</f>
        <v>7.0078890082277238E-3</v>
      </c>
      <c r="M28" s="13">
        <f t="shared" ref="M28:M67" si="12">((K28-I28)/I28)</f>
        <v>5.7054415148601323E-2</v>
      </c>
      <c r="N28" s="19">
        <f t="shared" ref="N28:N67" si="13">(G28/K28)</f>
        <v>1.5686254365720575E-3</v>
      </c>
      <c r="O28" s="20">
        <f t="shared" ref="O28:O67" si="14">H28/K28</f>
        <v>1.7001318580544503E-2</v>
      </c>
      <c r="P28" s="23">
        <f t="shared" ref="P28:P67" si="15">K28/V28</f>
        <v>104.87530614099178</v>
      </c>
      <c r="Q28" s="23">
        <f t="shared" ref="Q28:Q67" si="16">H28/V28</f>
        <v>1.7830184909351368</v>
      </c>
      <c r="R28" s="10">
        <v>100</v>
      </c>
      <c r="S28" s="10">
        <v>100</v>
      </c>
      <c r="T28" s="10">
        <v>2971</v>
      </c>
      <c r="U28" s="17">
        <v>202950954.72</v>
      </c>
      <c r="V28" s="17">
        <v>211515385.84</v>
      </c>
    </row>
    <row r="29" spans="1:23">
      <c r="A29" s="95">
        <v>22</v>
      </c>
      <c r="B29" s="18" t="s">
        <v>56</v>
      </c>
      <c r="C29" s="18" t="s">
        <v>24</v>
      </c>
      <c r="D29" s="17">
        <v>2208134718.98</v>
      </c>
      <c r="E29" s="17">
        <v>37067046.710000001</v>
      </c>
      <c r="F29" s="17">
        <v>0</v>
      </c>
      <c r="G29" s="17">
        <v>2871749.28</v>
      </c>
      <c r="H29" s="12">
        <f t="shared" si="10"/>
        <v>34195297.43</v>
      </c>
      <c r="I29" s="44">
        <v>2084661523.75</v>
      </c>
      <c r="J29" s="13">
        <f t="shared" si="8"/>
        <v>6.9708560083276056E-4</v>
      </c>
      <c r="K29" s="44">
        <v>2296306554.4299998</v>
      </c>
      <c r="L29" s="13">
        <f t="shared" si="11"/>
        <v>7.2544062863298686E-4</v>
      </c>
      <c r="M29" s="13">
        <f t="shared" si="12"/>
        <v>0.10152488942151218</v>
      </c>
      <c r="N29" s="19">
        <f t="shared" si="13"/>
        <v>1.2505949061809125E-3</v>
      </c>
      <c r="O29" s="20">
        <f t="shared" si="14"/>
        <v>1.4891433969924857E-2</v>
      </c>
      <c r="P29" s="23">
        <f t="shared" si="15"/>
        <v>151.51602547561259</v>
      </c>
      <c r="Q29" s="23">
        <f t="shared" si="16"/>
        <v>2.2562908887555375</v>
      </c>
      <c r="R29" s="10">
        <v>100</v>
      </c>
      <c r="S29" s="10">
        <v>100</v>
      </c>
      <c r="T29" s="10">
        <v>1590</v>
      </c>
      <c r="U29" s="17">
        <v>13347508</v>
      </c>
      <c r="V29" s="17">
        <v>15155535.84</v>
      </c>
    </row>
    <row r="30" spans="1:23">
      <c r="A30" s="95">
        <v>23</v>
      </c>
      <c r="B30" s="18" t="s">
        <v>57</v>
      </c>
      <c r="C30" s="73" t="s">
        <v>58</v>
      </c>
      <c r="D30" s="17">
        <v>89697299863.009995</v>
      </c>
      <c r="E30" s="17">
        <v>4035544460.1399999</v>
      </c>
      <c r="F30" s="17">
        <v>0</v>
      </c>
      <c r="G30" s="17">
        <v>435658952.5</v>
      </c>
      <c r="H30" s="12">
        <f t="shared" si="10"/>
        <v>3599885507.6399999</v>
      </c>
      <c r="I30" s="44">
        <v>212499330442</v>
      </c>
      <c r="J30" s="13">
        <f t="shared" si="8"/>
        <v>7.1057206050052862E-2</v>
      </c>
      <c r="K30" s="44">
        <v>221547712698</v>
      </c>
      <c r="L30" s="13">
        <f t="shared" si="11"/>
        <v>6.9990529644998592E-2</v>
      </c>
      <c r="M30" s="13">
        <f t="shared" si="12"/>
        <v>4.2580756547229141E-2</v>
      </c>
      <c r="N30" s="19">
        <f t="shared" si="13"/>
        <v>1.966433989295403E-3</v>
      </c>
      <c r="O30" s="20">
        <f t="shared" si="14"/>
        <v>1.6248804665147408E-2</v>
      </c>
      <c r="P30" s="23">
        <f t="shared" si="15"/>
        <v>1</v>
      </c>
      <c r="Q30" s="23">
        <f t="shared" si="16"/>
        <v>1.6248804665147408E-2</v>
      </c>
      <c r="R30" s="10">
        <v>1</v>
      </c>
      <c r="S30" s="10">
        <v>1</v>
      </c>
      <c r="T30" s="10">
        <v>71617</v>
      </c>
      <c r="U30" s="17">
        <v>212499330442</v>
      </c>
      <c r="V30" s="17">
        <v>221547712698</v>
      </c>
    </row>
    <row r="31" spans="1:23">
      <c r="A31" s="95">
        <v>24</v>
      </c>
      <c r="B31" s="18" t="s">
        <v>268</v>
      </c>
      <c r="C31" s="73" t="s">
        <v>100</v>
      </c>
      <c r="D31" s="17">
        <v>560880865.82000005</v>
      </c>
      <c r="E31" s="17">
        <v>18100344.530000001</v>
      </c>
      <c r="F31" s="17">
        <v>0</v>
      </c>
      <c r="G31" s="17">
        <v>1962503.72</v>
      </c>
      <c r="H31" s="12">
        <f t="shared" si="10"/>
        <v>16137840.810000001</v>
      </c>
      <c r="I31" s="44">
        <v>950025422.29999995</v>
      </c>
      <c r="J31" s="13">
        <f t="shared" si="8"/>
        <v>3.1767701123926526E-4</v>
      </c>
      <c r="K31" s="44">
        <v>879223865.69000006</v>
      </c>
      <c r="L31" s="13">
        <f t="shared" si="11"/>
        <v>2.7776113455095822E-4</v>
      </c>
      <c r="M31" s="13">
        <f t="shared" si="12"/>
        <v>-7.4525959988091889E-2</v>
      </c>
      <c r="N31" s="19">
        <f t="shared" si="13"/>
        <v>2.2320864987665687E-3</v>
      </c>
      <c r="O31" s="20">
        <f t="shared" si="14"/>
        <v>1.8354643725844833E-2</v>
      </c>
      <c r="P31" s="23">
        <f t="shared" si="15"/>
        <v>0.95416943092187345</v>
      </c>
      <c r="Q31" s="23">
        <f t="shared" si="16"/>
        <v>1.7513439958663099E-2</v>
      </c>
      <c r="R31" s="10">
        <v>1</v>
      </c>
      <c r="S31" s="10">
        <v>1</v>
      </c>
      <c r="T31" s="10">
        <v>280</v>
      </c>
      <c r="U31" s="17">
        <v>993145248</v>
      </c>
      <c r="V31" s="17">
        <v>921454657</v>
      </c>
    </row>
    <row r="32" spans="1:23" ht="15" customHeight="1">
      <c r="A32" s="95">
        <v>25</v>
      </c>
      <c r="B32" s="18" t="s">
        <v>59</v>
      </c>
      <c r="C32" s="18" t="s">
        <v>28</v>
      </c>
      <c r="D32" s="17">
        <v>54776903798.110001</v>
      </c>
      <c r="E32" s="17">
        <v>2162059763.5100002</v>
      </c>
      <c r="F32" s="17">
        <v>0</v>
      </c>
      <c r="G32" s="17">
        <v>172038581.36000001</v>
      </c>
      <c r="H32" s="12">
        <f t="shared" si="10"/>
        <v>1990021182.1500001</v>
      </c>
      <c r="I32" s="44">
        <v>119249174008.75999</v>
      </c>
      <c r="J32" s="13">
        <f t="shared" si="8"/>
        <v>3.987548154252582E-2</v>
      </c>
      <c r="K32" s="44">
        <v>128856848152.92</v>
      </c>
      <c r="L32" s="13">
        <f t="shared" si="11"/>
        <v>4.0707976357678935E-2</v>
      </c>
      <c r="M32" s="13">
        <f t="shared" si="12"/>
        <v>8.0568056123007006E-2</v>
      </c>
      <c r="N32" s="19">
        <f t="shared" si="13"/>
        <v>1.3351139953061274E-3</v>
      </c>
      <c r="O32" s="20">
        <f t="shared" si="14"/>
        <v>1.5443658685399132E-2</v>
      </c>
      <c r="P32" s="23">
        <f t="shared" si="15"/>
        <v>1.0451608166522373</v>
      </c>
      <c r="Q32" s="23">
        <f t="shared" si="16"/>
        <v>1.6141106923730174E-2</v>
      </c>
      <c r="R32" s="10">
        <v>1</v>
      </c>
      <c r="S32" s="10">
        <v>1</v>
      </c>
      <c r="T32" s="10">
        <v>34320</v>
      </c>
      <c r="U32" s="17">
        <v>115614222556.07001</v>
      </c>
      <c r="V32" s="17">
        <v>123289015527.45</v>
      </c>
    </row>
    <row r="33" spans="1:22" ht="15" customHeight="1">
      <c r="A33" s="95">
        <v>26</v>
      </c>
      <c r="B33" s="18" t="s">
        <v>263</v>
      </c>
      <c r="C33" s="18" t="s">
        <v>102</v>
      </c>
      <c r="D33" s="17">
        <v>6906157174.79</v>
      </c>
      <c r="E33" s="17">
        <v>108294398.72</v>
      </c>
      <c r="F33" s="17">
        <v>0</v>
      </c>
      <c r="G33" s="17">
        <v>7390474.4800000004</v>
      </c>
      <c r="H33" s="12">
        <f t="shared" si="10"/>
        <v>100903924.23999999</v>
      </c>
      <c r="I33" s="44">
        <v>5343046522.3599997</v>
      </c>
      <c r="J33" s="13">
        <f t="shared" si="8"/>
        <v>1.7866501361893869E-3</v>
      </c>
      <c r="K33" s="44">
        <v>6784483347.3599997</v>
      </c>
      <c r="L33" s="13">
        <f t="shared" si="11"/>
        <v>2.1433287532816223E-3</v>
      </c>
      <c r="M33" s="13">
        <f t="shared" si="12"/>
        <v>0.26977807866125858</v>
      </c>
      <c r="N33" s="19">
        <f t="shared" si="13"/>
        <v>1.0893201591947021E-3</v>
      </c>
      <c r="O33" s="20">
        <f t="shared" si="14"/>
        <v>1.4872749931542549E-2</v>
      </c>
      <c r="P33" s="23">
        <f t="shared" si="15"/>
        <v>1</v>
      </c>
      <c r="Q33" s="23">
        <f t="shared" si="16"/>
        <v>1.4872749931542549E-2</v>
      </c>
      <c r="R33" s="10">
        <v>1</v>
      </c>
      <c r="S33" s="10">
        <v>1</v>
      </c>
      <c r="T33" s="10">
        <v>941</v>
      </c>
      <c r="U33" s="17">
        <v>5328146522.3599997</v>
      </c>
      <c r="V33" s="17">
        <v>6784483347.3599997</v>
      </c>
    </row>
    <row r="34" spans="1:22">
      <c r="A34" s="95">
        <v>27</v>
      </c>
      <c r="B34" s="73" t="s">
        <v>258</v>
      </c>
      <c r="C34" s="73" t="s">
        <v>44</v>
      </c>
      <c r="D34" s="17">
        <v>25315101577.799999</v>
      </c>
      <c r="E34" s="17">
        <v>444051446.92000002</v>
      </c>
      <c r="F34" s="17">
        <v>0</v>
      </c>
      <c r="G34" s="17">
        <v>40866025</v>
      </c>
      <c r="H34" s="12">
        <f t="shared" si="10"/>
        <v>403185421.92000002</v>
      </c>
      <c r="I34" s="44">
        <v>24314871920.150002</v>
      </c>
      <c r="J34" s="13">
        <f t="shared" si="8"/>
        <v>8.1305990965572367E-3</v>
      </c>
      <c r="K34" s="44">
        <v>25201548689.25</v>
      </c>
      <c r="L34" s="13">
        <f t="shared" si="11"/>
        <v>7.9615795584368071E-3</v>
      </c>
      <c r="M34" s="13">
        <f t="shared" si="12"/>
        <v>3.6466437989549912E-2</v>
      </c>
      <c r="N34" s="19">
        <f t="shared" si="13"/>
        <v>1.6215680037723974E-3</v>
      </c>
      <c r="O34" s="20">
        <f t="shared" si="14"/>
        <v>1.5998438305975349E-2</v>
      </c>
      <c r="P34" s="23">
        <f t="shared" si="15"/>
        <v>100.00000000496001</v>
      </c>
      <c r="Q34" s="23">
        <f t="shared" si="16"/>
        <v>1.5998438306768872</v>
      </c>
      <c r="R34" s="10">
        <v>100</v>
      </c>
      <c r="S34" s="10">
        <v>100</v>
      </c>
      <c r="T34" s="10">
        <v>3705</v>
      </c>
      <c r="U34" s="17">
        <v>243148719.19</v>
      </c>
      <c r="V34" s="17">
        <v>252015486.88</v>
      </c>
    </row>
    <row r="35" spans="1:22">
      <c r="A35" s="95">
        <v>28</v>
      </c>
      <c r="B35" s="24" t="s">
        <v>212</v>
      </c>
      <c r="C35" s="24" t="s">
        <v>213</v>
      </c>
      <c r="D35" s="17">
        <v>1416503883.26</v>
      </c>
      <c r="E35" s="17">
        <v>38661047.109999999</v>
      </c>
      <c r="F35" s="17">
        <v>0</v>
      </c>
      <c r="G35" s="17">
        <v>3766894.92</v>
      </c>
      <c r="H35" s="12">
        <f t="shared" si="10"/>
        <v>34894152.189999998</v>
      </c>
      <c r="I35" s="44">
        <v>1266244406.9100001</v>
      </c>
      <c r="J35" s="13">
        <f t="shared" si="8"/>
        <v>4.2341681521716149E-4</v>
      </c>
      <c r="K35" s="44">
        <v>1354302361.74</v>
      </c>
      <c r="L35" s="13">
        <f t="shared" si="11"/>
        <v>4.278461666036906E-4</v>
      </c>
      <c r="M35" s="13">
        <f t="shared" si="12"/>
        <v>6.9542620958055495E-2</v>
      </c>
      <c r="N35" s="19">
        <f t="shared" si="13"/>
        <v>2.781428303174717E-3</v>
      </c>
      <c r="O35" s="20">
        <f t="shared" si="14"/>
        <v>2.576540747161379E-2</v>
      </c>
      <c r="P35" s="23">
        <f t="shared" si="15"/>
        <v>1.0079034414505845</v>
      </c>
      <c r="Q35" s="23">
        <f t="shared" si="16"/>
        <v>2.5969042861016145E-2</v>
      </c>
      <c r="R35" s="10">
        <v>1</v>
      </c>
      <c r="S35" s="10">
        <v>1</v>
      </c>
      <c r="T35" s="10">
        <v>472</v>
      </c>
      <c r="U35" s="17">
        <v>1256730690.46</v>
      </c>
      <c r="V35" s="17">
        <v>1343682644.6300001</v>
      </c>
    </row>
    <row r="36" spans="1:22">
      <c r="A36" s="95">
        <v>29</v>
      </c>
      <c r="B36" s="18" t="s">
        <v>228</v>
      </c>
      <c r="C36" s="18" t="s">
        <v>60</v>
      </c>
      <c r="D36" s="17">
        <v>63890772739.550003</v>
      </c>
      <c r="E36" s="17">
        <v>1109278444.99</v>
      </c>
      <c r="F36" s="17">
        <v>0</v>
      </c>
      <c r="G36" s="17">
        <v>93543962.079999998</v>
      </c>
      <c r="H36" s="12">
        <f t="shared" si="10"/>
        <v>1015734482.91</v>
      </c>
      <c r="I36" s="44">
        <v>55168081770.440002</v>
      </c>
      <c r="J36" s="13">
        <f t="shared" si="8"/>
        <v>1.8447539319745184E-2</v>
      </c>
      <c r="K36" s="44">
        <v>60934412998.870003</v>
      </c>
      <c r="L36" s="13">
        <f t="shared" si="11"/>
        <v>1.9250173190510665E-2</v>
      </c>
      <c r="M36" s="13">
        <f t="shared" si="12"/>
        <v>0.10452296043977551</v>
      </c>
      <c r="N36" s="19">
        <f t="shared" si="13"/>
        <v>1.5351581721437888E-3</v>
      </c>
      <c r="O36" s="20">
        <f t="shared" si="14"/>
        <v>1.6669307751086996E-2</v>
      </c>
      <c r="P36" s="23">
        <f t="shared" si="15"/>
        <v>99.999999579662827</v>
      </c>
      <c r="Q36" s="23">
        <f t="shared" si="16"/>
        <v>1.6669307681019698</v>
      </c>
      <c r="R36" s="10">
        <v>100</v>
      </c>
      <c r="S36" s="10">
        <v>100</v>
      </c>
      <c r="T36" s="10">
        <v>4496</v>
      </c>
      <c r="U36" s="17">
        <v>551680817.70000005</v>
      </c>
      <c r="V36" s="17">
        <v>609344132.54999995</v>
      </c>
    </row>
    <row r="37" spans="1:22">
      <c r="A37" s="95">
        <v>30</v>
      </c>
      <c r="B37" s="18" t="s">
        <v>61</v>
      </c>
      <c r="C37" s="18" t="s">
        <v>62</v>
      </c>
      <c r="D37" s="17">
        <v>15679639232.09</v>
      </c>
      <c r="E37" s="17">
        <v>532198113.14999998</v>
      </c>
      <c r="F37" s="17">
        <v>0</v>
      </c>
      <c r="G37" s="17">
        <v>33165123.210000001</v>
      </c>
      <c r="H37" s="12">
        <f t="shared" si="10"/>
        <v>499032989.94</v>
      </c>
      <c r="I37" s="44">
        <v>27351358700</v>
      </c>
      <c r="J37" s="13">
        <f t="shared" si="8"/>
        <v>9.1459635512840913E-3</v>
      </c>
      <c r="K37" s="44">
        <v>38566698800</v>
      </c>
      <c r="L37" s="13">
        <f t="shared" si="11"/>
        <v>1.2183848087615573E-2</v>
      </c>
      <c r="M37" s="13">
        <f t="shared" si="12"/>
        <v>0.41004690929668514</v>
      </c>
      <c r="N37" s="19">
        <f t="shared" si="13"/>
        <v>8.5994197693684893E-4</v>
      </c>
      <c r="O37" s="20">
        <f t="shared" si="14"/>
        <v>1.2939479018619037E-2</v>
      </c>
      <c r="P37" s="23">
        <f t="shared" si="15"/>
        <v>100</v>
      </c>
      <c r="Q37" s="23">
        <f t="shared" si="16"/>
        <v>1.2939479018619038</v>
      </c>
      <c r="R37" s="10">
        <v>100</v>
      </c>
      <c r="S37" s="10">
        <v>100</v>
      </c>
      <c r="T37" s="10">
        <f>4746+180+97</f>
        <v>5023</v>
      </c>
      <c r="U37" s="17">
        <v>273513587</v>
      </c>
      <c r="V37" s="17">
        <v>385666988</v>
      </c>
    </row>
    <row r="38" spans="1:22">
      <c r="A38" s="95">
        <v>31</v>
      </c>
      <c r="B38" s="18" t="s">
        <v>293</v>
      </c>
      <c r="C38" s="18" t="s">
        <v>63</v>
      </c>
      <c r="D38" s="17">
        <v>27683785927.220001</v>
      </c>
      <c r="E38" s="17">
        <v>369736822.33999997</v>
      </c>
      <c r="F38" s="17">
        <v>0</v>
      </c>
      <c r="G38" s="17">
        <v>34295411.170000002</v>
      </c>
      <c r="H38" s="12">
        <f>(E38+F38)-G38</f>
        <v>335441411.16999996</v>
      </c>
      <c r="I38" s="44">
        <v>27261434124.080002</v>
      </c>
      <c r="J38" s="13">
        <f t="shared" si="8"/>
        <v>9.1158938606793246E-3</v>
      </c>
      <c r="K38" s="44">
        <v>28601633760.689999</v>
      </c>
      <c r="L38" s="13">
        <f t="shared" si="11"/>
        <v>9.0357217921349254E-3</v>
      </c>
      <c r="M38" s="13">
        <f t="shared" si="12"/>
        <v>4.9161010037480003E-2</v>
      </c>
      <c r="N38" s="19">
        <f t="shared" si="13"/>
        <v>1.1990717543252901E-3</v>
      </c>
      <c r="O38" s="20">
        <f t="shared" si="14"/>
        <v>1.1728050711250965E-2</v>
      </c>
      <c r="P38" s="23">
        <f t="shared" si="15"/>
        <v>1</v>
      </c>
      <c r="Q38" s="23">
        <f t="shared" si="16"/>
        <v>1.1728050711250965E-2</v>
      </c>
      <c r="R38" s="10">
        <v>1</v>
      </c>
      <c r="S38" s="10">
        <v>1</v>
      </c>
      <c r="T38" s="10">
        <v>5309</v>
      </c>
      <c r="U38" s="17">
        <v>27261434124.080002</v>
      </c>
      <c r="V38" s="17">
        <v>28601633760.689999</v>
      </c>
    </row>
    <row r="39" spans="1:22">
      <c r="A39" s="95">
        <v>32</v>
      </c>
      <c r="B39" s="18" t="s">
        <v>64</v>
      </c>
      <c r="C39" s="18" t="s">
        <v>65</v>
      </c>
      <c r="D39" s="17">
        <v>24281061373.799999</v>
      </c>
      <c r="E39" s="17">
        <v>1154908013.0899999</v>
      </c>
      <c r="F39" s="17"/>
      <c r="G39" s="17">
        <v>98149650.159999996</v>
      </c>
      <c r="H39" s="12">
        <f t="shared" si="10"/>
        <v>1056758362.9299999</v>
      </c>
      <c r="I39" s="44">
        <v>49832800288.370003</v>
      </c>
      <c r="J39" s="13">
        <f t="shared" si="8"/>
        <v>1.6663485719115349E-2</v>
      </c>
      <c r="K39" s="44">
        <v>68788553326.330002</v>
      </c>
      <c r="L39" s="13">
        <f t="shared" si="11"/>
        <v>2.1731423999786253E-2</v>
      </c>
      <c r="M39" s="13">
        <f t="shared" si="12"/>
        <v>0.38038707293725776</v>
      </c>
      <c r="N39" s="19">
        <f t="shared" si="13"/>
        <v>1.4268311428848081E-3</v>
      </c>
      <c r="O39" s="20">
        <f t="shared" si="14"/>
        <v>1.5362415864697471E-2</v>
      </c>
      <c r="P39" s="23">
        <f t="shared" si="15"/>
        <v>100.88859306614857</v>
      </c>
      <c r="Q39" s="23">
        <f t="shared" si="16"/>
        <v>1.549892522686408</v>
      </c>
      <c r="R39" s="10">
        <v>100</v>
      </c>
      <c r="S39" s="10">
        <v>100</v>
      </c>
      <c r="T39" s="10">
        <v>7288</v>
      </c>
      <c r="U39" s="17">
        <v>564259259</v>
      </c>
      <c r="V39" s="17">
        <v>681826867</v>
      </c>
    </row>
    <row r="40" spans="1:22">
      <c r="A40" s="95">
        <v>33</v>
      </c>
      <c r="B40" s="18" t="s">
        <v>66</v>
      </c>
      <c r="C40" s="18" t="s">
        <v>65</v>
      </c>
      <c r="D40" s="17">
        <v>2813100894</v>
      </c>
      <c r="E40" s="17">
        <v>130235771.14</v>
      </c>
      <c r="F40" s="17">
        <v>0</v>
      </c>
      <c r="G40" s="17">
        <v>6128737.79</v>
      </c>
      <c r="H40" s="12">
        <f t="shared" si="10"/>
        <v>124107033.34999999</v>
      </c>
      <c r="I40" s="44">
        <v>6475432147.3900003</v>
      </c>
      <c r="J40" s="13">
        <f t="shared" si="8"/>
        <v>2.1653061936861735E-3</v>
      </c>
      <c r="K40" s="44">
        <v>6741633068.5799999</v>
      </c>
      <c r="L40" s="13">
        <f t="shared" si="11"/>
        <v>2.1297916525337746E-3</v>
      </c>
      <c r="M40" s="13">
        <f t="shared" si="12"/>
        <v>4.1109367704099099E-2</v>
      </c>
      <c r="N40" s="19">
        <f t="shared" si="13"/>
        <v>9.0908800993093873E-4</v>
      </c>
      <c r="O40" s="20">
        <f t="shared" si="14"/>
        <v>1.8409046011182695E-2</v>
      </c>
      <c r="P40" s="23">
        <f t="shared" si="15"/>
        <v>1012561.2899639531</v>
      </c>
      <c r="Q40" s="23">
        <f t="shared" si="16"/>
        <v>18640.287376088916</v>
      </c>
      <c r="R40" s="10">
        <v>1000000</v>
      </c>
      <c r="S40" s="10">
        <v>1000000</v>
      </c>
      <c r="T40" s="10">
        <v>53</v>
      </c>
      <c r="U40" s="17">
        <v>7303</v>
      </c>
      <c r="V40" s="17">
        <v>6658</v>
      </c>
    </row>
    <row r="41" spans="1:22">
      <c r="A41" s="95">
        <v>34</v>
      </c>
      <c r="B41" s="73" t="s">
        <v>67</v>
      </c>
      <c r="C41" s="73" t="s">
        <v>68</v>
      </c>
      <c r="D41" s="17">
        <v>5093118867.46</v>
      </c>
      <c r="E41" s="17">
        <v>98857311.370000005</v>
      </c>
      <c r="F41" s="17">
        <v>0</v>
      </c>
      <c r="G41" s="17">
        <v>6995587.0599999996</v>
      </c>
      <c r="H41" s="12">
        <f t="shared" si="10"/>
        <v>91861724.310000002</v>
      </c>
      <c r="I41" s="44">
        <v>5110726027.5</v>
      </c>
      <c r="J41" s="13">
        <f t="shared" si="8"/>
        <v>1.7089649724828454E-3</v>
      </c>
      <c r="K41" s="44">
        <v>4818489669.2200003</v>
      </c>
      <c r="L41" s="13">
        <f t="shared" si="11"/>
        <v>1.5222393403689894E-3</v>
      </c>
      <c r="M41" s="13">
        <f t="shared" si="12"/>
        <v>-5.7180986949314561E-2</v>
      </c>
      <c r="N41" s="19">
        <f t="shared" si="13"/>
        <v>1.451821533350391E-3</v>
      </c>
      <c r="O41" s="20">
        <f t="shared" si="14"/>
        <v>1.9064422799700689E-2</v>
      </c>
      <c r="P41" s="23">
        <f t="shared" si="15"/>
        <v>0.99785446826641966</v>
      </c>
      <c r="Q41" s="23">
        <f t="shared" si="16"/>
        <v>1.9023519475601536E-2</v>
      </c>
      <c r="R41" s="10">
        <v>1</v>
      </c>
      <c r="S41" s="10">
        <v>1</v>
      </c>
      <c r="T41" s="10">
        <v>931</v>
      </c>
      <c r="U41" s="17">
        <v>5135355172.8400002</v>
      </c>
      <c r="V41" s="17">
        <v>4828850120.3900003</v>
      </c>
    </row>
    <row r="42" spans="1:22">
      <c r="A42" s="95">
        <v>35</v>
      </c>
      <c r="B42" s="18" t="s">
        <v>69</v>
      </c>
      <c r="C42" s="18" t="s">
        <v>70</v>
      </c>
      <c r="D42" s="17">
        <v>1271276362.4100001</v>
      </c>
      <c r="E42" s="17">
        <v>38649694.619999997</v>
      </c>
      <c r="F42" s="17">
        <v>0</v>
      </c>
      <c r="G42" s="17">
        <v>2537391.11</v>
      </c>
      <c r="H42" s="12">
        <f>(E42+F42)-G42</f>
        <v>36112303.509999998</v>
      </c>
      <c r="I42" s="44">
        <v>2214542933.23</v>
      </c>
      <c r="J42" s="13">
        <f t="shared" si="8"/>
        <v>7.4051637332646803E-4</v>
      </c>
      <c r="K42" s="44">
        <v>2129855458.72</v>
      </c>
      <c r="L42" s="13">
        <f t="shared" si="11"/>
        <v>6.7285601736862325E-4</v>
      </c>
      <c r="M42" s="13">
        <f t="shared" si="12"/>
        <v>-3.8241513966261152E-2</v>
      </c>
      <c r="N42" s="19">
        <f t="shared" si="13"/>
        <v>1.1913442762566248E-3</v>
      </c>
      <c r="O42" s="20">
        <f t="shared" si="14"/>
        <v>1.6955283684697908E-2</v>
      </c>
      <c r="P42" s="23">
        <f t="shared" si="15"/>
        <v>1.1553426644373523</v>
      </c>
      <c r="Q42" s="23">
        <f t="shared" si="16"/>
        <v>1.958916262857005E-2</v>
      </c>
      <c r="R42" s="10">
        <v>1</v>
      </c>
      <c r="S42" s="10">
        <v>1</v>
      </c>
      <c r="T42" s="10">
        <f>1281+39+17</f>
        <v>1337</v>
      </c>
      <c r="U42" s="17">
        <v>1976139526.4400001</v>
      </c>
      <c r="V42" s="17">
        <v>1843483776.96</v>
      </c>
    </row>
    <row r="43" spans="1:22">
      <c r="A43" s="95">
        <v>36</v>
      </c>
      <c r="B43" s="18" t="s">
        <v>71</v>
      </c>
      <c r="C43" s="18" t="s">
        <v>72</v>
      </c>
      <c r="D43" s="17">
        <v>554526934984.18005</v>
      </c>
      <c r="E43" s="17">
        <v>10010390958.639999</v>
      </c>
      <c r="F43" s="17">
        <v>0</v>
      </c>
      <c r="G43" s="17">
        <v>829770786.87</v>
      </c>
      <c r="H43" s="12">
        <f>(E43+F43)-G43</f>
        <v>9180620171.7699986</v>
      </c>
      <c r="I43" s="44">
        <v>519299074228.46997</v>
      </c>
      <c r="J43" s="13">
        <f t="shared" si="8"/>
        <v>0.1736473298165315</v>
      </c>
      <c r="K43" s="44">
        <v>526056237197.73999</v>
      </c>
      <c r="L43" s="13">
        <f t="shared" si="11"/>
        <v>0.16618973049256497</v>
      </c>
      <c r="M43" s="13">
        <f t="shared" si="12"/>
        <v>1.3012083603863984E-2</v>
      </c>
      <c r="N43" s="19">
        <f t="shared" si="13"/>
        <v>1.5773423603721978E-3</v>
      </c>
      <c r="O43" s="20">
        <f t="shared" si="14"/>
        <v>1.7451784662176874E-2</v>
      </c>
      <c r="P43" s="23">
        <f t="shared" si="15"/>
        <v>100.05917289098828</v>
      </c>
      <c r="Q43" s="23">
        <f t="shared" si="16"/>
        <v>1.7462111387690535</v>
      </c>
      <c r="R43" s="10">
        <v>100</v>
      </c>
      <c r="S43" s="10">
        <v>100</v>
      </c>
      <c r="T43" s="10">
        <v>33169</v>
      </c>
      <c r="U43" s="17">
        <v>5003836068</v>
      </c>
      <c r="V43" s="17">
        <v>5257451386</v>
      </c>
    </row>
    <row r="44" spans="1:22">
      <c r="A44" s="95">
        <v>37</v>
      </c>
      <c r="B44" s="18" t="s">
        <v>264</v>
      </c>
      <c r="C44" s="18" t="s">
        <v>265</v>
      </c>
      <c r="D44" s="17">
        <v>1771731817.8399999</v>
      </c>
      <c r="E44" s="17">
        <v>28506376.829999998</v>
      </c>
      <c r="F44" s="17">
        <v>0</v>
      </c>
      <c r="G44" s="17">
        <v>26969179.399999999</v>
      </c>
      <c r="H44" s="12">
        <f>(E44+F44)-G44</f>
        <v>1537197.4299999997</v>
      </c>
      <c r="I44" s="44">
        <v>1472240345.21</v>
      </c>
      <c r="J44" s="13">
        <f t="shared" si="8"/>
        <v>4.9229936558948964E-4</v>
      </c>
      <c r="K44" s="44">
        <v>1740625364.9200001</v>
      </c>
      <c r="L44" s="13">
        <f t="shared" si="11"/>
        <v>5.4989189335634045E-4</v>
      </c>
      <c r="M44" s="13">
        <f t="shared" si="12"/>
        <v>0.1822970146030862</v>
      </c>
      <c r="N44" s="19">
        <f t="shared" si="13"/>
        <v>1.5493959782230057E-2</v>
      </c>
      <c r="O44" s="20">
        <f t="shared" si="14"/>
        <v>8.8312939761776366E-4</v>
      </c>
      <c r="P44" s="23">
        <f t="shared" si="15"/>
        <v>0.97816441042667246</v>
      </c>
      <c r="Q44" s="23">
        <f t="shared" si="16"/>
        <v>8.6384574655124218E-4</v>
      </c>
      <c r="R44" s="10">
        <v>1</v>
      </c>
      <c r="S44" s="10">
        <v>1</v>
      </c>
      <c r="T44" s="10">
        <v>263</v>
      </c>
      <c r="U44" s="17">
        <v>1471611386</v>
      </c>
      <c r="V44" s="17">
        <v>1779481390.21</v>
      </c>
    </row>
    <row r="45" spans="1:22" ht="16.95" customHeight="1">
      <c r="A45" s="95">
        <v>38</v>
      </c>
      <c r="B45" s="18" t="s">
        <v>73</v>
      </c>
      <c r="C45" s="18" t="s">
        <v>74</v>
      </c>
      <c r="D45" s="17">
        <v>1183306822.8599999</v>
      </c>
      <c r="E45" s="17">
        <v>16211527.353</v>
      </c>
      <c r="F45" s="17">
        <v>0</v>
      </c>
      <c r="G45" s="17">
        <v>2076555.1</v>
      </c>
      <c r="H45" s="12">
        <f t="shared" si="10"/>
        <v>14134972.253</v>
      </c>
      <c r="I45" s="44">
        <v>939499791.73000002</v>
      </c>
      <c r="J45" s="13">
        <f t="shared" si="8"/>
        <v>3.1415736767773713E-4</v>
      </c>
      <c r="K45" s="44">
        <v>1137781141.7</v>
      </c>
      <c r="L45" s="13">
        <f t="shared" si="11"/>
        <v>3.5944358782988729E-4</v>
      </c>
      <c r="M45" s="13">
        <f t="shared" si="12"/>
        <v>0.21104991370448703</v>
      </c>
      <c r="N45" s="19">
        <f t="shared" si="13"/>
        <v>1.8250918598434001E-3</v>
      </c>
      <c r="O45" s="20">
        <f t="shared" si="14"/>
        <v>1.242327872641695E-2</v>
      </c>
      <c r="P45" s="23">
        <f t="shared" si="15"/>
        <v>9.9228627375327907</v>
      </c>
      <c r="Q45" s="23">
        <f t="shared" si="16"/>
        <v>0.12327448955234659</v>
      </c>
      <c r="R45" s="10">
        <v>10</v>
      </c>
      <c r="S45" s="10">
        <v>10</v>
      </c>
      <c r="T45" s="10">
        <v>469</v>
      </c>
      <c r="U45" s="17">
        <v>94809871</v>
      </c>
      <c r="V45" s="17">
        <v>114662590</v>
      </c>
    </row>
    <row r="46" spans="1:22">
      <c r="A46" s="95">
        <v>39</v>
      </c>
      <c r="B46" s="18" t="s">
        <v>75</v>
      </c>
      <c r="C46" s="18" t="s">
        <v>76</v>
      </c>
      <c r="D46" s="17">
        <v>7588564751.75</v>
      </c>
      <c r="E46" s="17">
        <v>236147327.97999999</v>
      </c>
      <c r="F46" s="17">
        <v>0</v>
      </c>
      <c r="G46" s="17">
        <v>13425359.66</v>
      </c>
      <c r="H46" s="12">
        <f t="shared" si="10"/>
        <v>222721968.31999999</v>
      </c>
      <c r="I46" s="44">
        <v>6896520107.9499998</v>
      </c>
      <c r="J46" s="13">
        <f t="shared" si="8"/>
        <v>2.3061129148954679E-3</v>
      </c>
      <c r="K46" s="44">
        <v>7443369974.5900002</v>
      </c>
      <c r="L46" s="13">
        <f t="shared" si="11"/>
        <v>2.3514817667081101E-3</v>
      </c>
      <c r="M46" s="13">
        <f t="shared" si="12"/>
        <v>7.929359417217044E-2</v>
      </c>
      <c r="N46" s="19">
        <f t="shared" si="13"/>
        <v>1.8036668479238804E-3</v>
      </c>
      <c r="O46" s="20">
        <f t="shared" si="14"/>
        <v>2.9922195064913198E-2</v>
      </c>
      <c r="P46" s="23">
        <f t="shared" si="15"/>
        <v>101.55979210667356</v>
      </c>
      <c r="Q46" s="23">
        <f t="shared" si="16"/>
        <v>3.0388919101679179</v>
      </c>
      <c r="R46" s="10">
        <v>100</v>
      </c>
      <c r="S46" s="10">
        <v>100</v>
      </c>
      <c r="T46" s="10">
        <v>1780</v>
      </c>
      <c r="U46" s="17">
        <v>69109169</v>
      </c>
      <c r="V46" s="17">
        <v>73290520</v>
      </c>
    </row>
    <row r="47" spans="1:22">
      <c r="A47" s="95">
        <v>40</v>
      </c>
      <c r="B47" s="75" t="s">
        <v>248</v>
      </c>
      <c r="C47" s="75" t="s">
        <v>224</v>
      </c>
      <c r="D47" s="17">
        <v>99882708.489999995</v>
      </c>
      <c r="E47" s="17">
        <v>5163731.51</v>
      </c>
      <c r="F47" s="17">
        <v>0</v>
      </c>
      <c r="G47" s="17">
        <v>144331.41</v>
      </c>
      <c r="H47" s="12">
        <f t="shared" si="10"/>
        <v>5019400.0999999996</v>
      </c>
      <c r="I47" s="44">
        <v>94923812.299999997</v>
      </c>
      <c r="J47" s="13">
        <f t="shared" si="8"/>
        <v>3.1741374787524996E-5</v>
      </c>
      <c r="K47" s="44">
        <v>100288681.7</v>
      </c>
      <c r="L47" s="13">
        <f t="shared" si="11"/>
        <v>3.1682827432977799E-5</v>
      </c>
      <c r="M47" s="13">
        <f t="shared" si="12"/>
        <v>5.6517635248832146E-2</v>
      </c>
      <c r="N47" s="19">
        <f t="shared" si="13"/>
        <v>1.4391595098612209E-3</v>
      </c>
      <c r="O47" s="20">
        <f t="shared" si="14"/>
        <v>5.0049517202896882E-2</v>
      </c>
      <c r="P47" s="23">
        <f t="shared" si="15"/>
        <v>1.0442385486607244</v>
      </c>
      <c r="Q47" s="23">
        <f t="shared" si="16"/>
        <v>5.2263635205122998E-2</v>
      </c>
      <c r="R47" s="10">
        <v>1</v>
      </c>
      <c r="S47" s="10">
        <v>1</v>
      </c>
      <c r="T47" s="10">
        <v>85</v>
      </c>
      <c r="U47" s="17">
        <v>95797048.099999994</v>
      </c>
      <c r="V47" s="17">
        <v>96040011</v>
      </c>
    </row>
    <row r="48" spans="1:22">
      <c r="A48" s="95">
        <v>41</v>
      </c>
      <c r="B48" s="73" t="s">
        <v>266</v>
      </c>
      <c r="C48" s="73" t="s">
        <v>36</v>
      </c>
      <c r="D48" s="17">
        <v>430573709.01999998</v>
      </c>
      <c r="E48" s="17">
        <v>7108638.4100000001</v>
      </c>
      <c r="F48" s="17">
        <v>0</v>
      </c>
      <c r="G48" s="17">
        <v>905349.46</v>
      </c>
      <c r="H48" s="12">
        <f t="shared" si="10"/>
        <v>6203288.9500000002</v>
      </c>
      <c r="I48" s="44">
        <v>356593411.42000002</v>
      </c>
      <c r="J48" s="13">
        <f t="shared" si="8"/>
        <v>1.1924052399910108E-4</v>
      </c>
      <c r="K48" s="44">
        <v>447939362.04000002</v>
      </c>
      <c r="L48" s="13">
        <f t="shared" si="11"/>
        <v>1.4151133774402267E-4</v>
      </c>
      <c r="M48" s="13">
        <f t="shared" si="12"/>
        <v>0.25616275481997519</v>
      </c>
      <c r="N48" s="19">
        <f t="shared" si="13"/>
        <v>2.0211428972816063E-3</v>
      </c>
      <c r="O48" s="20">
        <f t="shared" si="14"/>
        <v>1.384850155107838E-2</v>
      </c>
      <c r="P48" s="23">
        <f t="shared" si="15"/>
        <v>100.00000000892979</v>
      </c>
      <c r="Q48" s="23">
        <f t="shared" si="16"/>
        <v>1.384850155231502</v>
      </c>
      <c r="R48" s="10">
        <v>100</v>
      </c>
      <c r="S48" s="10">
        <v>100</v>
      </c>
      <c r="T48" s="10">
        <v>3023</v>
      </c>
      <c r="U48" s="17">
        <v>3565934.11</v>
      </c>
      <c r="V48" s="17">
        <v>4479393.62</v>
      </c>
    </row>
    <row r="49" spans="1:22">
      <c r="A49" s="95">
        <v>42</v>
      </c>
      <c r="B49" s="73" t="s">
        <v>77</v>
      </c>
      <c r="C49" s="73" t="s">
        <v>36</v>
      </c>
      <c r="D49" s="17">
        <v>103196976158.92</v>
      </c>
      <c r="E49" s="17">
        <v>1742035033.8099999</v>
      </c>
      <c r="F49" s="17">
        <v>0</v>
      </c>
      <c r="G49" s="17">
        <v>107583918.18000001</v>
      </c>
      <c r="H49" s="12">
        <f t="shared" si="10"/>
        <v>1634451115.6299999</v>
      </c>
      <c r="I49" s="44">
        <v>90884667265.169998</v>
      </c>
      <c r="J49" s="13">
        <f t="shared" si="8"/>
        <v>3.0390733538872682E-2</v>
      </c>
      <c r="K49" s="44">
        <v>99651330273.199997</v>
      </c>
      <c r="L49" s="13">
        <f t="shared" si="11"/>
        <v>3.1481477739999764E-2</v>
      </c>
      <c r="M49" s="13">
        <f t="shared" si="12"/>
        <v>9.6459207827123472E-2</v>
      </c>
      <c r="N49" s="19">
        <f t="shared" si="13"/>
        <v>1.0796034321373569E-3</v>
      </c>
      <c r="O49" s="20">
        <f t="shared" si="14"/>
        <v>1.640169891509783E-2</v>
      </c>
      <c r="P49" s="23">
        <f t="shared" si="15"/>
        <v>100.0000000002007</v>
      </c>
      <c r="Q49" s="23">
        <f t="shared" si="16"/>
        <v>1.6401698915130747</v>
      </c>
      <c r="R49" s="10">
        <v>100</v>
      </c>
      <c r="S49" s="10">
        <v>100</v>
      </c>
      <c r="T49" s="10">
        <v>12808</v>
      </c>
      <c r="U49" s="17">
        <v>908846672.64999998</v>
      </c>
      <c r="V49" s="17">
        <v>996513302.73000002</v>
      </c>
    </row>
    <row r="50" spans="1:22">
      <c r="A50" s="95">
        <v>43</v>
      </c>
      <c r="B50" s="18" t="s">
        <v>78</v>
      </c>
      <c r="C50" s="18" t="s">
        <v>38</v>
      </c>
      <c r="D50" s="17">
        <v>22127239102.630001</v>
      </c>
      <c r="E50" s="17">
        <v>416902260.30000001</v>
      </c>
      <c r="F50" s="17">
        <v>0</v>
      </c>
      <c r="G50" s="17">
        <v>27982076.350000001</v>
      </c>
      <c r="H50" s="12">
        <f t="shared" si="10"/>
        <v>388920183.94999999</v>
      </c>
      <c r="I50" s="44">
        <v>20174907267</v>
      </c>
      <c r="J50" s="13">
        <f t="shared" si="8"/>
        <v>6.7462449868904879E-3</v>
      </c>
      <c r="K50" s="44">
        <v>22009195615.389999</v>
      </c>
      <c r="L50" s="13">
        <f t="shared" si="11"/>
        <v>6.9530632450326936E-3</v>
      </c>
      <c r="M50" s="13">
        <f t="shared" si="12"/>
        <v>9.0919295147905643E-2</v>
      </c>
      <c r="N50" s="19">
        <f t="shared" si="13"/>
        <v>1.271381146271127E-3</v>
      </c>
      <c r="O50" s="20">
        <f t="shared" si="14"/>
        <v>1.7670804092360663E-2</v>
      </c>
      <c r="P50" s="23">
        <f t="shared" si="15"/>
        <v>0.99976360692597943</v>
      </c>
      <c r="Q50" s="23">
        <f t="shared" si="16"/>
        <v>1.7666626836660856E-2</v>
      </c>
      <c r="R50" s="10">
        <v>1</v>
      </c>
      <c r="S50" s="10">
        <v>1</v>
      </c>
      <c r="T50" s="10">
        <v>1755</v>
      </c>
      <c r="U50" s="17">
        <v>20181591397</v>
      </c>
      <c r="V50" s="17">
        <v>22014399667</v>
      </c>
    </row>
    <row r="51" spans="1:22">
      <c r="A51" s="95">
        <v>44</v>
      </c>
      <c r="B51" s="18" t="s">
        <v>274</v>
      </c>
      <c r="C51" s="73" t="s">
        <v>275</v>
      </c>
      <c r="D51" s="17">
        <v>1982095585.1300001</v>
      </c>
      <c r="E51" s="17">
        <v>45768746.009999998</v>
      </c>
      <c r="F51" s="17"/>
      <c r="G51" s="17">
        <v>3538065.7</v>
      </c>
      <c r="H51" s="12">
        <f t="shared" si="10"/>
        <v>42230680.309999995</v>
      </c>
      <c r="I51" s="44">
        <v>1695509396.73</v>
      </c>
      <c r="J51" s="13">
        <f t="shared" si="8"/>
        <v>5.6695783611482005E-4</v>
      </c>
      <c r="K51" s="44">
        <v>1996535221.21</v>
      </c>
      <c r="L51" s="13">
        <f t="shared" si="11"/>
        <v>6.3073798364086573E-4</v>
      </c>
      <c r="M51" s="13">
        <f t="shared" si="12"/>
        <v>0.17754299979732677</v>
      </c>
      <c r="N51" s="19">
        <f t="shared" si="13"/>
        <v>1.7721028221359179E-3</v>
      </c>
      <c r="O51" s="20">
        <f t="shared" si="14"/>
        <v>2.1151983627118832E-2</v>
      </c>
      <c r="P51" s="23">
        <f t="shared" si="15"/>
        <v>104.50106069191635</v>
      </c>
      <c r="Q51" s="23">
        <f t="shared" si="16"/>
        <v>2.210404724771966</v>
      </c>
      <c r="R51" s="10">
        <v>100</v>
      </c>
      <c r="S51" s="10">
        <v>100</v>
      </c>
      <c r="T51" s="10">
        <v>155</v>
      </c>
      <c r="U51" s="17">
        <v>16401779.220000001</v>
      </c>
      <c r="V51" s="17">
        <v>19105406.280000001</v>
      </c>
    </row>
    <row r="52" spans="1:22">
      <c r="A52" s="95">
        <v>45</v>
      </c>
      <c r="B52" s="18" t="s">
        <v>79</v>
      </c>
      <c r="C52" s="18" t="s">
        <v>40</v>
      </c>
      <c r="D52" s="17">
        <v>45170130312.620003</v>
      </c>
      <c r="E52" s="17">
        <v>922695452.60000002</v>
      </c>
      <c r="F52" s="17">
        <v>0</v>
      </c>
      <c r="G52" s="17">
        <v>60634199.539999999</v>
      </c>
      <c r="H52" s="12">
        <f t="shared" si="10"/>
        <v>862061253.06000006</v>
      </c>
      <c r="I52" s="44">
        <v>42373489574.82</v>
      </c>
      <c r="J52" s="13">
        <f t="shared" si="8"/>
        <v>1.4169182432316246E-2</v>
      </c>
      <c r="K52" s="44">
        <v>43562381094.349998</v>
      </c>
      <c r="L52" s="13">
        <f t="shared" si="11"/>
        <v>1.3762065463284533E-2</v>
      </c>
      <c r="M52" s="13">
        <f t="shared" si="12"/>
        <v>2.8057437125416383E-2</v>
      </c>
      <c r="N52" s="19">
        <f t="shared" si="13"/>
        <v>1.3918936021581291E-3</v>
      </c>
      <c r="O52" s="20">
        <f t="shared" si="14"/>
        <v>1.97891215173224E-2</v>
      </c>
      <c r="P52" s="23">
        <f t="shared" si="15"/>
        <v>9.9993708743299177</v>
      </c>
      <c r="Q52" s="23">
        <f t="shared" si="16"/>
        <v>0.19787876532888907</v>
      </c>
      <c r="R52" s="10">
        <v>10</v>
      </c>
      <c r="S52" s="10">
        <v>10</v>
      </c>
      <c r="T52" s="10">
        <v>5093</v>
      </c>
      <c r="U52" s="17">
        <v>4239066142.9899998</v>
      </c>
      <c r="V52" s="17">
        <v>4356512188.8000002</v>
      </c>
    </row>
    <row r="53" spans="1:22" ht="14.1" customHeight="1">
      <c r="A53" s="95">
        <v>46</v>
      </c>
      <c r="B53" s="18" t="s">
        <v>80</v>
      </c>
      <c r="C53" s="18" t="s">
        <v>259</v>
      </c>
      <c r="D53" s="17">
        <v>9083666733.2399998</v>
      </c>
      <c r="E53" s="17">
        <v>396515380.72000003</v>
      </c>
      <c r="F53" s="17">
        <v>0</v>
      </c>
      <c r="G53" s="17">
        <v>31252482.379999999</v>
      </c>
      <c r="H53" s="12">
        <f t="shared" si="10"/>
        <v>365262898.34000003</v>
      </c>
      <c r="I53" s="44">
        <v>20056232236</v>
      </c>
      <c r="J53" s="13">
        <f t="shared" si="8"/>
        <v>6.706561491826182E-3</v>
      </c>
      <c r="K53" s="44">
        <v>21123616736</v>
      </c>
      <c r="L53" s="13">
        <f t="shared" si="11"/>
        <v>6.6732944581826097E-3</v>
      </c>
      <c r="M53" s="13">
        <f t="shared" si="12"/>
        <v>5.3219592166672998E-2</v>
      </c>
      <c r="N53" s="19">
        <f t="shared" si="13"/>
        <v>1.4795043278141779E-3</v>
      </c>
      <c r="O53" s="20">
        <f t="shared" si="14"/>
        <v>1.7291683659337535E-2</v>
      </c>
      <c r="P53" s="23">
        <f t="shared" si="15"/>
        <v>100.00000017042537</v>
      </c>
      <c r="Q53" s="23">
        <f t="shared" si="16"/>
        <v>1.7291683688806947</v>
      </c>
      <c r="R53" s="10">
        <v>100</v>
      </c>
      <c r="S53" s="10">
        <v>100</v>
      </c>
      <c r="T53" s="10">
        <v>4324</v>
      </c>
      <c r="U53" s="17">
        <v>200562322</v>
      </c>
      <c r="V53" s="17">
        <v>211236167</v>
      </c>
    </row>
    <row r="54" spans="1:22">
      <c r="A54" s="95">
        <v>47</v>
      </c>
      <c r="B54" s="18" t="s">
        <v>81</v>
      </c>
      <c r="C54" s="73" t="s">
        <v>82</v>
      </c>
      <c r="D54" s="17">
        <v>177337821.13</v>
      </c>
      <c r="E54" s="17">
        <v>4342933.83</v>
      </c>
      <c r="F54" s="17">
        <v>0</v>
      </c>
      <c r="G54" s="17">
        <v>4125019.33</v>
      </c>
      <c r="H54" s="12">
        <f t="shared" si="10"/>
        <v>217914.5</v>
      </c>
      <c r="I54" s="44">
        <v>276090290.25999999</v>
      </c>
      <c r="J54" s="13">
        <f t="shared" si="8"/>
        <v>9.2321253919331063E-5</v>
      </c>
      <c r="K54" s="44">
        <v>282165564.12</v>
      </c>
      <c r="L54" s="13">
        <f t="shared" si="11"/>
        <v>8.9140695879172093E-5</v>
      </c>
      <c r="M54" s="13">
        <f t="shared" si="12"/>
        <v>2.2004663236359388E-2</v>
      </c>
      <c r="N54" s="19">
        <f t="shared" si="13"/>
        <v>1.4619145120932271E-2</v>
      </c>
      <c r="O54" s="20">
        <f t="shared" si="14"/>
        <v>7.7229303540145961E-4</v>
      </c>
      <c r="P54" s="23">
        <f t="shared" si="15"/>
        <v>1.5291528168912301</v>
      </c>
      <c r="Q54" s="23">
        <f t="shared" si="16"/>
        <v>1.1809540705496205E-3</v>
      </c>
      <c r="R54" s="10">
        <v>1</v>
      </c>
      <c r="S54" s="10">
        <v>1</v>
      </c>
      <c r="T54" s="10">
        <v>97</v>
      </c>
      <c r="U54" s="17">
        <v>189996408</v>
      </c>
      <c r="V54" s="17">
        <v>184524111</v>
      </c>
    </row>
    <row r="55" spans="1:22" ht="15" customHeight="1">
      <c r="A55" s="95">
        <v>48</v>
      </c>
      <c r="B55" s="73" t="s">
        <v>83</v>
      </c>
      <c r="C55" s="73" t="s">
        <v>42</v>
      </c>
      <c r="D55" s="17">
        <v>1514041606.8</v>
      </c>
      <c r="E55" s="17">
        <v>56707295.289999999</v>
      </c>
      <c r="F55" s="17">
        <v>0</v>
      </c>
      <c r="G55" s="17">
        <v>3733662.34</v>
      </c>
      <c r="H55" s="12">
        <f t="shared" si="10"/>
        <v>52973632.950000003</v>
      </c>
      <c r="I55" s="44">
        <v>1431231202.8699999</v>
      </c>
      <c r="J55" s="13">
        <f t="shared" si="8"/>
        <v>4.7858640437154973E-4</v>
      </c>
      <c r="K55" s="44">
        <v>1526120694.0699999</v>
      </c>
      <c r="L55" s="13">
        <f t="shared" si="11"/>
        <v>4.821263753047829E-4</v>
      </c>
      <c r="M55" s="13">
        <f t="shared" si="12"/>
        <v>6.6299205194605415E-2</v>
      </c>
      <c r="N55" s="19">
        <f t="shared" si="13"/>
        <v>2.4465052826475498E-3</v>
      </c>
      <c r="O55" s="20">
        <f t="shared" si="14"/>
        <v>3.4711299804686492E-2</v>
      </c>
      <c r="P55" s="23">
        <f t="shared" si="15"/>
        <v>10.715594176737651</v>
      </c>
      <c r="Q55" s="23">
        <f t="shared" si="16"/>
        <v>0.37195220205409335</v>
      </c>
      <c r="R55" s="10">
        <v>10</v>
      </c>
      <c r="S55" s="10">
        <v>10</v>
      </c>
      <c r="T55" s="10">
        <v>827</v>
      </c>
      <c r="U55" s="17">
        <v>131367435.59999999</v>
      </c>
      <c r="V55" s="17">
        <v>142420538.59999999</v>
      </c>
    </row>
    <row r="56" spans="1:22" ht="15" customHeight="1">
      <c r="A56" s="95">
        <v>49</v>
      </c>
      <c r="B56" s="10" t="s">
        <v>207</v>
      </c>
      <c r="C56" s="10" t="s">
        <v>208</v>
      </c>
      <c r="D56" s="17">
        <v>585744335.75999999</v>
      </c>
      <c r="E56" s="17">
        <v>15429445</v>
      </c>
      <c r="F56" s="17">
        <v>0</v>
      </c>
      <c r="G56" s="17">
        <v>1439331.09</v>
      </c>
      <c r="H56" s="12">
        <f t="shared" si="10"/>
        <v>13990113.91</v>
      </c>
      <c r="I56" s="44">
        <v>794165885</v>
      </c>
      <c r="J56" s="13">
        <f t="shared" si="8"/>
        <v>2.6555946699215616E-4</v>
      </c>
      <c r="K56" s="44">
        <v>928919975</v>
      </c>
      <c r="L56" s="13">
        <f t="shared" si="11"/>
        <v>2.9346094462592831E-4</v>
      </c>
      <c r="M56" s="13">
        <f t="shared" si="12"/>
        <v>0.1696800284993355</v>
      </c>
      <c r="N56" s="19">
        <f t="shared" si="13"/>
        <v>1.5494672616981888E-3</v>
      </c>
      <c r="O56" s="20">
        <f t="shared" si="14"/>
        <v>1.5060623397618293E-2</v>
      </c>
      <c r="P56" s="23">
        <f t="shared" si="15"/>
        <v>1</v>
      </c>
      <c r="Q56" s="23">
        <f t="shared" si="16"/>
        <v>1.5060623397618293E-2</v>
      </c>
      <c r="R56" s="10">
        <v>1</v>
      </c>
      <c r="S56" s="10">
        <v>1</v>
      </c>
      <c r="T56" s="10">
        <v>118</v>
      </c>
      <c r="U56" s="17">
        <v>794165885</v>
      </c>
      <c r="V56" s="17">
        <v>928919975</v>
      </c>
    </row>
    <row r="57" spans="1:22" ht="15" customHeight="1">
      <c r="A57" s="95">
        <v>50</v>
      </c>
      <c r="B57" s="10" t="s">
        <v>294</v>
      </c>
      <c r="C57" s="10" t="s">
        <v>295</v>
      </c>
      <c r="D57" s="17">
        <v>479631729.14999998</v>
      </c>
      <c r="E57" s="17">
        <v>9656953.8599999994</v>
      </c>
      <c r="F57" s="17">
        <v>0</v>
      </c>
      <c r="G57" s="17">
        <v>0</v>
      </c>
      <c r="H57" s="12">
        <f t="shared" si="10"/>
        <v>9656953.8599999994</v>
      </c>
      <c r="I57" s="44">
        <v>482301703.75</v>
      </c>
      <c r="J57" s="13">
        <f t="shared" si="8"/>
        <v>1.6127585658915429E-4</v>
      </c>
      <c r="K57" s="44">
        <v>600058049.96000004</v>
      </c>
      <c r="L57" s="13">
        <f t="shared" si="11"/>
        <v>1.8956810802960082E-4</v>
      </c>
      <c r="M57" s="13">
        <f t="shared" si="12"/>
        <v>0.24415494553392408</v>
      </c>
      <c r="N57" s="19">
        <f t="shared" si="13"/>
        <v>0</v>
      </c>
      <c r="O57" s="20">
        <f t="shared" si="14"/>
        <v>1.6093366067905818E-2</v>
      </c>
      <c r="P57" s="23">
        <f t="shared" si="15"/>
        <v>1</v>
      </c>
      <c r="Q57" s="23">
        <f t="shared" si="16"/>
        <v>1.6093366067905818E-2</v>
      </c>
      <c r="R57" s="10">
        <v>1</v>
      </c>
      <c r="S57" s="10">
        <v>1</v>
      </c>
      <c r="T57" s="10">
        <v>541</v>
      </c>
      <c r="U57" s="17">
        <v>482301703.75</v>
      </c>
      <c r="V57" s="17">
        <v>600058049.96000004</v>
      </c>
    </row>
    <row r="58" spans="1:22" ht="15" customHeight="1">
      <c r="A58" s="95">
        <v>51</v>
      </c>
      <c r="B58" s="75" t="s">
        <v>209</v>
      </c>
      <c r="C58" s="76" t="s">
        <v>210</v>
      </c>
      <c r="D58" s="17">
        <v>12223249569.780001</v>
      </c>
      <c r="E58" s="17">
        <v>213052693.13</v>
      </c>
      <c r="F58" s="17">
        <v>0</v>
      </c>
      <c r="G58" s="17">
        <v>16345145.52</v>
      </c>
      <c r="H58" s="12">
        <f t="shared" si="10"/>
        <v>196707547.60999998</v>
      </c>
      <c r="I58" s="44">
        <v>11388192938.85</v>
      </c>
      <c r="J58" s="13">
        <f t="shared" si="8"/>
        <v>3.808073985505991E-3</v>
      </c>
      <c r="K58" s="44">
        <v>11633257938.99</v>
      </c>
      <c r="L58" s="13">
        <f t="shared" si="11"/>
        <v>3.6751355937340944E-3</v>
      </c>
      <c r="M58" s="13">
        <f t="shared" si="12"/>
        <v>2.1519217443531167E-2</v>
      </c>
      <c r="N58" s="19">
        <f t="shared" si="13"/>
        <v>1.4050359414122203E-3</v>
      </c>
      <c r="O58" s="20">
        <f t="shared" si="14"/>
        <v>1.6909067833071546E-2</v>
      </c>
      <c r="P58" s="23">
        <f t="shared" si="15"/>
        <v>100.00000000851009</v>
      </c>
      <c r="Q58" s="23">
        <f t="shared" si="16"/>
        <v>1.6909067834510521</v>
      </c>
      <c r="R58" s="10">
        <v>100</v>
      </c>
      <c r="S58" s="10">
        <v>100</v>
      </c>
      <c r="T58" s="10">
        <v>102</v>
      </c>
      <c r="U58" s="17">
        <v>113881929.38</v>
      </c>
      <c r="V58" s="17">
        <v>116332579.38</v>
      </c>
    </row>
    <row r="59" spans="1:22" ht="15" customHeight="1">
      <c r="A59" s="95">
        <v>52</v>
      </c>
      <c r="B59" s="75" t="s">
        <v>211</v>
      </c>
      <c r="C59" s="76" t="s">
        <v>109</v>
      </c>
      <c r="D59" s="17">
        <v>31469726.030000001</v>
      </c>
      <c r="E59" s="17">
        <v>1194575.3400000001</v>
      </c>
      <c r="F59" s="17">
        <v>0</v>
      </c>
      <c r="G59" s="17">
        <v>104963.24</v>
      </c>
      <c r="H59" s="12">
        <f t="shared" si="10"/>
        <v>1089612.1000000001</v>
      </c>
      <c r="I59" s="44">
        <v>71353726.189999998</v>
      </c>
      <c r="J59" s="13">
        <f t="shared" si="8"/>
        <v>2.3859823058151954E-5</v>
      </c>
      <c r="K59" s="44">
        <v>65183867.149999999</v>
      </c>
      <c r="L59" s="13">
        <f t="shared" si="11"/>
        <v>2.0592644945771585E-5</v>
      </c>
      <c r="M59" s="13">
        <f t="shared" si="12"/>
        <v>-8.6468631274713798E-2</v>
      </c>
      <c r="N59" s="19">
        <f t="shared" si="13"/>
        <v>1.610264082038281E-3</v>
      </c>
      <c r="O59" s="20">
        <f t="shared" si="14"/>
        <v>1.6715978165158619E-2</v>
      </c>
      <c r="P59" s="23">
        <f t="shared" si="15"/>
        <v>1261.6883545602354</v>
      </c>
      <c r="Q59" s="23">
        <f t="shared" si="16"/>
        <v>21.090354986063797</v>
      </c>
      <c r="R59" s="10">
        <v>1000</v>
      </c>
      <c r="S59" s="10">
        <v>1000</v>
      </c>
      <c r="T59" s="10">
        <v>23</v>
      </c>
      <c r="U59" s="17">
        <v>51665</v>
      </c>
      <c r="V59" s="17">
        <v>51664</v>
      </c>
    </row>
    <row r="60" spans="1:22">
      <c r="A60" s="95">
        <v>53</v>
      </c>
      <c r="B60" s="18" t="s">
        <v>84</v>
      </c>
      <c r="C60" s="18" t="s">
        <v>46</v>
      </c>
      <c r="D60" s="17">
        <v>1540537316708.8601</v>
      </c>
      <c r="E60" s="17">
        <v>27460941350.990002</v>
      </c>
      <c r="F60" s="17">
        <v>0</v>
      </c>
      <c r="G60" s="17">
        <v>2465020052.1799998</v>
      </c>
      <c r="H60" s="12">
        <f t="shared" si="10"/>
        <v>24995921298.810001</v>
      </c>
      <c r="I60" s="44">
        <v>1455496615737.3301</v>
      </c>
      <c r="J60" s="13">
        <f t="shared" si="8"/>
        <v>0.48670046495902108</v>
      </c>
      <c r="K60" s="44">
        <v>1534109823218.1299</v>
      </c>
      <c r="L60" s="13">
        <f t="shared" si="11"/>
        <v>0.48465027128037408</v>
      </c>
      <c r="M60" s="13">
        <f t="shared" si="12"/>
        <v>5.4011260920023285E-2</v>
      </c>
      <c r="N60" s="19">
        <f t="shared" si="13"/>
        <v>1.6068080751931323E-3</v>
      </c>
      <c r="O60" s="20">
        <f t="shared" si="14"/>
        <v>1.6293436702188378E-2</v>
      </c>
      <c r="P60" s="23">
        <f t="shared" si="15"/>
        <v>1</v>
      </c>
      <c r="Q60" s="23">
        <f t="shared" si="16"/>
        <v>1.6293436702188378E-2</v>
      </c>
      <c r="R60" s="10">
        <v>100</v>
      </c>
      <c r="S60" s="10">
        <v>100</v>
      </c>
      <c r="T60" s="10">
        <v>193171</v>
      </c>
      <c r="U60" s="17">
        <v>1455496615737.3101</v>
      </c>
      <c r="V60" s="17">
        <v>1534109823218.1299</v>
      </c>
    </row>
    <row r="61" spans="1:22">
      <c r="A61" s="95">
        <v>54</v>
      </c>
      <c r="B61" s="18" t="s">
        <v>296</v>
      </c>
      <c r="C61" s="18" t="s">
        <v>297</v>
      </c>
      <c r="D61" s="17">
        <v>2189326082.3499999</v>
      </c>
      <c r="E61" s="17">
        <v>112261233.28</v>
      </c>
      <c r="F61" s="17">
        <v>0</v>
      </c>
      <c r="G61" s="17">
        <v>25795123.670000002</v>
      </c>
      <c r="H61" s="12">
        <f t="shared" si="10"/>
        <v>86466109.609999999</v>
      </c>
      <c r="I61" s="44">
        <v>3579996969.237</v>
      </c>
      <c r="J61" s="13">
        <f t="shared" si="8"/>
        <v>1.1971076886337318E-3</v>
      </c>
      <c r="K61" s="44">
        <v>4513463774.9300003</v>
      </c>
      <c r="L61" s="13">
        <f t="shared" si="11"/>
        <v>1.4258766939809495E-3</v>
      </c>
      <c r="M61" s="13">
        <f t="shared" si="12"/>
        <v>0.26074513853344095</v>
      </c>
      <c r="N61" s="19">
        <f t="shared" si="13"/>
        <v>5.7151502607108128E-3</v>
      </c>
      <c r="O61" s="20">
        <f t="shared" si="14"/>
        <v>1.9157373122229392E-2</v>
      </c>
      <c r="P61" s="23">
        <f t="shared" si="15"/>
        <v>99.999999998449098</v>
      </c>
      <c r="Q61" s="23">
        <f t="shared" si="16"/>
        <v>1.915737312193228</v>
      </c>
      <c r="R61" s="10">
        <v>100</v>
      </c>
      <c r="S61" s="10">
        <v>100</v>
      </c>
      <c r="T61" s="10">
        <v>589</v>
      </c>
      <c r="U61" s="17">
        <v>35799969.689999998</v>
      </c>
      <c r="V61" s="17">
        <v>45134637.75</v>
      </c>
    </row>
    <row r="62" spans="1:22">
      <c r="A62" s="95">
        <v>55</v>
      </c>
      <c r="B62" s="18" t="s">
        <v>85</v>
      </c>
      <c r="C62" s="18" t="s">
        <v>86</v>
      </c>
      <c r="D62" s="17">
        <v>5019756139.21</v>
      </c>
      <c r="E62" s="17">
        <v>93916003.859999999</v>
      </c>
      <c r="F62" s="17">
        <v>0</v>
      </c>
      <c r="G62" s="17">
        <v>7082120.1100000003</v>
      </c>
      <c r="H62" s="12">
        <f t="shared" si="10"/>
        <v>86833883.75</v>
      </c>
      <c r="I62" s="44">
        <v>4750784733.5299997</v>
      </c>
      <c r="J62" s="13">
        <f t="shared" si="8"/>
        <v>1.5886049570496209E-3</v>
      </c>
      <c r="K62" s="44">
        <v>5029179279.5699997</v>
      </c>
      <c r="L62" s="13">
        <f t="shared" si="11"/>
        <v>1.5887996186924043E-3</v>
      </c>
      <c r="M62" s="13">
        <f t="shared" si="12"/>
        <v>5.8599697030082658E-2</v>
      </c>
      <c r="N62" s="19">
        <f t="shared" si="13"/>
        <v>1.408205935065717E-3</v>
      </c>
      <c r="O62" s="20">
        <f t="shared" si="14"/>
        <v>1.7266014775560834E-2</v>
      </c>
      <c r="P62" s="23">
        <f t="shared" si="15"/>
        <v>1.048930381026127</v>
      </c>
      <c r="Q62" s="23">
        <f t="shared" si="16"/>
        <v>1.8110847457331762E-2</v>
      </c>
      <c r="R62" s="10">
        <v>1</v>
      </c>
      <c r="S62" s="10">
        <v>1</v>
      </c>
      <c r="T62" s="10">
        <v>497</v>
      </c>
      <c r="U62" s="17">
        <v>4577383323.0699997</v>
      </c>
      <c r="V62" s="17">
        <v>4794578716.1300001</v>
      </c>
    </row>
    <row r="63" spans="1:22">
      <c r="A63" s="95">
        <v>56</v>
      </c>
      <c r="B63" s="18" t="s">
        <v>87</v>
      </c>
      <c r="C63" s="18" t="s">
        <v>50</v>
      </c>
      <c r="D63" s="17">
        <v>51323747289</v>
      </c>
      <c r="E63" s="17">
        <v>2552396920</v>
      </c>
      <c r="F63" s="17">
        <v>0</v>
      </c>
      <c r="G63" s="17">
        <v>217810763</v>
      </c>
      <c r="H63" s="12">
        <f t="shared" si="10"/>
        <v>2334586157</v>
      </c>
      <c r="I63" s="44">
        <v>142008449952</v>
      </c>
      <c r="J63" s="13">
        <f t="shared" si="8"/>
        <v>4.7485908158388601E-2</v>
      </c>
      <c r="K63" s="44">
        <v>146973779187</v>
      </c>
      <c r="L63" s="13">
        <f t="shared" si="11"/>
        <v>4.6431409848259129E-2</v>
      </c>
      <c r="M63" s="13">
        <f t="shared" si="12"/>
        <v>3.4965026635234181E-2</v>
      </c>
      <c r="N63" s="19">
        <f t="shared" si="13"/>
        <v>1.4819702140398225E-3</v>
      </c>
      <c r="O63" s="20">
        <f t="shared" si="14"/>
        <v>1.5884371824103554E-2</v>
      </c>
      <c r="P63" s="23">
        <f t="shared" si="15"/>
        <v>0.10335803962142706</v>
      </c>
      <c r="Q63" s="23">
        <f t="shared" si="16"/>
        <v>1.6417775323571747E-3</v>
      </c>
      <c r="R63" s="10">
        <v>1</v>
      </c>
      <c r="S63" s="10">
        <v>1</v>
      </c>
      <c r="T63" s="10">
        <v>14538</v>
      </c>
      <c r="U63" s="17">
        <v>138428673035.5</v>
      </c>
      <c r="V63" s="17">
        <v>1421986908085</v>
      </c>
    </row>
    <row r="64" spans="1:22">
      <c r="A64" s="95">
        <v>57</v>
      </c>
      <c r="B64" s="86" t="s">
        <v>88</v>
      </c>
      <c r="C64" s="18" t="s">
        <v>89</v>
      </c>
      <c r="D64" s="17">
        <v>972547250.48000002</v>
      </c>
      <c r="E64" s="17">
        <v>27483851.84</v>
      </c>
      <c r="F64" s="17">
        <v>0</v>
      </c>
      <c r="G64" s="17">
        <v>2054411.85</v>
      </c>
      <c r="H64" s="12">
        <f t="shared" si="10"/>
        <v>25429439.989999998</v>
      </c>
      <c r="I64" s="44">
        <v>1502846898.1900001</v>
      </c>
      <c r="J64" s="13">
        <f t="shared" si="8"/>
        <v>5.0253382673841698E-4</v>
      </c>
      <c r="K64" s="44">
        <v>1741864893.6700001</v>
      </c>
      <c r="L64" s="13">
        <f t="shared" si="11"/>
        <v>5.5028348067027023E-4</v>
      </c>
      <c r="M64" s="13">
        <f t="shared" si="12"/>
        <v>0.15904347659623125</v>
      </c>
      <c r="N64" s="19">
        <f t="shared" si="13"/>
        <v>1.1794323758781791E-3</v>
      </c>
      <c r="O64" s="20">
        <f t="shared" si="14"/>
        <v>1.4598973825358959E-2</v>
      </c>
      <c r="P64" s="23">
        <f t="shared" si="15"/>
        <v>1.0428764212502568</v>
      </c>
      <c r="Q64" s="23">
        <f t="shared" si="16"/>
        <v>1.5224925576916523E-2</v>
      </c>
      <c r="R64" s="10">
        <v>1</v>
      </c>
      <c r="S64" s="10">
        <v>1</v>
      </c>
      <c r="T64" s="10">
        <v>155</v>
      </c>
      <c r="U64" s="17">
        <v>1456661972.9300001</v>
      </c>
      <c r="V64" s="17">
        <v>1670250528.4200001</v>
      </c>
    </row>
    <row r="65" spans="1:24">
      <c r="A65" s="95">
        <v>58</v>
      </c>
      <c r="B65" s="18" t="s">
        <v>90</v>
      </c>
      <c r="C65" s="18" t="s">
        <v>91</v>
      </c>
      <c r="D65" s="17">
        <v>4969188824.5299997</v>
      </c>
      <c r="E65" s="17">
        <v>81444042.650000006</v>
      </c>
      <c r="F65" s="17">
        <v>0</v>
      </c>
      <c r="G65" s="17">
        <v>6896667.2800000003</v>
      </c>
      <c r="H65" s="12">
        <f t="shared" si="10"/>
        <v>74547375.370000005</v>
      </c>
      <c r="I65" s="44">
        <v>4718510617.4399996</v>
      </c>
      <c r="J65" s="13">
        <f t="shared" si="8"/>
        <v>1.5778128829648682E-3</v>
      </c>
      <c r="K65" s="44">
        <v>4973945921.8100004</v>
      </c>
      <c r="L65" s="13">
        <f t="shared" si="11"/>
        <v>1.5713505016755039E-3</v>
      </c>
      <c r="M65" s="13">
        <f t="shared" si="12"/>
        <v>5.4134731291244985E-2</v>
      </c>
      <c r="N65" s="19">
        <f t="shared" si="13"/>
        <v>1.3865585570118802E-3</v>
      </c>
      <c r="O65" s="20">
        <f t="shared" si="14"/>
        <v>1.4987572551426633E-2</v>
      </c>
      <c r="P65" s="23">
        <f t="shared" si="15"/>
        <v>1.0430909380194351</v>
      </c>
      <c r="Q65" s="23">
        <f t="shared" si="16"/>
        <v>1.5633401111301945E-2</v>
      </c>
      <c r="R65" s="10">
        <v>1</v>
      </c>
      <c r="S65" s="10">
        <v>1</v>
      </c>
      <c r="T65" s="10">
        <v>435</v>
      </c>
      <c r="U65" s="17">
        <v>4586314369.0100002</v>
      </c>
      <c r="V65" s="17">
        <v>4768468156.0500002</v>
      </c>
    </row>
    <row r="66" spans="1:24">
      <c r="A66" s="95">
        <v>59</v>
      </c>
      <c r="B66" s="75" t="s">
        <v>298</v>
      </c>
      <c r="C66" s="75" t="s">
        <v>299</v>
      </c>
      <c r="D66" s="17">
        <v>2637665218.3699999</v>
      </c>
      <c r="E66" s="17">
        <v>121105281.13</v>
      </c>
      <c r="F66" s="17">
        <v>0</v>
      </c>
      <c r="G66" s="17">
        <v>9297011.4100000001</v>
      </c>
      <c r="H66" s="12">
        <f t="shared" si="10"/>
        <v>111808269.72</v>
      </c>
      <c r="I66" s="44">
        <v>6491424319.6700001</v>
      </c>
      <c r="J66" s="13">
        <f t="shared" si="8"/>
        <v>2.1706537826810392E-3</v>
      </c>
      <c r="K66" s="44">
        <v>5973087393.0200005</v>
      </c>
      <c r="L66" s="13">
        <f t="shared" si="11"/>
        <v>1.886995560289112E-3</v>
      </c>
      <c r="M66" s="13">
        <f t="shared" si="12"/>
        <v>-7.9849490824280292E-2</v>
      </c>
      <c r="N66" s="19">
        <f t="shared" si="13"/>
        <v>1.5564834060295609E-3</v>
      </c>
      <c r="O66" s="20">
        <f t="shared" si="14"/>
        <v>1.8718673001613256E-2</v>
      </c>
      <c r="P66" s="23">
        <f t="shared" si="15"/>
        <v>0.99640529433890501</v>
      </c>
      <c r="Q66" s="23">
        <f t="shared" si="16"/>
        <v>1.865138488180617E-2</v>
      </c>
      <c r="R66" s="10">
        <v>1</v>
      </c>
      <c r="S66" s="10">
        <v>1</v>
      </c>
      <c r="T66" s="10">
        <v>3792</v>
      </c>
      <c r="U66" s="17">
        <v>6507197260.5200005</v>
      </c>
      <c r="V66" s="17">
        <v>5994636346.2299995</v>
      </c>
    </row>
    <row r="67" spans="1:24">
      <c r="A67" s="95">
        <v>60</v>
      </c>
      <c r="B67" s="18" t="s">
        <v>92</v>
      </c>
      <c r="C67" s="18" t="s">
        <v>93</v>
      </c>
      <c r="D67" s="17">
        <v>97873653801.619995</v>
      </c>
      <c r="E67" s="17">
        <v>1702114196.45</v>
      </c>
      <c r="F67" s="17">
        <v>0</v>
      </c>
      <c r="G67" s="17">
        <v>113199346.06</v>
      </c>
      <c r="H67" s="12">
        <f t="shared" si="10"/>
        <v>1588914850.3900001</v>
      </c>
      <c r="I67" s="44">
        <v>89782697823.740005</v>
      </c>
      <c r="J67" s="13">
        <f t="shared" si="8"/>
        <v>3.0022248285306554E-2</v>
      </c>
      <c r="K67" s="44">
        <v>98399490399.610001</v>
      </c>
      <c r="L67" s="13">
        <f t="shared" si="11"/>
        <v>3.108600114168017E-2</v>
      </c>
      <c r="M67" s="13">
        <f t="shared" si="12"/>
        <v>9.5973865619257151E-2</v>
      </c>
      <c r="N67" s="19">
        <f t="shared" si="13"/>
        <v>1.1504058161306155E-3</v>
      </c>
      <c r="O67" s="20">
        <f t="shared" si="14"/>
        <v>1.6147592268387374E-2</v>
      </c>
      <c r="P67" s="23">
        <f t="shared" si="15"/>
        <v>1.0451276044663673</v>
      </c>
      <c r="Q67" s="23">
        <f t="shared" si="16"/>
        <v>1.6876294425359331E-2</v>
      </c>
      <c r="R67" s="10">
        <v>1</v>
      </c>
      <c r="S67" s="10">
        <v>1</v>
      </c>
      <c r="T67" s="10">
        <v>5586</v>
      </c>
      <c r="U67" s="17">
        <v>86970045072.720001</v>
      </c>
      <c r="V67" s="17">
        <v>94150695072.160004</v>
      </c>
    </row>
    <row r="68" spans="1:24" ht="15" customHeight="1">
      <c r="A68" s="110" t="s">
        <v>51</v>
      </c>
      <c r="B68" s="110"/>
      <c r="C68" s="110"/>
      <c r="D68" s="110"/>
      <c r="E68" s="110"/>
      <c r="F68" s="110"/>
      <c r="G68" s="110"/>
      <c r="H68" s="110"/>
      <c r="I68" s="25">
        <f>SUM(I27:I67)</f>
        <v>2990538782123.167</v>
      </c>
      <c r="J68" s="34">
        <f>(I68/$I$229)</f>
        <v>0.52636282282884328</v>
      </c>
      <c r="K68" s="36">
        <f>SUM(K27:K67)</f>
        <v>3165395573111.3892</v>
      </c>
      <c r="L68" s="34">
        <f>(K68/$K$229)</f>
        <v>0.54004958219491361</v>
      </c>
      <c r="M68" s="34">
        <f>((K68-I68)/I68)</f>
        <v>5.8469996120257835E-2</v>
      </c>
      <c r="N68" s="19"/>
      <c r="O68" s="19"/>
      <c r="P68" s="37"/>
      <c r="Q68" s="37"/>
      <c r="R68" s="36"/>
      <c r="S68" s="36"/>
      <c r="T68" s="36">
        <f>SUM(T27:T67)</f>
        <v>424589</v>
      </c>
      <c r="U68" s="36"/>
      <c r="V68" s="36"/>
    </row>
    <row r="69" spans="1:24" ht="6.9" customHeight="1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5"/>
    </row>
    <row r="70" spans="1:24">
      <c r="A70" s="113" t="s">
        <v>94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</row>
    <row r="71" spans="1:24">
      <c r="A71" s="95">
        <v>61</v>
      </c>
      <c r="B71" s="18" t="s">
        <v>95</v>
      </c>
      <c r="C71" s="18" t="s">
        <v>24</v>
      </c>
      <c r="D71" s="10">
        <v>545631424.30999994</v>
      </c>
      <c r="E71" s="10">
        <v>8181214.04</v>
      </c>
      <c r="F71" s="10">
        <v>0</v>
      </c>
      <c r="G71" s="10">
        <v>746149.62</v>
      </c>
      <c r="H71" s="12">
        <f t="shared" ref="H71:H107" si="17">(E71+F71)-G71</f>
        <v>7435064.4199999999</v>
      </c>
      <c r="I71" s="10">
        <v>532062386.94</v>
      </c>
      <c r="J71" s="13">
        <f t="shared" ref="J71:J107" si="18">(I71/$I$108)</f>
        <v>2.554557083658161E-3</v>
      </c>
      <c r="K71" s="10">
        <v>549228316.78999996</v>
      </c>
      <c r="L71" s="13">
        <f t="shared" ref="L71:L107" si="19">(K71/$K$108)</f>
        <v>2.6261896827442744E-3</v>
      </c>
      <c r="M71" s="13">
        <f>((K71-I71)/I71)</f>
        <v>3.2263001992538412E-2</v>
      </c>
      <c r="N71" s="19">
        <f>(G71/K71)</f>
        <v>1.3585417888883065E-3</v>
      </c>
      <c r="O71" s="20">
        <f>H71/K71</f>
        <v>1.3537292584356738E-2</v>
      </c>
      <c r="P71" s="23">
        <f>K71/V71</f>
        <v>1.5583134416023574</v>
      </c>
      <c r="Q71" s="23">
        <f>H71/V71</f>
        <v>2.109534499710702E-2</v>
      </c>
      <c r="R71" s="10">
        <v>1.5</v>
      </c>
      <c r="S71" s="10">
        <v>1.5</v>
      </c>
      <c r="T71" s="16">
        <v>367</v>
      </c>
      <c r="U71" s="10">
        <v>352330460.88</v>
      </c>
      <c r="V71" s="10">
        <v>352450477.63</v>
      </c>
    </row>
    <row r="72" spans="1:24" ht="12.9" customHeight="1">
      <c r="A72" s="95">
        <v>62</v>
      </c>
      <c r="B72" s="18" t="s">
        <v>96</v>
      </c>
      <c r="C72" s="73" t="s">
        <v>26</v>
      </c>
      <c r="D72" s="10">
        <v>993298667.88</v>
      </c>
      <c r="E72" s="10">
        <v>16667318.15</v>
      </c>
      <c r="F72" s="10">
        <v>5071476.74</v>
      </c>
      <c r="G72" s="10">
        <v>2415555.14</v>
      </c>
      <c r="H72" s="12">
        <f t="shared" si="17"/>
        <v>19323239.75</v>
      </c>
      <c r="I72" s="10">
        <v>1289939772</v>
      </c>
      <c r="J72" s="13">
        <f t="shared" si="18"/>
        <v>6.1933052644568753E-3</v>
      </c>
      <c r="K72" s="10">
        <v>1300044634</v>
      </c>
      <c r="L72" s="13">
        <f t="shared" ref="L72:L107" si="20">(K72/$K$108)</f>
        <v>6.2162923879674585E-3</v>
      </c>
      <c r="M72" s="13">
        <f t="shared" ref="M72:M107" si="21">((K72-I72)/I72)</f>
        <v>7.8335920942516693E-3</v>
      </c>
      <c r="N72" s="19">
        <f t="shared" ref="N72:N107" si="22">(G72/K72)</f>
        <v>1.8580555442683363E-3</v>
      </c>
      <c r="O72" s="20">
        <f t="shared" ref="O72:O107" si="23">H72/K72</f>
        <v>1.4863520255105334E-2</v>
      </c>
      <c r="P72" s="23">
        <f t="shared" ref="P72:P107" si="24">K72/V72</f>
        <v>1.277364223637758</v>
      </c>
      <c r="Q72" s="23">
        <f t="shared" ref="Q72:Q107" si="25">H72/V72</f>
        <v>1.8986129011186716E-2</v>
      </c>
      <c r="R72" s="10">
        <v>1.2774000000000001</v>
      </c>
      <c r="S72" s="10">
        <v>1.2774000000000001</v>
      </c>
      <c r="T72" s="16">
        <v>1030</v>
      </c>
      <c r="U72" s="10">
        <v>1025011415</v>
      </c>
      <c r="V72" s="10">
        <v>1017755633</v>
      </c>
    </row>
    <row r="73" spans="1:24" ht="15" customHeight="1">
      <c r="A73" s="95">
        <v>63</v>
      </c>
      <c r="B73" s="18" t="s">
        <v>97</v>
      </c>
      <c r="C73" s="18" t="s">
        <v>98</v>
      </c>
      <c r="D73" s="10">
        <v>630388480.72000003</v>
      </c>
      <c r="E73" s="10">
        <v>9940912.8300000001</v>
      </c>
      <c r="F73" s="10">
        <v>0</v>
      </c>
      <c r="G73" s="10">
        <v>2044496.69</v>
      </c>
      <c r="H73" s="12">
        <f t="shared" si="17"/>
        <v>7896416.1400000006</v>
      </c>
      <c r="I73" s="10">
        <v>790105540</v>
      </c>
      <c r="J73" s="13">
        <f t="shared" si="18"/>
        <v>3.7934831583427927E-3</v>
      </c>
      <c r="K73" s="10">
        <v>789967443</v>
      </c>
      <c r="L73" s="13">
        <f t="shared" si="20"/>
        <v>3.7773076971625093E-3</v>
      </c>
      <c r="M73" s="13">
        <f t="shared" si="21"/>
        <v>-1.7478297899290772E-4</v>
      </c>
      <c r="N73" s="19">
        <f t="shared" si="22"/>
        <v>2.5880771519339691E-3</v>
      </c>
      <c r="O73" s="20">
        <f t="shared" si="23"/>
        <v>9.9958754122984796E-3</v>
      </c>
      <c r="P73" s="23">
        <f t="shared" si="24"/>
        <v>1.138569167572246</v>
      </c>
      <c r="Q73" s="23">
        <f t="shared" si="25"/>
        <v>1.1380995547336561E-2</v>
      </c>
      <c r="R73" s="10">
        <v>1.1386000000000001</v>
      </c>
      <c r="S73" s="10">
        <v>1.1386000000000001</v>
      </c>
      <c r="T73" s="16">
        <v>358</v>
      </c>
      <c r="U73" s="10">
        <v>700914247</v>
      </c>
      <c r="V73" s="10">
        <v>693824728</v>
      </c>
    </row>
    <row r="74" spans="1:24">
      <c r="A74" s="95">
        <v>64</v>
      </c>
      <c r="B74" s="18" t="s">
        <v>99</v>
      </c>
      <c r="C74" s="73" t="s">
        <v>100</v>
      </c>
      <c r="D74" s="10">
        <v>233023688.47999999</v>
      </c>
      <c r="E74" s="10">
        <v>3892378.09</v>
      </c>
      <c r="F74" s="10">
        <v>0</v>
      </c>
      <c r="G74" s="10">
        <v>448528.64000000001</v>
      </c>
      <c r="H74" s="12">
        <f t="shared" si="17"/>
        <v>3443849.4499999997</v>
      </c>
      <c r="I74" s="10">
        <v>274620472.06999999</v>
      </c>
      <c r="J74" s="13">
        <f t="shared" si="18"/>
        <v>1.3185176954128082E-3</v>
      </c>
      <c r="K74" s="10">
        <v>278475823.73000002</v>
      </c>
      <c r="L74" s="13">
        <f t="shared" si="20"/>
        <v>1.3315597772666679E-3</v>
      </c>
      <c r="M74" s="13">
        <f t="shared" si="21"/>
        <v>1.4038835600782552E-2</v>
      </c>
      <c r="N74" s="19">
        <f t="shared" si="22"/>
        <v>1.6106555822055022E-3</v>
      </c>
      <c r="O74" s="20">
        <f t="shared" si="23"/>
        <v>1.2366780727575943E-2</v>
      </c>
      <c r="P74" s="23">
        <f t="shared" si="24"/>
        <v>1095.0250628366955</v>
      </c>
      <c r="Q74" s="23">
        <f t="shared" si="25"/>
        <v>13.541934843301481</v>
      </c>
      <c r="R74" s="10">
        <v>1095.03</v>
      </c>
      <c r="S74" s="10">
        <v>1095.03</v>
      </c>
      <c r="T74" s="16">
        <v>103</v>
      </c>
      <c r="U74" s="10">
        <v>254520</v>
      </c>
      <c r="V74" s="10">
        <v>254310</v>
      </c>
    </row>
    <row r="75" spans="1:24">
      <c r="A75" s="95">
        <v>65</v>
      </c>
      <c r="B75" s="18" t="s">
        <v>101</v>
      </c>
      <c r="C75" s="73" t="s">
        <v>102</v>
      </c>
      <c r="D75" s="10">
        <v>1624800728.28</v>
      </c>
      <c r="E75" s="10">
        <v>41375493.75</v>
      </c>
      <c r="F75" s="10">
        <v>0</v>
      </c>
      <c r="G75" s="10">
        <v>2235823.11</v>
      </c>
      <c r="H75" s="12">
        <f t="shared" si="17"/>
        <v>39139670.640000001</v>
      </c>
      <c r="I75" s="10">
        <v>1529019068.02</v>
      </c>
      <c r="J75" s="13">
        <f t="shared" si="18"/>
        <v>7.3411813861207235E-3</v>
      </c>
      <c r="K75" s="10">
        <v>1622577220.74</v>
      </c>
      <c r="L75" s="13">
        <f t="shared" si="20"/>
        <v>7.7585139482029943E-3</v>
      </c>
      <c r="M75" s="13">
        <f t="shared" si="21"/>
        <v>6.1188349234357793E-2</v>
      </c>
      <c r="N75" s="19">
        <f t="shared" si="22"/>
        <v>1.3779455802912851E-3</v>
      </c>
      <c r="O75" s="20">
        <f t="shared" si="23"/>
        <v>2.412191551792511E-2</v>
      </c>
      <c r="P75" s="23">
        <f t="shared" si="24"/>
        <v>1.126969460001372</v>
      </c>
      <c r="Q75" s="23">
        <f t="shared" si="25"/>
        <v>2.7184662105434777E-2</v>
      </c>
      <c r="R75" s="10">
        <v>1.127</v>
      </c>
      <c r="S75" s="10">
        <v>1.127</v>
      </c>
      <c r="T75" s="16">
        <v>908</v>
      </c>
      <c r="U75" s="10">
        <v>1375850526.8900001</v>
      </c>
      <c r="V75" s="10">
        <v>1439770356.0999999</v>
      </c>
    </row>
    <row r="76" spans="1:24">
      <c r="A76" s="95">
        <v>66</v>
      </c>
      <c r="B76" s="18" t="s">
        <v>103</v>
      </c>
      <c r="C76" s="18" t="s">
        <v>104</v>
      </c>
      <c r="D76" s="10">
        <v>473242766.18000001</v>
      </c>
      <c r="E76" s="10">
        <v>6462500.2000000002</v>
      </c>
      <c r="F76" s="10">
        <v>0</v>
      </c>
      <c r="G76" s="10">
        <v>861953.06</v>
      </c>
      <c r="H76" s="12">
        <f t="shared" si="17"/>
        <v>5600547.1400000006</v>
      </c>
      <c r="I76" s="10">
        <v>455003038.12</v>
      </c>
      <c r="J76" s="13">
        <f t="shared" si="18"/>
        <v>2.1845769643673474E-3</v>
      </c>
      <c r="K76" s="10">
        <v>460643585.25999999</v>
      </c>
      <c r="L76" s="13">
        <f t="shared" si="20"/>
        <v>2.2026130009146876E-3</v>
      </c>
      <c r="M76" s="13">
        <f t="shared" si="21"/>
        <v>1.2396724125856009E-2</v>
      </c>
      <c r="N76" s="19">
        <f t="shared" si="22"/>
        <v>1.8711930168602911E-3</v>
      </c>
      <c r="O76" s="20">
        <f t="shared" si="23"/>
        <v>1.2158092111146835E-2</v>
      </c>
      <c r="P76" s="23">
        <f t="shared" si="24"/>
        <v>2.6401062430639723</v>
      </c>
      <c r="Q76" s="23">
        <f t="shared" si="25"/>
        <v>3.2098654886385594E-2</v>
      </c>
      <c r="R76" s="10">
        <v>2.6366999999999998</v>
      </c>
      <c r="S76" s="10">
        <v>2.6366999999999998</v>
      </c>
      <c r="T76" s="16">
        <v>1391</v>
      </c>
      <c r="U76" s="10">
        <v>174463977.87</v>
      </c>
      <c r="V76" s="10">
        <v>174479184.87</v>
      </c>
    </row>
    <row r="77" spans="1:24">
      <c r="A77" s="95">
        <v>67</v>
      </c>
      <c r="B77" s="75" t="s">
        <v>244</v>
      </c>
      <c r="C77" s="76" t="s">
        <v>213</v>
      </c>
      <c r="D77" s="10">
        <v>164047062.63</v>
      </c>
      <c r="E77" s="10">
        <v>8512018.5800000001</v>
      </c>
      <c r="F77" s="10">
        <v>0</v>
      </c>
      <c r="G77" s="10">
        <v>366958.21</v>
      </c>
      <c r="H77" s="12">
        <f t="shared" si="17"/>
        <v>8145060.3700000001</v>
      </c>
      <c r="I77" s="10">
        <v>156725956.16</v>
      </c>
      <c r="J77" s="13">
        <f t="shared" si="18"/>
        <v>7.5247830203561267E-4</v>
      </c>
      <c r="K77" s="10">
        <v>161909708.37</v>
      </c>
      <c r="L77" s="13">
        <f t="shared" si="20"/>
        <v>7.7418733277003946E-4</v>
      </c>
      <c r="M77" s="13">
        <f t="shared" si="21"/>
        <v>3.3075262943095186E-2</v>
      </c>
      <c r="N77" s="19">
        <f t="shared" si="22"/>
        <v>2.266437347669222E-3</v>
      </c>
      <c r="O77" s="20">
        <f t="shared" si="23"/>
        <v>5.0306188875263183E-2</v>
      </c>
      <c r="P77" s="23">
        <f t="shared" si="24"/>
        <v>12.480231907962152</v>
      </c>
      <c r="Q77" s="23">
        <f t="shared" si="25"/>
        <v>0.62783290356903021</v>
      </c>
      <c r="R77" s="10">
        <v>12.47</v>
      </c>
      <c r="S77" s="10">
        <v>12.54</v>
      </c>
      <c r="T77" s="16">
        <v>30</v>
      </c>
      <c r="U77" s="10">
        <v>12983853.09</v>
      </c>
      <c r="V77" s="10">
        <v>12973293.25</v>
      </c>
    </row>
    <row r="78" spans="1:24">
      <c r="A78" s="95">
        <v>68</v>
      </c>
      <c r="B78" s="73" t="s">
        <v>105</v>
      </c>
      <c r="C78" s="18" t="s">
        <v>60</v>
      </c>
      <c r="D78" s="10">
        <v>1891087950.46</v>
      </c>
      <c r="E78" s="10">
        <v>20719809.960000001</v>
      </c>
      <c r="F78" s="10">
        <v>0</v>
      </c>
      <c r="G78" s="10">
        <v>3648664.33</v>
      </c>
      <c r="H78" s="12">
        <f t="shared" si="17"/>
        <v>17071145.630000003</v>
      </c>
      <c r="I78" s="10">
        <v>2056957330.0999999</v>
      </c>
      <c r="J78" s="13">
        <f t="shared" si="18"/>
        <v>9.8759375730539823E-3</v>
      </c>
      <c r="K78" s="10">
        <v>1911921059.6700001</v>
      </c>
      <c r="L78" s="13">
        <f t="shared" si="20"/>
        <v>9.1420402183063042E-3</v>
      </c>
      <c r="M78" s="13">
        <f t="shared" si="21"/>
        <v>-7.0510101647538223E-2</v>
      </c>
      <c r="N78" s="19">
        <f t="shared" si="22"/>
        <v>1.9083760344319675E-3</v>
      </c>
      <c r="O78" s="20">
        <f t="shared" si="23"/>
        <v>8.9287920877583211E-3</v>
      </c>
      <c r="P78" s="23">
        <f t="shared" si="24"/>
        <v>4643.6873499422281</v>
      </c>
      <c r="Q78" s="23">
        <f t="shared" si="25"/>
        <v>41.46251886818758</v>
      </c>
      <c r="R78" s="10">
        <v>4643.6899999999996</v>
      </c>
      <c r="S78" s="10">
        <v>4643.6899999999996</v>
      </c>
      <c r="T78" s="16">
        <v>1119</v>
      </c>
      <c r="U78" s="10">
        <v>447347.98</v>
      </c>
      <c r="V78" s="10">
        <v>411724.76</v>
      </c>
    </row>
    <row r="79" spans="1:24">
      <c r="A79" s="95">
        <v>69</v>
      </c>
      <c r="B79" s="18" t="s">
        <v>106</v>
      </c>
      <c r="C79" s="18" t="s">
        <v>62</v>
      </c>
      <c r="D79" s="10">
        <v>314607257.45999998</v>
      </c>
      <c r="E79" s="10">
        <v>3911276.59</v>
      </c>
      <c r="F79" s="10">
        <v>0</v>
      </c>
      <c r="G79" s="10">
        <v>666612.88</v>
      </c>
      <c r="H79" s="12">
        <f t="shared" si="17"/>
        <v>3244663.71</v>
      </c>
      <c r="I79" s="10">
        <v>332152378.74000001</v>
      </c>
      <c r="J79" s="13">
        <f t="shared" si="18"/>
        <v>1.5947419565665705E-3</v>
      </c>
      <c r="K79" s="10">
        <v>335723845.93000001</v>
      </c>
      <c r="L79" s="13">
        <f t="shared" si="20"/>
        <v>1.6052968746870107E-3</v>
      </c>
      <c r="M79" s="13">
        <f t="shared" si="21"/>
        <v>1.0752496199329184E-2</v>
      </c>
      <c r="N79" s="19">
        <f t="shared" si="22"/>
        <v>1.9855988428626303E-3</v>
      </c>
      <c r="O79" s="20">
        <f t="shared" si="23"/>
        <v>9.6646805085049796E-3</v>
      </c>
      <c r="P79" s="23">
        <f t="shared" si="24"/>
        <v>111.91343240152101</v>
      </c>
      <c r="Q79" s="23">
        <f t="shared" si="25"/>
        <v>1.0816075687708697</v>
      </c>
      <c r="R79" s="10">
        <v>111.82</v>
      </c>
      <c r="S79" s="10">
        <v>111.82</v>
      </c>
      <c r="T79" s="16">
        <v>91</v>
      </c>
      <c r="U79" s="10">
        <v>2989638</v>
      </c>
      <c r="V79" s="10">
        <v>2999853</v>
      </c>
      <c r="W79" s="14"/>
      <c r="X79" s="14"/>
    </row>
    <row r="80" spans="1:24">
      <c r="A80" s="95">
        <v>70</v>
      </c>
      <c r="B80" s="73" t="s">
        <v>107</v>
      </c>
      <c r="C80" s="73" t="s">
        <v>63</v>
      </c>
      <c r="D80" s="10">
        <v>355896838.19999999</v>
      </c>
      <c r="E80" s="10">
        <v>18643775.010000002</v>
      </c>
      <c r="F80" s="10">
        <v>1462705.35</v>
      </c>
      <c r="G80" s="10">
        <v>12489189.93</v>
      </c>
      <c r="H80" s="12">
        <f t="shared" si="17"/>
        <v>7617290.4300000034</v>
      </c>
      <c r="I80" s="10">
        <v>373053639.98000002</v>
      </c>
      <c r="J80" s="13">
        <f t="shared" si="18"/>
        <v>1.7911185642649787E-3</v>
      </c>
      <c r="K80" s="10">
        <v>390425765.51999998</v>
      </c>
      <c r="L80" s="13">
        <f t="shared" si="20"/>
        <v>1.8668595298923741E-3</v>
      </c>
      <c r="M80" s="13">
        <f t="shared" si="21"/>
        <v>4.6567366400529712E-2</v>
      </c>
      <c r="N80" s="19">
        <f t="shared" si="22"/>
        <v>3.1988641716219492E-2</v>
      </c>
      <c r="O80" s="20">
        <f t="shared" si="23"/>
        <v>1.9510214495845817E-2</v>
      </c>
      <c r="P80" s="23">
        <f t="shared" si="24"/>
        <v>1.4885194254348961</v>
      </c>
      <c r="Q80" s="23">
        <f t="shared" si="25"/>
        <v>2.9041333271467996E-2</v>
      </c>
      <c r="R80" s="10">
        <v>1.4884999999999999</v>
      </c>
      <c r="S80" s="10">
        <v>1.4884999999999999</v>
      </c>
      <c r="T80" s="16">
        <v>289</v>
      </c>
      <c r="U80" s="10">
        <v>260308944.84999999</v>
      </c>
      <c r="V80" s="10">
        <v>262291347.25999999</v>
      </c>
    </row>
    <row r="81" spans="1:22">
      <c r="A81" s="95">
        <v>71</v>
      </c>
      <c r="B81" s="75" t="s">
        <v>256</v>
      </c>
      <c r="C81" s="76" t="s">
        <v>63</v>
      </c>
      <c r="D81" s="15">
        <v>20673172.809999999</v>
      </c>
      <c r="E81" s="10">
        <v>878445.82</v>
      </c>
      <c r="F81" s="10">
        <v>1109462</v>
      </c>
      <c r="G81" s="10">
        <v>363704.65</v>
      </c>
      <c r="H81" s="12">
        <f t="shared" si="17"/>
        <v>1624203.17</v>
      </c>
      <c r="I81" s="10">
        <v>22141837.789999999</v>
      </c>
      <c r="J81" s="13">
        <f t="shared" si="18"/>
        <v>1.0630818858848021E-4</v>
      </c>
      <c r="K81" s="10">
        <v>21462167.960000001</v>
      </c>
      <c r="L81" s="13">
        <f t="shared" si="20"/>
        <v>1.0262348524798963E-4</v>
      </c>
      <c r="M81" s="13">
        <f t="shared" si="21"/>
        <v>-3.0696179623669724E-2</v>
      </c>
      <c r="N81" s="19">
        <f t="shared" si="22"/>
        <v>1.6946314588435454E-2</v>
      </c>
      <c r="O81" s="20">
        <f t="shared" si="23"/>
        <v>7.5677497866343216E-2</v>
      </c>
      <c r="P81" s="23">
        <f t="shared" si="24"/>
        <v>0.85657378458919264</v>
      </c>
      <c r="Q81" s="23">
        <f t="shared" si="25"/>
        <v>6.4823360755614165E-2</v>
      </c>
      <c r="R81" s="16">
        <v>0.85560000000000003</v>
      </c>
      <c r="S81" s="17">
        <v>0.85560000000000003</v>
      </c>
      <c r="T81" s="16">
        <v>1</v>
      </c>
      <c r="U81" s="10">
        <v>25055830.969999999</v>
      </c>
      <c r="V81" s="10">
        <v>25055830.969999999</v>
      </c>
    </row>
    <row r="82" spans="1:22">
      <c r="A82" s="95">
        <v>72</v>
      </c>
      <c r="B82" s="18" t="s">
        <v>238</v>
      </c>
      <c r="C82" s="18" t="s">
        <v>48</v>
      </c>
      <c r="D82" s="10">
        <v>134062914.39</v>
      </c>
      <c r="E82" s="10">
        <v>788549.93</v>
      </c>
      <c r="F82" s="10">
        <v>0</v>
      </c>
      <c r="G82" s="10">
        <v>154883.26</v>
      </c>
      <c r="H82" s="12">
        <f t="shared" si="17"/>
        <v>633666.67000000004</v>
      </c>
      <c r="I82" s="10">
        <v>140964540.55000001</v>
      </c>
      <c r="J82" s="13">
        <f t="shared" si="18"/>
        <v>6.7680402607980035E-4</v>
      </c>
      <c r="K82" s="10">
        <v>150955491.63</v>
      </c>
      <c r="L82" s="13">
        <f t="shared" si="20"/>
        <v>7.2180865871829313E-4</v>
      </c>
      <c r="M82" s="13">
        <f t="shared" si="21"/>
        <v>7.0875633269319963E-2</v>
      </c>
      <c r="N82" s="19">
        <f t="shared" si="22"/>
        <v>1.0260193804649863E-3</v>
      </c>
      <c r="O82" s="20">
        <f t="shared" si="23"/>
        <v>4.1977053180228185E-3</v>
      </c>
      <c r="P82" s="23">
        <f t="shared" si="24"/>
        <v>135.59794621722665</v>
      </c>
      <c r="Q82" s="23">
        <f t="shared" si="25"/>
        <v>0.56920021994902448</v>
      </c>
      <c r="R82" s="10">
        <v>135.59790000000001</v>
      </c>
      <c r="S82" s="10">
        <v>135.59790000000001</v>
      </c>
      <c r="T82" s="16">
        <v>36</v>
      </c>
      <c r="U82" s="10">
        <v>1061638.55</v>
      </c>
      <c r="V82" s="10">
        <v>1113257.95</v>
      </c>
    </row>
    <row r="83" spans="1:22">
      <c r="A83" s="95">
        <v>73</v>
      </c>
      <c r="B83" s="18" t="s">
        <v>108</v>
      </c>
      <c r="C83" s="18" t="s">
        <v>109</v>
      </c>
      <c r="D83" s="10">
        <f>1150677704.52+263406460.79</f>
        <v>1414084165.3099999</v>
      </c>
      <c r="E83" s="10">
        <v>29405219.969999999</v>
      </c>
      <c r="F83" s="10">
        <v>0</v>
      </c>
      <c r="G83" s="10">
        <v>3254498.83</v>
      </c>
      <c r="H83" s="12">
        <f t="shared" si="17"/>
        <v>26150721.140000001</v>
      </c>
      <c r="I83" s="10">
        <v>1624972989.45</v>
      </c>
      <c r="J83" s="13">
        <f t="shared" si="18"/>
        <v>7.8018788075331254E-3</v>
      </c>
      <c r="K83" s="10">
        <v>2088009929.5</v>
      </c>
      <c r="L83" s="13">
        <f t="shared" si="20"/>
        <v>9.9840266182363389E-3</v>
      </c>
      <c r="M83" s="13">
        <f t="shared" si="21"/>
        <v>0.28495054567443778</v>
      </c>
      <c r="N83" s="19">
        <f t="shared" si="22"/>
        <v>1.5586606098081776E-3</v>
      </c>
      <c r="O83" s="20">
        <f t="shared" si="23"/>
        <v>1.2524232174634397E-2</v>
      </c>
      <c r="P83" s="23">
        <f t="shared" si="24"/>
        <v>1328.274258563602</v>
      </c>
      <c r="Q83" s="23">
        <f t="shared" si="25"/>
        <v>16.635615205840914</v>
      </c>
      <c r="R83" s="10">
        <v>1000</v>
      </c>
      <c r="S83" s="10">
        <v>1000</v>
      </c>
      <c r="T83" s="16">
        <v>357</v>
      </c>
      <c r="U83" s="10">
        <v>1532678.99</v>
      </c>
      <c r="V83" s="10">
        <v>1571971.99</v>
      </c>
    </row>
    <row r="84" spans="1:22">
      <c r="A84" s="95">
        <v>74</v>
      </c>
      <c r="B84" s="18" t="s">
        <v>110</v>
      </c>
      <c r="C84" s="18" t="s">
        <v>65</v>
      </c>
      <c r="D84" s="10">
        <v>159016022.34999999</v>
      </c>
      <c r="E84" s="10">
        <v>1906934.91</v>
      </c>
      <c r="F84" s="10">
        <v>0</v>
      </c>
      <c r="G84" s="10">
        <v>539253.4</v>
      </c>
      <c r="H84" s="12">
        <f t="shared" si="17"/>
        <v>1367681.5099999998</v>
      </c>
      <c r="I84" s="10">
        <v>176466265.91</v>
      </c>
      <c r="J84" s="13">
        <f t="shared" si="18"/>
        <v>8.4725618775591152E-4</v>
      </c>
      <c r="K84" s="10">
        <v>157516688.84</v>
      </c>
      <c r="L84" s="13">
        <f t="shared" si="20"/>
        <v>7.5318167407929988E-4</v>
      </c>
      <c r="M84" s="13">
        <f t="shared" si="21"/>
        <v>-0.10738356689467501</v>
      </c>
      <c r="N84" s="19">
        <f t="shared" si="22"/>
        <v>3.423468357360882E-3</v>
      </c>
      <c r="O84" s="20">
        <f t="shared" si="23"/>
        <v>8.6827720927351599E-3</v>
      </c>
      <c r="P84" s="23">
        <f t="shared" si="24"/>
        <v>1073.5138611054317</v>
      </c>
      <c r="Q84" s="23">
        <f t="shared" si="25"/>
        <v>9.3210761943706117</v>
      </c>
      <c r="R84" s="10">
        <v>1051.42</v>
      </c>
      <c r="S84" s="10">
        <v>1061.33</v>
      </c>
      <c r="T84" s="16">
        <v>283</v>
      </c>
      <c r="U84" s="10">
        <v>146359</v>
      </c>
      <c r="V84" s="10">
        <v>146730</v>
      </c>
    </row>
    <row r="85" spans="1:22">
      <c r="A85" s="95">
        <v>75</v>
      </c>
      <c r="B85" s="18" t="s">
        <v>111</v>
      </c>
      <c r="C85" s="73" t="s">
        <v>68</v>
      </c>
      <c r="D85" s="10">
        <v>689361670.46000004</v>
      </c>
      <c r="E85" s="10">
        <v>7347571.3099999996</v>
      </c>
      <c r="F85" s="10">
        <v>0</v>
      </c>
      <c r="G85" s="10">
        <v>963125.17</v>
      </c>
      <c r="H85" s="12">
        <f t="shared" si="17"/>
        <v>6384446.1399999997</v>
      </c>
      <c r="I85" s="10">
        <v>676024187.05999994</v>
      </c>
      <c r="J85" s="13">
        <f t="shared" si="18"/>
        <v>3.2457516602712182E-3</v>
      </c>
      <c r="K85" s="10">
        <v>683039633.20000005</v>
      </c>
      <c r="L85" s="13">
        <f t="shared" si="20"/>
        <v>3.2660217668659254E-3</v>
      </c>
      <c r="M85" s="13">
        <f t="shared" si="21"/>
        <v>1.0377507601480915E-2</v>
      </c>
      <c r="N85" s="19">
        <f t="shared" si="22"/>
        <v>1.4100575181674538E-3</v>
      </c>
      <c r="O85" s="20">
        <f t="shared" si="23"/>
        <v>9.3471093472120344E-3</v>
      </c>
      <c r="P85" s="23">
        <f t="shared" si="24"/>
        <v>1.2239141928705741</v>
      </c>
      <c r="Q85" s="23">
        <f t="shared" si="25"/>
        <v>1.1440059792366016E-2</v>
      </c>
      <c r="R85" s="10">
        <v>1.2371000000000001</v>
      </c>
      <c r="S85" s="10">
        <v>1.2371000000000001</v>
      </c>
      <c r="T85" s="16">
        <v>51</v>
      </c>
      <c r="U85" s="10">
        <v>556561338.10000002</v>
      </c>
      <c r="V85" s="10">
        <v>558078039.44000006</v>
      </c>
    </row>
    <row r="86" spans="1:22">
      <c r="A86" s="95">
        <v>76</v>
      </c>
      <c r="B86" s="18" t="s">
        <v>245</v>
      </c>
      <c r="C86" s="18" t="s">
        <v>30</v>
      </c>
      <c r="D86" s="10">
        <v>12433034495.52</v>
      </c>
      <c r="E86" s="10">
        <v>119746237.51000001</v>
      </c>
      <c r="F86" s="10"/>
      <c r="G86" s="10">
        <v>14169622</v>
      </c>
      <c r="H86" s="12">
        <f t="shared" si="17"/>
        <v>105576615.51000001</v>
      </c>
      <c r="I86" s="10">
        <v>12199466013.700001</v>
      </c>
      <c r="J86" s="13">
        <f t="shared" si="18"/>
        <v>5.8572515342375953E-2</v>
      </c>
      <c r="K86" s="10">
        <v>12007497616.719999</v>
      </c>
      <c r="L86" s="13">
        <f t="shared" si="20"/>
        <v>5.7415041054162709E-2</v>
      </c>
      <c r="M86" s="13">
        <f t="shared" si="21"/>
        <v>-1.5735803252734253E-2</v>
      </c>
      <c r="N86" s="19">
        <f t="shared" si="22"/>
        <v>1.1800645273724079E-3</v>
      </c>
      <c r="O86" s="20">
        <f t="shared" si="23"/>
        <v>8.7925576902041971E-3</v>
      </c>
      <c r="P86" s="23">
        <f t="shared" si="24"/>
        <v>1722.7507575804236</v>
      </c>
      <c r="Q86" s="23">
        <f t="shared" si="25"/>
        <v>15.147385421868861</v>
      </c>
      <c r="R86" s="10">
        <v>1722.75</v>
      </c>
      <c r="S86" s="10">
        <v>1722.75</v>
      </c>
      <c r="T86" s="16">
        <v>2077</v>
      </c>
      <c r="U86" s="10">
        <v>7105762.1100000003</v>
      </c>
      <c r="V86" s="10">
        <v>6969956.3700000001</v>
      </c>
    </row>
    <row r="87" spans="1:22" ht="14.4" customHeight="1">
      <c r="A87" s="95">
        <v>77</v>
      </c>
      <c r="B87" s="18" t="s">
        <v>112</v>
      </c>
      <c r="C87" s="18" t="s">
        <v>74</v>
      </c>
      <c r="D87" s="10">
        <v>23683829.5</v>
      </c>
      <c r="E87" s="10">
        <v>43411071.890000001</v>
      </c>
      <c r="F87" s="10">
        <v>0</v>
      </c>
      <c r="G87" s="10">
        <v>250412.68</v>
      </c>
      <c r="H87" s="12">
        <f t="shared" si="17"/>
        <v>43160659.210000001</v>
      </c>
      <c r="I87" s="10">
        <v>23520412.43</v>
      </c>
      <c r="J87" s="13">
        <f t="shared" si="18"/>
        <v>1.1292705077157348E-4</v>
      </c>
      <c r="K87" s="10">
        <v>23744674.989999998</v>
      </c>
      <c r="L87" s="13">
        <f t="shared" si="20"/>
        <v>1.1353751904728701E-4</v>
      </c>
      <c r="M87" s="13">
        <f t="shared" si="21"/>
        <v>9.5348055935428454E-3</v>
      </c>
      <c r="N87" s="19">
        <f t="shared" si="22"/>
        <v>1.0546056330754604E-2</v>
      </c>
      <c r="O87" s="20">
        <f t="shared" si="23"/>
        <v>1.8176984619994583</v>
      </c>
      <c r="P87" s="23">
        <f t="shared" si="24"/>
        <v>0.724231552773413</v>
      </c>
      <c r="Q87" s="23">
        <f t="shared" si="25"/>
        <v>1.3164345796077124</v>
      </c>
      <c r="R87" s="10">
        <v>0.72419999999999995</v>
      </c>
      <c r="S87" s="10">
        <v>0.72419999999999995</v>
      </c>
      <c r="T87" s="16">
        <v>730</v>
      </c>
      <c r="U87" s="10">
        <v>32786026.649999999</v>
      </c>
      <c r="V87" s="10">
        <v>32786026.649999999</v>
      </c>
    </row>
    <row r="88" spans="1:22" ht="14.4" customHeight="1">
      <c r="A88" s="95">
        <v>78</v>
      </c>
      <c r="B88" s="18" t="s">
        <v>239</v>
      </c>
      <c r="C88" s="73" t="s">
        <v>36</v>
      </c>
      <c r="D88" s="10">
        <v>12475156094.52</v>
      </c>
      <c r="E88" s="10">
        <v>43411071.890000001</v>
      </c>
      <c r="F88" s="10">
        <v>0</v>
      </c>
      <c r="G88" s="10">
        <v>2667950.87</v>
      </c>
      <c r="H88" s="12">
        <f t="shared" si="17"/>
        <v>40743121.020000003</v>
      </c>
      <c r="I88" s="10">
        <v>9735456196.0400009</v>
      </c>
      <c r="J88" s="13">
        <f t="shared" si="18"/>
        <v>4.6742222714274015E-2</v>
      </c>
      <c r="K88" s="10">
        <v>9767916590.7700005</v>
      </c>
      <c r="L88" s="13">
        <f t="shared" si="20"/>
        <v>4.6706262201690378E-2</v>
      </c>
      <c r="M88" s="13">
        <f t="shared" si="21"/>
        <v>3.3342448547201259E-3</v>
      </c>
      <c r="N88" s="19">
        <f t="shared" si="22"/>
        <v>2.7313407574763973E-4</v>
      </c>
      <c r="O88" s="20">
        <f t="shared" si="23"/>
        <v>4.1711168027887754E-3</v>
      </c>
      <c r="P88" s="23">
        <f t="shared" si="24"/>
        <v>1</v>
      </c>
      <c r="Q88" s="23">
        <f t="shared" si="25"/>
        <v>4.1711168027887754E-3</v>
      </c>
      <c r="R88" s="10">
        <v>1</v>
      </c>
      <c r="S88" s="10">
        <v>1</v>
      </c>
      <c r="T88" s="16">
        <v>4316</v>
      </c>
      <c r="U88" s="10">
        <v>9735456196.0400009</v>
      </c>
      <c r="V88" s="10">
        <v>9767916590.7700005</v>
      </c>
    </row>
    <row r="89" spans="1:22">
      <c r="A89" s="95">
        <v>79</v>
      </c>
      <c r="B89" s="73" t="s">
        <v>113</v>
      </c>
      <c r="C89" s="73" t="s">
        <v>114</v>
      </c>
      <c r="D89" s="10">
        <v>1692500774.54</v>
      </c>
      <c r="E89" s="10">
        <v>26620670.66</v>
      </c>
      <c r="F89" s="10">
        <v>0</v>
      </c>
      <c r="G89" s="10">
        <v>1703921.81</v>
      </c>
      <c r="H89" s="12">
        <f t="shared" si="17"/>
        <v>24916748.850000001</v>
      </c>
      <c r="I89" s="10">
        <v>1573739790.0999999</v>
      </c>
      <c r="J89" s="13">
        <f t="shared" si="18"/>
        <v>7.5558961266848877E-3</v>
      </c>
      <c r="K89" s="10">
        <v>1679547438.5599999</v>
      </c>
      <c r="L89" s="13">
        <f t="shared" si="20"/>
        <v>8.0309226964208752E-3</v>
      </c>
      <c r="M89" s="13">
        <f t="shared" si="21"/>
        <v>6.72332549037708E-2</v>
      </c>
      <c r="N89" s="19">
        <f t="shared" si="22"/>
        <v>1.0145124638223366E-3</v>
      </c>
      <c r="O89" s="20">
        <f t="shared" si="23"/>
        <v>1.4835394510418218E-2</v>
      </c>
      <c r="P89" s="23">
        <f t="shared" si="24"/>
        <v>259.76969652652593</v>
      </c>
      <c r="Q89" s="23">
        <f t="shared" si="25"/>
        <v>3.8537859298226294</v>
      </c>
      <c r="R89" s="10">
        <v>259.7697</v>
      </c>
      <c r="S89" s="10">
        <v>261.7731</v>
      </c>
      <c r="T89" s="16">
        <v>560</v>
      </c>
      <c r="U89" s="10">
        <v>6142683.6200000001</v>
      </c>
      <c r="V89" s="10">
        <v>6465524.8899999997</v>
      </c>
    </row>
    <row r="90" spans="1:22">
      <c r="A90" s="95">
        <v>80</v>
      </c>
      <c r="B90" s="18" t="s">
        <v>115</v>
      </c>
      <c r="C90" s="73" t="s">
        <v>38</v>
      </c>
      <c r="D90" s="10">
        <v>1155362304.97</v>
      </c>
      <c r="E90" s="10">
        <v>13039887.74</v>
      </c>
      <c r="F90" s="10">
        <v>0</v>
      </c>
      <c r="G90" s="10">
        <v>1664785.19</v>
      </c>
      <c r="H90" s="12">
        <f>(E90+F90)-G90</f>
        <v>11375102.550000001</v>
      </c>
      <c r="I90" s="10">
        <v>1134791940.8099999</v>
      </c>
      <c r="J90" s="13">
        <f t="shared" si="18"/>
        <v>5.4484039128315266E-3</v>
      </c>
      <c r="K90" s="10">
        <v>1143227987.72</v>
      </c>
      <c r="L90" s="13">
        <f t="shared" si="20"/>
        <v>5.4664580368362888E-3</v>
      </c>
      <c r="M90" s="13">
        <f t="shared" si="21"/>
        <v>7.4340031917908616E-3</v>
      </c>
      <c r="N90" s="19">
        <f t="shared" si="22"/>
        <v>1.4562145152868142E-3</v>
      </c>
      <c r="O90" s="20">
        <f t="shared" si="23"/>
        <v>9.9499860676836374E-3</v>
      </c>
      <c r="P90" s="23">
        <f t="shared" si="24"/>
        <v>3.8119492745338239</v>
      </c>
      <c r="Q90" s="23">
        <f t="shared" si="25"/>
        <v>3.7928842172328295E-2</v>
      </c>
      <c r="R90" s="10">
        <v>3.81</v>
      </c>
      <c r="S90" s="10">
        <v>3.81</v>
      </c>
      <c r="T90" s="16">
        <v>771</v>
      </c>
      <c r="U90" s="10">
        <v>299893285</v>
      </c>
      <c r="V90" s="10">
        <v>299906401</v>
      </c>
    </row>
    <row r="91" spans="1:22">
      <c r="A91" s="95">
        <v>81</v>
      </c>
      <c r="B91" s="75" t="s">
        <v>243</v>
      </c>
      <c r="C91" s="76" t="s">
        <v>40</v>
      </c>
      <c r="D91" s="10">
        <v>621059928.48000002</v>
      </c>
      <c r="E91" s="10">
        <v>8161687.1100000003</v>
      </c>
      <c r="F91" s="10">
        <v>0</v>
      </c>
      <c r="G91" s="10">
        <v>1224824.3999999999</v>
      </c>
      <c r="H91" s="12">
        <f t="shared" si="17"/>
        <v>6936862.7100000009</v>
      </c>
      <c r="I91" s="10">
        <v>606591609.84000003</v>
      </c>
      <c r="J91" s="13">
        <f t="shared" si="18"/>
        <v>2.9123894713104816E-3</v>
      </c>
      <c r="K91" s="10">
        <v>616462354.95000005</v>
      </c>
      <c r="L91" s="13">
        <f t="shared" si="20"/>
        <v>2.9476759061367571E-3</v>
      </c>
      <c r="M91" s="13">
        <f t="shared" si="21"/>
        <v>1.6272472203503786E-2</v>
      </c>
      <c r="N91" s="19">
        <f t="shared" si="22"/>
        <v>1.9868600088311034E-3</v>
      </c>
      <c r="O91" s="20">
        <f t="shared" si="23"/>
        <v>1.1252694757918567E-2</v>
      </c>
      <c r="P91" s="23">
        <f t="shared" si="24"/>
        <v>113.98760426427837</v>
      </c>
      <c r="Q91" s="23">
        <f t="shared" si="25"/>
        <v>1.2826677169723413</v>
      </c>
      <c r="R91" s="10">
        <v>112.17</v>
      </c>
      <c r="S91" s="10">
        <v>112.17</v>
      </c>
      <c r="T91" s="16">
        <v>55</v>
      </c>
      <c r="U91" s="10">
        <v>5294861.95</v>
      </c>
      <c r="V91" s="10">
        <v>5408152.5700000003</v>
      </c>
    </row>
    <row r="92" spans="1:22">
      <c r="A92" s="95">
        <v>82</v>
      </c>
      <c r="B92" s="18" t="s">
        <v>242</v>
      </c>
      <c r="C92" s="18" t="s">
        <v>44</v>
      </c>
      <c r="D92" s="10">
        <v>884422898.38</v>
      </c>
      <c r="E92" s="10">
        <v>6949997.1399999997</v>
      </c>
      <c r="F92" s="10">
        <v>0</v>
      </c>
      <c r="G92" s="10">
        <v>2238025.87</v>
      </c>
      <c r="H92" s="12">
        <f t="shared" si="17"/>
        <v>4711971.2699999996</v>
      </c>
      <c r="I92" s="10">
        <v>1397063683.8599999</v>
      </c>
      <c r="J92" s="13">
        <f t="shared" si="18"/>
        <v>6.7076324459834184E-3</v>
      </c>
      <c r="K92" s="10">
        <v>939487119.63</v>
      </c>
      <c r="L92" s="13">
        <f t="shared" si="20"/>
        <v>4.4922508640187521E-3</v>
      </c>
      <c r="M92" s="13">
        <f t="shared" si="21"/>
        <v>-0.32752734862146327</v>
      </c>
      <c r="N92" s="19">
        <f t="shared" si="22"/>
        <v>2.3821783430957584E-3</v>
      </c>
      <c r="O92" s="20">
        <f t="shared" si="23"/>
        <v>5.0154719224418153E-3</v>
      </c>
      <c r="P92" s="23">
        <f t="shared" si="24"/>
        <v>105.11552288668749</v>
      </c>
      <c r="Q92" s="23">
        <f t="shared" si="25"/>
        <v>0.52720395365097117</v>
      </c>
      <c r="R92" s="10">
        <v>105.12</v>
      </c>
      <c r="S92" s="10">
        <v>105.12</v>
      </c>
      <c r="T92" s="16">
        <v>547</v>
      </c>
      <c r="U92" s="10">
        <v>13747365</v>
      </c>
      <c r="V92" s="10">
        <v>8937663</v>
      </c>
    </row>
    <row r="93" spans="1:22">
      <c r="A93" s="95">
        <v>83</v>
      </c>
      <c r="B93" s="18" t="s">
        <v>118</v>
      </c>
      <c r="C93" s="18" t="s">
        <v>22</v>
      </c>
      <c r="D93" s="10">
        <v>1506020893.71</v>
      </c>
      <c r="E93" s="10">
        <v>18261558.420000002</v>
      </c>
      <c r="F93" s="10">
        <v>72534324.849999994</v>
      </c>
      <c r="G93" s="10">
        <v>2188406.87</v>
      </c>
      <c r="H93" s="12">
        <f t="shared" si="17"/>
        <v>88607476.399999991</v>
      </c>
      <c r="I93" s="10">
        <v>1451572236.9300001</v>
      </c>
      <c r="J93" s="13">
        <f t="shared" si="18"/>
        <v>6.969340873007838E-3</v>
      </c>
      <c r="K93" s="10">
        <v>1475735724.3699999</v>
      </c>
      <c r="L93" s="13">
        <f t="shared" si="20"/>
        <v>7.0563767659479245E-3</v>
      </c>
      <c r="M93" s="13">
        <f t="shared" si="21"/>
        <v>1.664642435646492E-2</v>
      </c>
      <c r="N93" s="19">
        <f t="shared" si="22"/>
        <v>1.482925996749346E-3</v>
      </c>
      <c r="O93" s="20">
        <f t="shared" si="23"/>
        <v>6.0042916178523115E-2</v>
      </c>
      <c r="P93" s="23">
        <f t="shared" si="24"/>
        <v>366.31715093534348</v>
      </c>
      <c r="Q93" s="23">
        <f t="shared" si="25"/>
        <v>21.994749988366227</v>
      </c>
      <c r="R93" s="10">
        <v>366.32</v>
      </c>
      <c r="S93" s="10">
        <v>366.32</v>
      </c>
      <c r="T93" s="16">
        <v>90</v>
      </c>
      <c r="U93" s="10">
        <v>4006807.63</v>
      </c>
      <c r="V93" s="10">
        <v>4028573.93</v>
      </c>
    </row>
    <row r="94" spans="1:22">
      <c r="A94" s="95">
        <v>84</v>
      </c>
      <c r="B94" s="75" t="s">
        <v>246</v>
      </c>
      <c r="C94" s="76" t="s">
        <v>247</v>
      </c>
      <c r="D94" s="10">
        <v>1363465952.29</v>
      </c>
      <c r="E94" s="10">
        <v>20720017.09</v>
      </c>
      <c r="F94" s="10">
        <v>0</v>
      </c>
      <c r="G94" s="10">
        <v>2767434.41</v>
      </c>
      <c r="H94" s="12">
        <f t="shared" si="17"/>
        <v>17952582.68</v>
      </c>
      <c r="I94" s="10">
        <v>1530127336.3599999</v>
      </c>
      <c r="J94" s="13">
        <f t="shared" si="18"/>
        <v>7.3465024439666338E-3</v>
      </c>
      <c r="K94" s="10">
        <v>1533012800.3800001</v>
      </c>
      <c r="L94" s="13">
        <f t="shared" si="20"/>
        <v>7.3302527870430572E-3</v>
      </c>
      <c r="M94" s="13">
        <f t="shared" si="21"/>
        <v>1.8857672504985188E-3</v>
      </c>
      <c r="N94" s="19">
        <f t="shared" si="22"/>
        <v>1.8052258985143594E-3</v>
      </c>
      <c r="O94" s="20">
        <f t="shared" si="23"/>
        <v>1.1710654128621724E-2</v>
      </c>
      <c r="P94" s="23">
        <f t="shared" si="24"/>
        <v>105.06685296493032</v>
      </c>
      <c r="Q94" s="23">
        <f t="shared" si="25"/>
        <v>1.2304015754550528</v>
      </c>
      <c r="R94" s="10">
        <v>105.07</v>
      </c>
      <c r="S94" s="10">
        <v>105.07</v>
      </c>
      <c r="T94" s="16">
        <v>399</v>
      </c>
      <c r="U94" s="10">
        <v>14735251</v>
      </c>
      <c r="V94" s="10">
        <v>14590832</v>
      </c>
    </row>
    <row r="95" spans="1:22">
      <c r="A95" s="95">
        <v>85</v>
      </c>
      <c r="B95" s="73" t="s">
        <v>119</v>
      </c>
      <c r="C95" s="73" t="s">
        <v>42</v>
      </c>
      <c r="D95" s="10">
        <v>66884628.920000002</v>
      </c>
      <c r="E95" s="10">
        <v>2710182.61</v>
      </c>
      <c r="F95" s="10">
        <v>0</v>
      </c>
      <c r="G95" s="10">
        <v>160525.45000000001</v>
      </c>
      <c r="H95" s="12">
        <f t="shared" si="17"/>
        <v>2549657.1599999997</v>
      </c>
      <c r="I95" s="10">
        <v>64190147.020000003</v>
      </c>
      <c r="J95" s="13">
        <f t="shared" si="18"/>
        <v>3.0819204438424497E-4</v>
      </c>
      <c r="K95" s="10">
        <v>65265480.310000002</v>
      </c>
      <c r="L95" s="13">
        <f t="shared" si="20"/>
        <v>3.120733687425789E-4</v>
      </c>
      <c r="M95" s="13">
        <f t="shared" si="21"/>
        <v>1.6752310750510556E-2</v>
      </c>
      <c r="N95" s="19">
        <f t="shared" si="22"/>
        <v>2.4595766282195621E-3</v>
      </c>
      <c r="O95" s="20">
        <f t="shared" si="23"/>
        <v>3.9065937274797624E-2</v>
      </c>
      <c r="P95" s="23">
        <f t="shared" si="24"/>
        <v>13.122962847429342</v>
      </c>
      <c r="Q95" s="23">
        <f t="shared" si="25"/>
        <v>0.51266084345717433</v>
      </c>
      <c r="R95" s="10">
        <v>12.69</v>
      </c>
      <c r="S95" s="10">
        <v>13.16</v>
      </c>
      <c r="T95" s="16">
        <v>61</v>
      </c>
      <c r="U95" s="10">
        <v>4895927.95</v>
      </c>
      <c r="V95" s="10">
        <v>4973379.95</v>
      </c>
    </row>
    <row r="96" spans="1:22">
      <c r="A96" s="95">
        <v>86</v>
      </c>
      <c r="B96" s="75" t="s">
        <v>261</v>
      </c>
      <c r="C96" s="76" t="s">
        <v>262</v>
      </c>
      <c r="D96" s="10">
        <v>581055239.05999994</v>
      </c>
      <c r="E96" s="10">
        <v>8664526.8100000005</v>
      </c>
      <c r="F96" s="10">
        <v>0</v>
      </c>
      <c r="G96" s="10">
        <v>851127.15</v>
      </c>
      <c r="H96" s="12">
        <f t="shared" si="17"/>
        <v>7813399.6600000001</v>
      </c>
      <c r="I96" s="10">
        <v>539744611.79999995</v>
      </c>
      <c r="J96" s="13">
        <f t="shared" si="18"/>
        <v>2.5914412581761778E-3</v>
      </c>
      <c r="K96" s="10">
        <v>564555490.97000003</v>
      </c>
      <c r="L96" s="13">
        <f t="shared" si="20"/>
        <v>2.6994780866131727E-3</v>
      </c>
      <c r="M96" s="13">
        <f t="shared" si="21"/>
        <v>4.5967812605406132E-2</v>
      </c>
      <c r="N96" s="19">
        <f t="shared" si="22"/>
        <v>1.5076058308061487E-3</v>
      </c>
      <c r="O96" s="20">
        <f t="shared" si="23"/>
        <v>1.3839914383925808E-2</v>
      </c>
      <c r="P96" s="23">
        <f t="shared" si="24"/>
        <v>143.26300865901828</v>
      </c>
      <c r="Q96" s="23">
        <f t="shared" si="25"/>
        <v>1.9827477742244346</v>
      </c>
      <c r="R96" s="10">
        <v>143.26</v>
      </c>
      <c r="S96" s="10">
        <v>143.26</v>
      </c>
      <c r="T96" s="16">
        <v>142</v>
      </c>
      <c r="U96" s="10">
        <v>3822390.28</v>
      </c>
      <c r="V96" s="10">
        <v>3940692.69</v>
      </c>
    </row>
    <row r="97" spans="1:23">
      <c r="A97" s="95">
        <v>87</v>
      </c>
      <c r="B97" s="18" t="s">
        <v>120</v>
      </c>
      <c r="C97" s="18" t="s">
        <v>121</v>
      </c>
      <c r="D97" s="10">
        <v>9427041087.6100006</v>
      </c>
      <c r="E97" s="10">
        <v>153343748.49000001</v>
      </c>
      <c r="F97" s="10">
        <v>0</v>
      </c>
      <c r="G97" s="10">
        <v>13007672.52</v>
      </c>
      <c r="H97" s="12">
        <f t="shared" si="17"/>
        <v>140336075.97</v>
      </c>
      <c r="I97" s="10">
        <v>9508931998</v>
      </c>
      <c r="J97" s="13">
        <f t="shared" si="18"/>
        <v>4.5654626580950035E-2</v>
      </c>
      <c r="K97" s="10">
        <v>9278945766</v>
      </c>
      <c r="L97" s="13">
        <f t="shared" si="20"/>
        <v>4.4368199694864226E-2</v>
      </c>
      <c r="M97" s="13">
        <f t="shared" si="21"/>
        <v>-2.4186336809262351E-2</v>
      </c>
      <c r="N97" s="19">
        <f t="shared" si="22"/>
        <v>1.4018481030100246E-3</v>
      </c>
      <c r="O97" s="20">
        <f t="shared" si="23"/>
        <v>1.5124140124217641E-2</v>
      </c>
      <c r="P97" s="23">
        <f t="shared" si="24"/>
        <v>1.08</v>
      </c>
      <c r="Q97" s="23">
        <f t="shared" si="25"/>
        <v>1.6334071334155053E-2</v>
      </c>
      <c r="R97" s="10">
        <v>1.08</v>
      </c>
      <c r="S97" s="10">
        <v>1.08</v>
      </c>
      <c r="T97" s="16">
        <v>4747</v>
      </c>
      <c r="U97" s="10">
        <v>8886852335</v>
      </c>
      <c r="V97" s="10">
        <v>8591616450</v>
      </c>
    </row>
    <row r="98" spans="1:23">
      <c r="A98" s="95">
        <v>88</v>
      </c>
      <c r="B98" s="73" t="s">
        <v>122</v>
      </c>
      <c r="C98" s="18" t="s">
        <v>46</v>
      </c>
      <c r="D98" s="10">
        <v>4778156161.1999998</v>
      </c>
      <c r="E98" s="10">
        <v>103371394.11</v>
      </c>
      <c r="F98" s="10">
        <v>0</v>
      </c>
      <c r="G98" s="10">
        <v>9134737.0999999996</v>
      </c>
      <c r="H98" s="12">
        <f t="shared" si="17"/>
        <v>94236657.010000005</v>
      </c>
      <c r="I98" s="10">
        <v>8043518715.6599998</v>
      </c>
      <c r="J98" s="13">
        <f t="shared" si="18"/>
        <v>3.8618831582513981E-2</v>
      </c>
      <c r="K98" s="10">
        <v>4804337616.6999998</v>
      </c>
      <c r="L98" s="13">
        <f t="shared" si="20"/>
        <v>2.2972416926969854E-2</v>
      </c>
      <c r="M98" s="13">
        <f t="shared" si="21"/>
        <v>-0.40270697607175437</v>
      </c>
      <c r="N98" s="19">
        <f t="shared" si="22"/>
        <v>1.9013520340967339E-3</v>
      </c>
      <c r="O98" s="20">
        <f t="shared" si="23"/>
        <v>1.9614911467177282E-2</v>
      </c>
      <c r="P98" s="23">
        <f t="shared" si="24"/>
        <v>5173.7200134050663</v>
      </c>
      <c r="Q98" s="23">
        <f t="shared" si="25"/>
        <v>101.48206001890365</v>
      </c>
      <c r="R98" s="10">
        <v>5173.72</v>
      </c>
      <c r="S98" s="10">
        <v>5173.72</v>
      </c>
      <c r="T98" s="16">
        <v>238</v>
      </c>
      <c r="U98" s="10">
        <v>1554694.47</v>
      </c>
      <c r="V98" s="10">
        <v>928604.1</v>
      </c>
    </row>
    <row r="99" spans="1:23">
      <c r="A99" s="95">
        <v>89</v>
      </c>
      <c r="B99" s="18" t="s">
        <v>123</v>
      </c>
      <c r="C99" s="18" t="s">
        <v>46</v>
      </c>
      <c r="D99" s="10">
        <v>17401319016.59</v>
      </c>
      <c r="E99" s="10">
        <v>150186054.38999999</v>
      </c>
      <c r="F99" s="10">
        <v>0</v>
      </c>
      <c r="G99" s="10">
        <v>29423492.440000001</v>
      </c>
      <c r="H99" s="12">
        <f t="shared" si="17"/>
        <v>120762561.94999999</v>
      </c>
      <c r="I99" s="10">
        <v>17743468117.200001</v>
      </c>
      <c r="J99" s="13">
        <f t="shared" si="18"/>
        <v>8.5190577796974448E-2</v>
      </c>
      <c r="K99" s="10">
        <v>17288634930.959999</v>
      </c>
      <c r="L99" s="13">
        <f t="shared" si="20"/>
        <v>8.2667323035675824E-2</v>
      </c>
      <c r="M99" s="13">
        <f t="shared" si="21"/>
        <v>-2.5633837941698649E-2</v>
      </c>
      <c r="N99" s="19">
        <f t="shared" si="22"/>
        <v>1.7018979553619494E-3</v>
      </c>
      <c r="O99" s="20">
        <f t="shared" si="23"/>
        <v>6.9850836941291305E-3</v>
      </c>
      <c r="P99" s="23">
        <f t="shared" si="24"/>
        <v>259.11000001285908</v>
      </c>
      <c r="Q99" s="23">
        <f t="shared" si="25"/>
        <v>1.8099050360756206</v>
      </c>
      <c r="R99" s="10">
        <v>259.11</v>
      </c>
      <c r="S99" s="10">
        <v>259.11</v>
      </c>
      <c r="T99" s="16">
        <v>6175</v>
      </c>
      <c r="U99" s="10">
        <v>68866756.420000002</v>
      </c>
      <c r="V99" s="10">
        <v>66723148.200000003</v>
      </c>
    </row>
    <row r="100" spans="1:23">
      <c r="A100" s="95">
        <v>90</v>
      </c>
      <c r="B100" s="73" t="s">
        <v>124</v>
      </c>
      <c r="C100" s="18" t="s">
        <v>46</v>
      </c>
      <c r="D100" s="10">
        <v>489649733.5</v>
      </c>
      <c r="E100" s="10">
        <v>4361921.0599999996</v>
      </c>
      <c r="F100" s="10">
        <v>12791089.359999999</v>
      </c>
      <c r="G100" s="10">
        <v>22335.93</v>
      </c>
      <c r="H100" s="12">
        <f t="shared" si="17"/>
        <v>17130674.489999998</v>
      </c>
      <c r="I100" s="10">
        <v>468851633.00999999</v>
      </c>
      <c r="J100" s="13">
        <f t="shared" si="18"/>
        <v>2.2510673366306871E-3</v>
      </c>
      <c r="K100" s="10">
        <v>492000160.75999999</v>
      </c>
      <c r="L100" s="13">
        <f t="shared" si="20"/>
        <v>2.3525475773866038E-3</v>
      </c>
      <c r="M100" s="13">
        <f t="shared" si="21"/>
        <v>4.93728209953921E-2</v>
      </c>
      <c r="N100" s="19">
        <f t="shared" si="22"/>
        <v>4.5398216873541981E-5</v>
      </c>
      <c r="O100" s="20">
        <f t="shared" si="23"/>
        <v>3.481843270851373E-2</v>
      </c>
      <c r="P100" s="23">
        <f t="shared" si="24"/>
        <v>8146.8526128868589</v>
      </c>
      <c r="Q100" s="23">
        <f t="shared" si="25"/>
        <v>283.6606394879804</v>
      </c>
      <c r="R100" s="10">
        <v>8124</v>
      </c>
      <c r="S100" s="10">
        <v>8162.51</v>
      </c>
      <c r="T100" s="16">
        <v>15</v>
      </c>
      <c r="U100" s="10">
        <v>60391.44</v>
      </c>
      <c r="V100" s="10">
        <v>60391.44</v>
      </c>
    </row>
    <row r="101" spans="1:23">
      <c r="A101" s="95">
        <v>91</v>
      </c>
      <c r="B101" s="18" t="s">
        <v>125</v>
      </c>
      <c r="C101" s="18" t="s">
        <v>46</v>
      </c>
      <c r="D101" s="10">
        <v>6098473690.9799995</v>
      </c>
      <c r="E101" s="10">
        <v>87774573.670000002</v>
      </c>
      <c r="F101" s="10">
        <v>0</v>
      </c>
      <c r="G101" s="10">
        <v>8591307.9100000001</v>
      </c>
      <c r="H101" s="12">
        <f t="shared" si="17"/>
        <v>79183265.760000005</v>
      </c>
      <c r="I101" s="10">
        <v>6201475366.7700005</v>
      </c>
      <c r="J101" s="13">
        <f t="shared" si="18"/>
        <v>2.9774746751832282E-2</v>
      </c>
      <c r="K101" s="10">
        <v>6119802077.5699997</v>
      </c>
      <c r="L101" s="13">
        <f t="shared" si="20"/>
        <v>2.9262440746835025E-2</v>
      </c>
      <c r="M101" s="13">
        <f t="shared" si="21"/>
        <v>-1.3169977202141138E-2</v>
      </c>
      <c r="N101" s="19">
        <f t="shared" si="22"/>
        <v>1.4038538830346235E-3</v>
      </c>
      <c r="O101" s="20">
        <f t="shared" si="23"/>
        <v>1.2938860563843829E-2</v>
      </c>
      <c r="P101" s="23">
        <f t="shared" si="24"/>
        <v>149.39393653342938</v>
      </c>
      <c r="Q101" s="23">
        <f t="shared" si="25"/>
        <v>1.9329873138897773</v>
      </c>
      <c r="R101" s="10">
        <v>149.38999999999999</v>
      </c>
      <c r="S101" s="10">
        <v>149.38999999999999</v>
      </c>
      <c r="T101" s="16">
        <v>4688</v>
      </c>
      <c r="U101" s="10">
        <v>42038925.670000002</v>
      </c>
      <c r="V101" s="10">
        <v>40964193.189999998</v>
      </c>
    </row>
    <row r="102" spans="1:23">
      <c r="A102" s="95">
        <v>92</v>
      </c>
      <c r="B102" s="18" t="s">
        <v>126</v>
      </c>
      <c r="C102" s="18" t="s">
        <v>46</v>
      </c>
      <c r="D102" s="10">
        <v>7253270334.8000002</v>
      </c>
      <c r="E102" s="10">
        <v>77917956.689999998</v>
      </c>
      <c r="F102" s="10">
        <v>70368693.75</v>
      </c>
      <c r="G102" s="10">
        <v>13928235.35</v>
      </c>
      <c r="H102" s="12">
        <f t="shared" si="17"/>
        <v>134358415.09</v>
      </c>
      <c r="I102" s="10">
        <v>7495807366.9799995</v>
      </c>
      <c r="J102" s="13">
        <f t="shared" si="18"/>
        <v>3.5989140140468404E-2</v>
      </c>
      <c r="K102" s="10">
        <v>7457130029.1599998</v>
      </c>
      <c r="L102" s="13">
        <f t="shared" si="20"/>
        <v>3.565700701653822E-2</v>
      </c>
      <c r="M102" s="13">
        <f t="shared" si="21"/>
        <v>-5.1598628308377253E-3</v>
      </c>
      <c r="N102" s="19">
        <f t="shared" si="22"/>
        <v>1.8677742369431274E-3</v>
      </c>
      <c r="O102" s="20">
        <f t="shared" si="23"/>
        <v>1.801744297935149E-2</v>
      </c>
      <c r="P102" s="23">
        <f t="shared" si="24"/>
        <v>373.29027483619706</v>
      </c>
      <c r="Q102" s="23">
        <f t="shared" si="25"/>
        <v>6.7257362416076267</v>
      </c>
      <c r="R102" s="10">
        <v>372.95</v>
      </c>
      <c r="S102" s="10">
        <v>372.52</v>
      </c>
      <c r="T102" s="16">
        <v>10305</v>
      </c>
      <c r="U102" s="10">
        <v>20367675.710000001</v>
      </c>
      <c r="V102" s="10">
        <v>19976759.460000001</v>
      </c>
    </row>
    <row r="103" spans="1:23">
      <c r="A103" s="95">
        <v>93</v>
      </c>
      <c r="B103" s="18" t="s">
        <v>127</v>
      </c>
      <c r="C103" s="18" t="s">
        <v>50</v>
      </c>
      <c r="D103" s="10">
        <v>80448436584</v>
      </c>
      <c r="E103" s="10">
        <v>710993057</v>
      </c>
      <c r="F103" s="10">
        <v>0</v>
      </c>
      <c r="G103" s="10">
        <v>130458639</v>
      </c>
      <c r="H103" s="12">
        <f t="shared" si="17"/>
        <v>580534418</v>
      </c>
      <c r="I103" s="10">
        <v>87364383169</v>
      </c>
      <c r="J103" s="13">
        <f t="shared" si="18"/>
        <v>0.41945702113493349</v>
      </c>
      <c r="K103" s="10">
        <v>87535796114</v>
      </c>
      <c r="L103" s="13">
        <f t="shared" si="20"/>
        <v>0.41856109307869321</v>
      </c>
      <c r="M103" s="13">
        <f t="shared" si="21"/>
        <v>1.9620460739522903E-3</v>
      </c>
      <c r="N103" s="19">
        <f t="shared" si="22"/>
        <v>1.490346175981544E-3</v>
      </c>
      <c r="O103" s="20">
        <f t="shared" si="23"/>
        <v>6.6319659359007355E-3</v>
      </c>
      <c r="P103" s="23">
        <f t="shared" si="24"/>
        <v>1.9064257073146487</v>
      </c>
      <c r="Q103" s="23">
        <f t="shared" si="25"/>
        <v>1.2643350350236216E-2</v>
      </c>
      <c r="R103" s="10">
        <v>1.91</v>
      </c>
      <c r="S103" s="10">
        <v>1.91</v>
      </c>
      <c r="T103" s="16">
        <v>1370</v>
      </c>
      <c r="U103" s="10">
        <v>42853112559</v>
      </c>
      <c r="V103" s="10">
        <v>45916185340</v>
      </c>
    </row>
    <row r="104" spans="1:23">
      <c r="A104" s="95">
        <v>94</v>
      </c>
      <c r="B104" s="87" t="s">
        <v>260</v>
      </c>
      <c r="C104" s="18" t="s">
        <v>50</v>
      </c>
      <c r="D104" s="10">
        <v>20366977455</v>
      </c>
      <c r="E104" s="10">
        <v>544287108</v>
      </c>
      <c r="F104" s="10"/>
      <c r="G104" s="10">
        <v>57177190</v>
      </c>
      <c r="H104" s="12">
        <f t="shared" si="17"/>
        <v>487109918</v>
      </c>
      <c r="I104" s="10">
        <v>28395320558</v>
      </c>
      <c r="J104" s="13">
        <f t="shared" si="18"/>
        <v>0.13633263514709423</v>
      </c>
      <c r="K104" s="10">
        <v>33085681698</v>
      </c>
      <c r="L104" s="13">
        <f t="shared" si="20"/>
        <v>0.15820246929305939</v>
      </c>
      <c r="M104" s="13">
        <f t="shared" si="21"/>
        <v>0.16518077795316713</v>
      </c>
      <c r="N104" s="19">
        <f t="shared" si="22"/>
        <v>1.7281551131967854E-3</v>
      </c>
      <c r="O104" s="20">
        <f t="shared" si="23"/>
        <v>1.4722680416448707E-2</v>
      </c>
      <c r="P104" s="23">
        <f t="shared" si="24"/>
        <v>119.12176730446006</v>
      </c>
      <c r="Q104" s="23">
        <f t="shared" si="25"/>
        <v>1.753791710666134</v>
      </c>
      <c r="R104" s="10">
        <v>119.12</v>
      </c>
      <c r="S104" s="10">
        <v>119.12</v>
      </c>
      <c r="T104" s="16">
        <v>157</v>
      </c>
      <c r="U104" s="10">
        <v>247345837</v>
      </c>
      <c r="V104" s="10">
        <v>277746733</v>
      </c>
    </row>
    <row r="105" spans="1:23">
      <c r="A105" s="95">
        <v>95</v>
      </c>
      <c r="B105" s="75" t="s">
        <v>240</v>
      </c>
      <c r="C105" s="75" t="s">
        <v>241</v>
      </c>
      <c r="D105" s="10">
        <v>101168590.75</v>
      </c>
      <c r="E105" s="10">
        <v>4214282.45</v>
      </c>
      <c r="F105" s="10">
        <v>0</v>
      </c>
      <c r="G105" s="10">
        <v>443390.71999999997</v>
      </c>
      <c r="H105" s="12">
        <v>2993315.04</v>
      </c>
      <c r="I105" s="10">
        <v>104912992.20999999</v>
      </c>
      <c r="J105" s="13">
        <f t="shared" si="18"/>
        <v>5.0371203452134207E-4</v>
      </c>
      <c r="K105" s="10">
        <v>106029183.69</v>
      </c>
      <c r="L105" s="13">
        <f t="shared" si="20"/>
        <v>5.0698906040371405E-4</v>
      </c>
      <c r="M105" s="13">
        <f t="shared" si="21"/>
        <v>1.0639211183356298E-2</v>
      </c>
      <c r="N105" s="19">
        <f t="shared" si="22"/>
        <v>4.1817800021581959E-3</v>
      </c>
      <c r="O105" s="20">
        <f t="shared" si="23"/>
        <v>2.8231048621025181E-2</v>
      </c>
      <c r="P105" s="23">
        <f t="shared" si="24"/>
        <v>116.80992207320296</v>
      </c>
      <c r="Q105" s="23">
        <f t="shared" si="25"/>
        <v>3.2976665894667554</v>
      </c>
      <c r="R105" s="10">
        <v>116.8099</v>
      </c>
      <c r="S105" s="10">
        <v>116.8099</v>
      </c>
      <c r="T105" s="16">
        <v>75</v>
      </c>
      <c r="U105" s="10">
        <v>906583.56</v>
      </c>
      <c r="V105" s="10">
        <v>907706.99789999996</v>
      </c>
    </row>
    <row r="106" spans="1:23">
      <c r="A106" s="95">
        <v>96</v>
      </c>
      <c r="B106" s="75" t="s">
        <v>300</v>
      </c>
      <c r="C106" s="75" t="s">
        <v>299</v>
      </c>
      <c r="D106" s="10">
        <v>264733125.72999999</v>
      </c>
      <c r="E106" s="10">
        <v>3322271.98</v>
      </c>
      <c r="F106" s="10">
        <v>0</v>
      </c>
      <c r="G106" s="10">
        <v>469291.68</v>
      </c>
      <c r="H106" s="12">
        <f t="shared" si="17"/>
        <v>2852980.3</v>
      </c>
      <c r="I106" s="10">
        <v>295683387.32999998</v>
      </c>
      <c r="J106" s="13">
        <f t="shared" si="18"/>
        <v>1.4196457223146462E-3</v>
      </c>
      <c r="K106" s="10">
        <v>302205805.63</v>
      </c>
      <c r="L106" s="13">
        <f t="shared" si="20"/>
        <v>1.4450270398464967E-3</v>
      </c>
      <c r="M106" s="13">
        <f t="shared" si="21"/>
        <v>2.2058791868210748E-2</v>
      </c>
      <c r="N106" s="19">
        <f t="shared" si="22"/>
        <v>1.5528877051904438E-3</v>
      </c>
      <c r="O106" s="20">
        <f t="shared" si="23"/>
        <v>9.4405211509834223E-3</v>
      </c>
      <c r="P106" s="23">
        <f t="shared" si="24"/>
        <v>1.2477278278704751</v>
      </c>
      <c r="Q106" s="23">
        <f t="shared" si="25"/>
        <v>1.1779200949681823E-2</v>
      </c>
      <c r="R106" s="10">
        <v>1.2477</v>
      </c>
      <c r="S106" s="10">
        <v>1.2477</v>
      </c>
      <c r="T106" s="16">
        <v>389</v>
      </c>
      <c r="U106" s="10">
        <v>243822246.5</v>
      </c>
      <c r="V106" s="10">
        <v>242204909.5</v>
      </c>
    </row>
    <row r="107" spans="1:23">
      <c r="A107" s="95">
        <v>97</v>
      </c>
      <c r="B107" s="73" t="s">
        <v>128</v>
      </c>
      <c r="C107" s="73" t="s">
        <v>93</v>
      </c>
      <c r="D107" s="10">
        <v>1888851841.23</v>
      </c>
      <c r="E107" s="10">
        <v>18439189.329999998</v>
      </c>
      <c r="F107" s="10">
        <v>0</v>
      </c>
      <c r="G107" s="10">
        <v>3294922.54</v>
      </c>
      <c r="H107" s="12">
        <f t="shared" si="17"/>
        <v>15144266.789999999</v>
      </c>
      <c r="I107" s="10">
        <v>1970874849.6700001</v>
      </c>
      <c r="J107" s="13">
        <f t="shared" si="18"/>
        <v>9.4626352694913759E-3</v>
      </c>
      <c r="K107" s="10">
        <v>1946134377.1600001</v>
      </c>
      <c r="L107" s="13">
        <f t="shared" si="20"/>
        <v>9.3056345900055463E-3</v>
      </c>
      <c r="M107" s="13">
        <f t="shared" si="21"/>
        <v>-1.2553040856015029E-2</v>
      </c>
      <c r="N107" s="19">
        <f t="shared" si="22"/>
        <v>1.6930601394587617E-3</v>
      </c>
      <c r="O107" s="20">
        <f t="shared" si="23"/>
        <v>7.7817169090348606E-3</v>
      </c>
      <c r="P107" s="23">
        <f t="shared" si="24"/>
        <v>28.556648405261807</v>
      </c>
      <c r="Q107" s="23">
        <f t="shared" si="25"/>
        <v>0.22221975376058919</v>
      </c>
      <c r="R107" s="10">
        <v>28.556699999999999</v>
      </c>
      <c r="S107" s="10">
        <v>28.556699999999999</v>
      </c>
      <c r="T107" s="15">
        <v>1300</v>
      </c>
      <c r="U107" s="10">
        <v>68261191.959999993</v>
      </c>
      <c r="V107" s="10">
        <v>68149957.569999993</v>
      </c>
    </row>
    <row r="108" spans="1:23">
      <c r="A108" s="110" t="s">
        <v>51</v>
      </c>
      <c r="B108" s="110"/>
      <c r="C108" s="110"/>
      <c r="D108" s="110"/>
      <c r="E108" s="110"/>
      <c r="F108" s="110"/>
      <c r="G108" s="110"/>
      <c r="H108" s="110"/>
      <c r="I108" s="36">
        <f>SUM(I71:I107)</f>
        <v>208279701535.60999</v>
      </c>
      <c r="J108" s="34">
        <f>(I108/$I$229)</f>
        <v>3.6659177367497332E-2</v>
      </c>
      <c r="K108" s="36">
        <f>SUM(K71:K107)</f>
        <v>209135052353.13998</v>
      </c>
      <c r="L108" s="34">
        <f>(K108/$K$229)</f>
        <v>3.568062665059215E-2</v>
      </c>
      <c r="M108" s="34">
        <f>((K108-I108)/I108)</f>
        <v>4.1067411333108612E-3</v>
      </c>
      <c r="N108" s="19"/>
      <c r="O108" s="19"/>
      <c r="P108" s="37"/>
      <c r="Q108" s="37"/>
      <c r="R108" s="36"/>
      <c r="S108" s="36"/>
      <c r="T108" s="36">
        <f>SUM(T71:T107)</f>
        <v>45621</v>
      </c>
      <c r="U108" s="36"/>
      <c r="V108" s="10"/>
    </row>
    <row r="109" spans="1:23" ht="6.9" customHeight="1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5"/>
    </row>
    <row r="110" spans="1:23">
      <c r="A110" s="113" t="s">
        <v>201</v>
      </c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</row>
    <row r="111" spans="1:23">
      <c r="A111" s="157" t="s">
        <v>129</v>
      </c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</row>
    <row r="112" spans="1:23">
      <c r="A112" s="74">
        <v>98</v>
      </c>
      <c r="B112" s="18" t="s">
        <v>130</v>
      </c>
      <c r="C112" s="18" t="s">
        <v>22</v>
      </c>
      <c r="D112" s="16">
        <f>1944439.13*FX_RATE</f>
        <v>2974428953.7718649</v>
      </c>
      <c r="E112" s="16">
        <f>12901.16*FX_RATE</f>
        <v>19735039.914179999</v>
      </c>
      <c r="F112" s="16">
        <f>101525.8*FX_RATE</f>
        <v>155305082.2809</v>
      </c>
      <c r="G112" s="16">
        <f>3740.43*FX_RATE</f>
        <v>5721775.045514999</v>
      </c>
      <c r="H112" s="12">
        <f t="shared" ref="H112:H128" si="26">(E112+F112)-G112</f>
        <v>169318347.14956501</v>
      </c>
      <c r="I112" s="28">
        <v>3070005301.29</v>
      </c>
      <c r="J112" s="13">
        <f t="shared" ref="J112:J128" si="27">(I112/$I$148)</f>
        <v>1.5821360132427906E-3</v>
      </c>
      <c r="K112" s="28">
        <f>1938735.77*FX_RATE</f>
        <v>2965704464.0945849</v>
      </c>
      <c r="L112" s="13">
        <f t="shared" ref="L112:L128" si="28">(K112/$K$148)</f>
        <v>1.5376823424537926E-3</v>
      </c>
      <c r="M112" s="13">
        <f>((K112-I112)/I112)</f>
        <v>-3.3974155403441279E-2</v>
      </c>
      <c r="N112" s="19">
        <f>(G112/K112)</f>
        <v>1.9293139673179907E-3</v>
      </c>
      <c r="O112" s="20">
        <f>H112/K112</f>
        <v>5.7092117302813272E-2</v>
      </c>
      <c r="P112" s="23">
        <f>K112/V112</f>
        <v>173976.20196007213</v>
      </c>
      <c r="Q112" s="23">
        <f>H112/V112</f>
        <v>9932.6697302023695</v>
      </c>
      <c r="R112" s="10">
        <f>113.7315*C230</f>
        <v>173976.26973074998</v>
      </c>
      <c r="S112" s="10">
        <f>113.7315*C230</f>
        <v>173976.26973074998</v>
      </c>
      <c r="T112" s="10">
        <v>192</v>
      </c>
      <c r="U112" s="10">
        <v>17108.599999999999</v>
      </c>
      <c r="V112" s="10">
        <v>17046.61</v>
      </c>
    </row>
    <row r="113" spans="1:24">
      <c r="A113" s="74">
        <v>99</v>
      </c>
      <c r="B113" s="75" t="s">
        <v>229</v>
      </c>
      <c r="C113" s="76" t="s">
        <v>55</v>
      </c>
      <c r="D113" s="16">
        <f>3099204.03*FX_RATE</f>
        <v>4740884946.3333139</v>
      </c>
      <c r="E113" s="16">
        <f>22717.58*FX_RATE</f>
        <v>34751320.66059</v>
      </c>
      <c r="F113" s="16">
        <v>0</v>
      </c>
      <c r="G113" s="16">
        <f>5009.77*C230</f>
        <v>7663497.7715850007</v>
      </c>
      <c r="H113" s="12">
        <f t="shared" si="26"/>
        <v>27087822.889004998</v>
      </c>
      <c r="I113" s="28">
        <v>4511080157.9274197</v>
      </c>
      <c r="J113" s="13">
        <f t="shared" si="27"/>
        <v>2.3247980625580537E-3</v>
      </c>
      <c r="K113" s="28">
        <f>3130641.74*FX_RATE</f>
        <v>4788975541.4162703</v>
      </c>
      <c r="L113" s="13">
        <f t="shared" si="28"/>
        <v>2.4830266190151418E-3</v>
      </c>
      <c r="M113" s="13">
        <f t="shared" ref="M113:M128" si="29">((K113-I113)/I113)</f>
        <v>6.1602847601920564E-2</v>
      </c>
      <c r="N113" s="19">
        <f t="shared" ref="N113:N128" si="30">(G113/K113)</f>
        <v>1.6002374005273437E-3</v>
      </c>
      <c r="O113" s="20">
        <f t="shared" ref="O113:O128" si="31">H113/K113</f>
        <v>5.6562875827497264E-3</v>
      </c>
      <c r="P113" s="23">
        <f t="shared" ref="P113:P128" si="32">K113/V113</f>
        <v>157503.12825425423</v>
      </c>
      <c r="Q113" s="23">
        <f t="shared" ref="Q113:Q128" si="33">H113/V113</f>
        <v>890.8829885887759</v>
      </c>
      <c r="R113" s="10">
        <f>100*C230</f>
        <v>152971.04999999999</v>
      </c>
      <c r="S113" s="10">
        <f>100*C230</f>
        <v>152971.04999999999</v>
      </c>
      <c r="T113" s="10">
        <v>75</v>
      </c>
      <c r="U113" s="10">
        <v>27916.43</v>
      </c>
      <c r="V113" s="10">
        <v>30405.59</v>
      </c>
    </row>
    <row r="114" spans="1:24" ht="12.9" customHeight="1">
      <c r="A114" s="74">
        <v>100</v>
      </c>
      <c r="B114" s="18" t="s">
        <v>131</v>
      </c>
      <c r="C114" s="73" t="s">
        <v>26</v>
      </c>
      <c r="D114" s="16">
        <f>7069652.68*FX_RATE</f>
        <v>10814521935.949139</v>
      </c>
      <c r="E114" s="16">
        <f>84622.29*FX_RATE</f>
        <v>129447605.54704498</v>
      </c>
      <c r="F114" s="16">
        <f>1040*C230</f>
        <v>1590898.92</v>
      </c>
      <c r="G114" s="16">
        <f>16754.32*FX_RATE</f>
        <v>25629259.224359997</v>
      </c>
      <c r="H114" s="12">
        <f t="shared" si="26"/>
        <v>105409245.24268499</v>
      </c>
      <c r="I114" s="28">
        <v>16776941720.764399</v>
      </c>
      <c r="J114" s="13">
        <f t="shared" si="27"/>
        <v>8.6460449033568219E-3</v>
      </c>
      <c r="K114" s="28">
        <f>10652032*FX_RATE</f>
        <v>16294525196.735998</v>
      </c>
      <c r="L114" s="13">
        <f t="shared" si="28"/>
        <v>8.4485166937693403E-3</v>
      </c>
      <c r="M114" s="13">
        <f t="shared" si="29"/>
        <v>-2.8754735640007953E-2</v>
      </c>
      <c r="N114" s="19">
        <f t="shared" si="30"/>
        <v>1.5728754851656473E-3</v>
      </c>
      <c r="O114" s="20">
        <f t="shared" si="31"/>
        <v>6.4689976522789268E-3</v>
      </c>
      <c r="P114" s="23">
        <f t="shared" si="32"/>
        <v>1806.4707569079146</v>
      </c>
      <c r="Q114" s="23">
        <f t="shared" si="33"/>
        <v>11.686055085347835</v>
      </c>
      <c r="R114" s="10">
        <f>1.1809*FX_RATE</f>
        <v>1806.43512945</v>
      </c>
      <c r="S114" s="10">
        <f>1.1809*FX_RATE</f>
        <v>1806.43512945</v>
      </c>
      <c r="T114" s="10">
        <v>315</v>
      </c>
      <c r="U114" s="10">
        <v>9038735</v>
      </c>
      <c r="V114" s="10">
        <v>9020088</v>
      </c>
    </row>
    <row r="115" spans="1:24" ht="12.9" customHeight="1">
      <c r="A115" s="74">
        <v>101</v>
      </c>
      <c r="B115" s="18" t="s">
        <v>269</v>
      </c>
      <c r="C115" s="73" t="s">
        <v>26</v>
      </c>
      <c r="D115" s="16">
        <f>1743869.13*FX_RATE</f>
        <v>2667614918.7868648</v>
      </c>
      <c r="E115" s="16">
        <f>13738.47*FX_RATE</f>
        <v>21015881.812934998</v>
      </c>
      <c r="F115" s="16"/>
      <c r="G115" s="16">
        <f>3492.3*FX_RATE</f>
        <v>5342207.97915</v>
      </c>
      <c r="H115" s="12">
        <f t="shared" si="26"/>
        <v>15673673.833784997</v>
      </c>
      <c r="I115" s="28">
        <v>3241921028.836</v>
      </c>
      <c r="J115" s="13">
        <f t="shared" si="27"/>
        <v>1.6707332751690392E-3</v>
      </c>
      <c r="K115" s="28">
        <f>2111966*FX_RATE</f>
        <v>3230696565.8429999</v>
      </c>
      <c r="L115" s="13">
        <f t="shared" si="28"/>
        <v>1.6750775821620944E-3</v>
      </c>
      <c r="M115" s="13">
        <f t="shared" si="29"/>
        <v>-3.462287604528767E-3</v>
      </c>
      <c r="N115" s="19">
        <f t="shared" si="30"/>
        <v>1.6535777564600945E-3</v>
      </c>
      <c r="O115" s="20">
        <f t="shared" si="31"/>
        <v>4.8514843515473256E-3</v>
      </c>
      <c r="P115" s="23">
        <f t="shared" si="32"/>
        <v>1612.5480931577315</v>
      </c>
      <c r="Q115" s="23">
        <f t="shared" si="33"/>
        <v>7.8232518400722135</v>
      </c>
      <c r="R115" s="10">
        <f>1.0252*FX_RATE</f>
        <v>1568.2592045999997</v>
      </c>
      <c r="S115" s="10">
        <f>1.0252*FX_RATE</f>
        <v>1568.2592045999997</v>
      </c>
      <c r="T115" s="10">
        <v>79</v>
      </c>
      <c r="U115" s="10">
        <v>2003473</v>
      </c>
      <c r="V115" s="10">
        <v>2003473</v>
      </c>
    </row>
    <row r="116" spans="1:24" ht="12.9" customHeight="1">
      <c r="A116" s="74">
        <v>102</v>
      </c>
      <c r="B116" s="75" t="s">
        <v>234</v>
      </c>
      <c r="C116" s="76" t="s">
        <v>102</v>
      </c>
      <c r="D116" s="16">
        <f>11755920.72*C230</f>
        <v>17983155362.551559</v>
      </c>
      <c r="E116" s="16">
        <f>78599.04*FX_RATE</f>
        <v>120233776.77791998</v>
      </c>
      <c r="F116" s="16">
        <v>0</v>
      </c>
      <c r="G116" s="16">
        <f>14999.38*FX_RATE</f>
        <v>22944709.079489999</v>
      </c>
      <c r="H116" s="12">
        <f t="shared" si="26"/>
        <v>97289067.698429972</v>
      </c>
      <c r="I116" s="28">
        <v>14612889302.288006</v>
      </c>
      <c r="J116" s="13">
        <f t="shared" si="27"/>
        <v>7.5307942995946767E-3</v>
      </c>
      <c r="K116" s="28">
        <f>11718556.83*FX_RATE</f>
        <v>17925999427.697716</v>
      </c>
      <c r="L116" s="13">
        <f t="shared" si="28"/>
        <v>9.2944165963019763E-3</v>
      </c>
      <c r="M116" s="13">
        <f t="shared" si="29"/>
        <v>0.22672519149864231</v>
      </c>
      <c r="N116" s="19">
        <f t="shared" si="30"/>
        <v>1.2799681921242172E-3</v>
      </c>
      <c r="O116" s="20">
        <f t="shared" si="31"/>
        <v>5.4272604487595405E-3</v>
      </c>
      <c r="P116" s="23">
        <f t="shared" si="32"/>
        <v>1657.9689081946158</v>
      </c>
      <c r="Q116" s="23">
        <f t="shared" si="33"/>
        <v>8.9982290807176764</v>
      </c>
      <c r="R116" s="10">
        <f>1.0838*FX_RATE</f>
        <v>1657.9002399000001</v>
      </c>
      <c r="S116" s="10">
        <f>1.0838*FX_RATE</f>
        <v>1657.9002399000001</v>
      </c>
      <c r="T116" s="10">
        <v>459</v>
      </c>
      <c r="U116" s="10">
        <v>8561103.0800000001</v>
      </c>
      <c r="V116" s="10">
        <v>10812023.880000001</v>
      </c>
    </row>
    <row r="117" spans="1:24" ht="12.9" customHeight="1">
      <c r="A117" s="74">
        <v>103</v>
      </c>
      <c r="B117" s="75" t="s">
        <v>235</v>
      </c>
      <c r="C117" s="76" t="s">
        <v>213</v>
      </c>
      <c r="D117" s="16">
        <f>496446.79*FX_RATE</f>
        <v>759419867.3542949</v>
      </c>
      <c r="E117" s="16">
        <f>8396.27*FX_RATE</f>
        <v>12843862.379835</v>
      </c>
      <c r="F117" s="16">
        <v>0</v>
      </c>
      <c r="G117" s="16">
        <f>1030.79*FX_RATE</f>
        <v>1576810.2862949998</v>
      </c>
      <c r="H117" s="12">
        <f t="shared" si="26"/>
        <v>11267052.09354</v>
      </c>
      <c r="I117" s="28">
        <v>785843995.37848389</v>
      </c>
      <c r="J117" s="13">
        <f t="shared" si="27"/>
        <v>4.0498695079010689E-4</v>
      </c>
      <c r="K117" s="28">
        <f>520510.03*FX_RATE</f>
        <v>796229658.246315</v>
      </c>
      <c r="L117" s="13">
        <f t="shared" si="28"/>
        <v>4.1283556768599458E-4</v>
      </c>
      <c r="M117" s="13">
        <f t="shared" si="29"/>
        <v>1.321593462431318E-2</v>
      </c>
      <c r="N117" s="19">
        <f t="shared" si="30"/>
        <v>1.9803460847814974E-3</v>
      </c>
      <c r="O117" s="20">
        <f t="shared" si="31"/>
        <v>1.4150505418694814E-2</v>
      </c>
      <c r="P117" s="23">
        <f t="shared" si="32"/>
        <v>1708.0528522622458</v>
      </c>
      <c r="Q117" s="23">
        <f t="shared" si="33"/>
        <v>24.169811141354042</v>
      </c>
      <c r="R117" s="10">
        <f>1*FX_RATE</f>
        <v>1529.7104999999999</v>
      </c>
      <c r="S117" s="10">
        <f>1*FX_RATE</f>
        <v>1529.7104999999999</v>
      </c>
      <c r="T117" s="10">
        <v>21</v>
      </c>
      <c r="U117" s="10">
        <v>447082.4</v>
      </c>
      <c r="V117" s="10">
        <v>466162.19</v>
      </c>
    </row>
    <row r="118" spans="1:24" ht="12.9" customHeight="1">
      <c r="A118" s="74">
        <v>104</v>
      </c>
      <c r="B118" s="75" t="s">
        <v>236</v>
      </c>
      <c r="C118" s="76" t="s">
        <v>48</v>
      </c>
      <c r="D118" s="16">
        <f>62415.07*FX_RATE</f>
        <v>95476987.937234998</v>
      </c>
      <c r="E118" s="16">
        <f>1305.29*FX_RATE</f>
        <v>1996715.8185449999</v>
      </c>
      <c r="F118" s="16">
        <v>0</v>
      </c>
      <c r="G118" s="16">
        <f>248.98*FX_RATE</f>
        <v>380867.32028999995</v>
      </c>
      <c r="H118" s="12">
        <f t="shared" si="26"/>
        <v>1615848.498255</v>
      </c>
      <c r="I118" s="28">
        <v>453281226.98826802</v>
      </c>
      <c r="J118" s="13">
        <f t="shared" si="27"/>
        <v>2.3359977686151717E-4</v>
      </c>
      <c r="K118" s="28">
        <f>295761.68*FX_RATE</f>
        <v>452429747.39363998</v>
      </c>
      <c r="L118" s="13">
        <f t="shared" si="28"/>
        <v>2.3457942023242756E-4</v>
      </c>
      <c r="M118" s="13">
        <f t="shared" si="29"/>
        <v>-1.8784797250164396E-3</v>
      </c>
      <c r="N118" s="19">
        <f t="shared" si="30"/>
        <v>8.4182643268729057E-4</v>
      </c>
      <c r="O118" s="20">
        <f t="shared" si="31"/>
        <v>3.5714903972685038E-3</v>
      </c>
      <c r="P118" s="23">
        <f t="shared" si="32"/>
        <v>2051.2256169158222</v>
      </c>
      <c r="Q118" s="23">
        <f t="shared" si="33"/>
        <v>7.3259325934460211</v>
      </c>
      <c r="R118" s="10">
        <f>1.3409*FX_RATE</f>
        <v>2051.18880945</v>
      </c>
      <c r="S118" s="10">
        <f>1.3409*FX_RATE</f>
        <v>2051.18880945</v>
      </c>
      <c r="T118" s="10">
        <v>36</v>
      </c>
      <c r="U118" s="10">
        <v>219839.53</v>
      </c>
      <c r="V118" s="10">
        <v>220565.57</v>
      </c>
    </row>
    <row r="119" spans="1:24" ht="12.9" customHeight="1">
      <c r="A119" s="74">
        <v>105</v>
      </c>
      <c r="B119" s="75" t="s">
        <v>237</v>
      </c>
      <c r="C119" s="76" t="s">
        <v>167</v>
      </c>
      <c r="D119" s="16">
        <f>329337.13*C230</f>
        <v>503790465.80086499</v>
      </c>
      <c r="E119" s="16">
        <f>3124.17*C230</f>
        <v>4779075.6527849995</v>
      </c>
      <c r="F119" s="16">
        <v>0</v>
      </c>
      <c r="G119" s="16">
        <f>612.09*C230</f>
        <v>936320.49994500005</v>
      </c>
      <c r="H119" s="12">
        <f t="shared" si="26"/>
        <v>3842755.1528399996</v>
      </c>
      <c r="I119" s="28">
        <v>828672505.26860797</v>
      </c>
      <c r="J119" s="13">
        <f t="shared" si="27"/>
        <v>4.2705874586558042E-4</v>
      </c>
      <c r="K119" s="28">
        <f>536024.64*C230</f>
        <v>819962520.06672001</v>
      </c>
      <c r="L119" s="13">
        <f t="shared" si="28"/>
        <v>4.2514077307613242E-4</v>
      </c>
      <c r="M119" s="13">
        <f t="shared" si="29"/>
        <v>-1.0510768906305982E-2</v>
      </c>
      <c r="N119" s="19">
        <f t="shared" si="30"/>
        <v>1.1419064616134064E-3</v>
      </c>
      <c r="O119" s="20">
        <f t="shared" si="31"/>
        <v>4.6865009787609756E-3</v>
      </c>
      <c r="P119" s="23">
        <f t="shared" si="32"/>
        <v>160966.33687999999</v>
      </c>
      <c r="Q119" s="23">
        <f t="shared" si="33"/>
        <v>754.36889533568899</v>
      </c>
      <c r="R119" s="10">
        <v>107.69</v>
      </c>
      <c r="S119" s="10">
        <v>106.06</v>
      </c>
      <c r="T119" s="10">
        <v>64</v>
      </c>
      <c r="U119" s="10">
        <v>4960</v>
      </c>
      <c r="V119" s="10">
        <v>5094</v>
      </c>
    </row>
    <row r="120" spans="1:24" ht="15" customHeight="1">
      <c r="A120" s="74">
        <v>106</v>
      </c>
      <c r="B120" s="18" t="s">
        <v>132</v>
      </c>
      <c r="C120" s="73" t="s">
        <v>68</v>
      </c>
      <c r="D120" s="16">
        <f>727698.33*FX_RATE</f>
        <v>1113167776.233465</v>
      </c>
      <c r="E120" s="16">
        <f>24930.02*FX_RATE</f>
        <v>38135713.359209999</v>
      </c>
      <c r="F120" s="16">
        <v>0</v>
      </c>
      <c r="G120" s="16">
        <f>4802.65*FX_RATE</f>
        <v>7346664.1328249993</v>
      </c>
      <c r="H120" s="12">
        <f t="shared" si="26"/>
        <v>30789049.226385001</v>
      </c>
      <c r="I120" s="28">
        <v>5301372819.0806599</v>
      </c>
      <c r="J120" s="13">
        <f t="shared" si="27"/>
        <v>2.7320776459798259E-3</v>
      </c>
      <c r="K120" s="28">
        <f>3424968.8*FX_RATE</f>
        <v>5239210735.5323992</v>
      </c>
      <c r="L120" s="13">
        <f t="shared" si="28"/>
        <v>2.7164681895847798E-3</v>
      </c>
      <c r="M120" s="13">
        <f t="shared" si="29"/>
        <v>-1.1725657800282863E-2</v>
      </c>
      <c r="N120" s="19">
        <f t="shared" si="30"/>
        <v>1.4022463503901117E-3</v>
      </c>
      <c r="O120" s="20">
        <f t="shared" si="31"/>
        <v>5.87665791291296E-3</v>
      </c>
      <c r="P120" s="23">
        <f t="shared" si="32"/>
        <v>170130.31657878737</v>
      </c>
      <c r="Q120" s="23">
        <f t="shared" si="33"/>
        <v>999.79767114911772</v>
      </c>
      <c r="R120" s="10">
        <f>113.05*FX_RATE</f>
        <v>172933.77202499998</v>
      </c>
      <c r="S120" s="10">
        <f>113.05*FX_RATE</f>
        <v>172933.77202499998</v>
      </c>
      <c r="T120" s="10">
        <v>61</v>
      </c>
      <c r="U120" s="10">
        <v>29189.46</v>
      </c>
      <c r="V120" s="10">
        <v>30795.279999999999</v>
      </c>
    </row>
    <row r="121" spans="1:24" ht="15" customHeight="1">
      <c r="A121" s="74">
        <v>107</v>
      </c>
      <c r="B121" s="18" t="s">
        <v>133</v>
      </c>
      <c r="C121" s="18" t="s">
        <v>134</v>
      </c>
      <c r="D121" s="16">
        <v>56412473384.330002</v>
      </c>
      <c r="E121" s="16">
        <v>419669135.36000001</v>
      </c>
      <c r="F121" s="16">
        <v>0</v>
      </c>
      <c r="G121" s="16">
        <v>87574068.640000001</v>
      </c>
      <c r="H121" s="12">
        <f t="shared" si="26"/>
        <v>332095066.72000003</v>
      </c>
      <c r="I121" s="28">
        <v>55111238396.620003</v>
      </c>
      <c r="J121" s="13">
        <f t="shared" si="27"/>
        <v>2.8401734343931957E-2</v>
      </c>
      <c r="K121" s="28">
        <v>55997277819.339996</v>
      </c>
      <c r="L121" s="13">
        <f t="shared" si="28"/>
        <v>2.9033919721520963E-2</v>
      </c>
      <c r="M121" s="13">
        <f t="shared" si="29"/>
        <v>1.6077291102468399E-2</v>
      </c>
      <c r="N121" s="19">
        <f t="shared" si="30"/>
        <v>1.5638986759773205E-3</v>
      </c>
      <c r="O121" s="20">
        <f t="shared" si="31"/>
        <v>5.9305573351514434E-3</v>
      </c>
      <c r="P121" s="23">
        <f t="shared" si="32"/>
        <v>200621.51920628836</v>
      </c>
      <c r="Q121" s="23">
        <f t="shared" si="33"/>
        <v>1189.7974223180795</v>
      </c>
      <c r="R121" s="10">
        <f>130.95*C230</f>
        <v>200315.58997499998</v>
      </c>
      <c r="S121" s="10">
        <f>130.95*C230</f>
        <v>200315.58997499998</v>
      </c>
      <c r="T121" s="10">
        <v>2433</v>
      </c>
      <c r="U121" s="10">
        <v>266271</v>
      </c>
      <c r="V121" s="10">
        <v>279119</v>
      </c>
    </row>
    <row r="122" spans="1:24">
      <c r="A122" s="74">
        <v>108</v>
      </c>
      <c r="B122" s="18" t="s">
        <v>135</v>
      </c>
      <c r="C122" s="18" t="s">
        <v>134</v>
      </c>
      <c r="D122" s="16">
        <v>156951171146.47</v>
      </c>
      <c r="E122" s="16">
        <v>1217560619.5799999</v>
      </c>
      <c r="F122" s="16">
        <v>0</v>
      </c>
      <c r="G122" s="16">
        <v>235350079.52000001</v>
      </c>
      <c r="H122" s="12">
        <f t="shared" si="26"/>
        <v>982210540.05999994</v>
      </c>
      <c r="I122" s="28">
        <v>150139768095.14001</v>
      </c>
      <c r="J122" s="13">
        <f t="shared" si="27"/>
        <v>7.7374958936855337E-2</v>
      </c>
      <c r="K122" s="28">
        <v>155402052630.03</v>
      </c>
      <c r="L122" s="13">
        <f t="shared" si="28"/>
        <v>8.0574108176765039E-2</v>
      </c>
      <c r="M122" s="13">
        <f t="shared" si="29"/>
        <v>3.5049238463958458E-2</v>
      </c>
      <c r="N122" s="19">
        <f t="shared" si="30"/>
        <v>1.5144592721712917E-3</v>
      </c>
      <c r="O122" s="20">
        <f t="shared" si="31"/>
        <v>6.3204476609995362E-3</v>
      </c>
      <c r="P122" s="23">
        <f t="shared" si="32"/>
        <v>189313.66799222655</v>
      </c>
      <c r="Q122" s="23">
        <f t="shared" si="33"/>
        <v>1196.547130056711</v>
      </c>
      <c r="R122" s="10">
        <f>123.57*C230</f>
        <v>189026.32648499997</v>
      </c>
      <c r="S122" s="10">
        <f>123.57*C230</f>
        <v>189026.32648499997</v>
      </c>
      <c r="T122" s="10">
        <v>882</v>
      </c>
      <c r="U122" s="10">
        <v>769594</v>
      </c>
      <c r="V122" s="10">
        <v>820870.75</v>
      </c>
    </row>
    <row r="123" spans="1:24">
      <c r="A123" s="74">
        <v>109</v>
      </c>
      <c r="B123" s="75" t="s">
        <v>271</v>
      </c>
      <c r="C123" s="76" t="s">
        <v>272</v>
      </c>
      <c r="D123" s="16">
        <f>632376.55*FX_RATE</f>
        <v>967353048.48877501</v>
      </c>
      <c r="E123" s="16">
        <f>4459.92*FX_RATE</f>
        <v>6822386.45316</v>
      </c>
      <c r="F123" s="16">
        <v>0</v>
      </c>
      <c r="G123" s="16">
        <f>728.82*FX_RATE</f>
        <v>1114883.6066099999</v>
      </c>
      <c r="H123" s="12">
        <f>(E123+F123)-G123</f>
        <v>5707502.8465499999</v>
      </c>
      <c r="I123" s="45">
        <v>783633755.45518005</v>
      </c>
      <c r="J123" s="13">
        <f t="shared" si="27"/>
        <v>4.0384789732362045E-4</v>
      </c>
      <c r="K123" s="28">
        <f>653591.1*FX_RATE</f>
        <v>999805168.37654996</v>
      </c>
      <c r="L123" s="13">
        <f t="shared" si="28"/>
        <v>5.1838703819600488E-4</v>
      </c>
      <c r="M123" s="13">
        <f t="shared" si="29"/>
        <v>0.27585770956970196</v>
      </c>
      <c r="N123" s="19">
        <f t="shared" si="30"/>
        <v>1.1151008635215504E-3</v>
      </c>
      <c r="O123" s="20">
        <f t="shared" si="31"/>
        <v>5.7086150652908216E-3</v>
      </c>
      <c r="P123" s="23">
        <f t="shared" si="32"/>
        <v>159718.49056687308</v>
      </c>
      <c r="Q123" s="23">
        <f t="shared" si="33"/>
        <v>911.77138145556171</v>
      </c>
      <c r="R123" s="10">
        <f>1*FX_RATE</f>
        <v>1529.7104999999999</v>
      </c>
      <c r="S123" s="10">
        <f>1*FX_RATE</f>
        <v>1529.7104999999999</v>
      </c>
      <c r="T123" s="10">
        <v>8</v>
      </c>
      <c r="U123" s="10">
        <v>4762</v>
      </c>
      <c r="V123" s="10">
        <v>6259.7960000000003</v>
      </c>
    </row>
    <row r="124" spans="1:24" s="3" customFormat="1">
      <c r="A124" s="74">
        <v>110</v>
      </c>
      <c r="B124" s="75" t="s">
        <v>136</v>
      </c>
      <c r="C124" s="76" t="s">
        <v>137</v>
      </c>
      <c r="D124" s="16">
        <f>160013.86*FX_RATE</f>
        <v>244774881.78752998</v>
      </c>
      <c r="E124" s="16">
        <v>0</v>
      </c>
      <c r="F124" s="16">
        <v>0</v>
      </c>
      <c r="G124" s="16">
        <f>3535.16*FX_RATE</f>
        <v>5407771.3711799998</v>
      </c>
      <c r="H124" s="12">
        <f t="shared" si="26"/>
        <v>-5407771.3711799998</v>
      </c>
      <c r="I124" s="28">
        <v>257451663.51794398</v>
      </c>
      <c r="J124" s="13">
        <f t="shared" si="27"/>
        <v>1.3267845119024682E-4</v>
      </c>
      <c r="K124" s="28">
        <f>163740.3*FX_RATE</f>
        <v>250475256.18314996</v>
      </c>
      <c r="L124" s="13">
        <f t="shared" si="28"/>
        <v>1.2986842867096154E-4</v>
      </c>
      <c r="M124" s="13">
        <f t="shared" si="29"/>
        <v>-2.7097930692950328E-2</v>
      </c>
      <c r="N124" s="19">
        <f t="shared" si="30"/>
        <v>2.1590042280367143E-2</v>
      </c>
      <c r="O124" s="20">
        <f t="shared" si="31"/>
        <v>-2.1590042280367143E-2</v>
      </c>
      <c r="P124" s="23">
        <f t="shared" si="32"/>
        <v>196189.59519319335</v>
      </c>
      <c r="Q124" s="23">
        <f t="shared" si="33"/>
        <v>-4235.7416551891592</v>
      </c>
      <c r="R124" s="10">
        <f>128.253*FX_RATE</f>
        <v>196189.96075649996</v>
      </c>
      <c r="S124" s="10">
        <f>128.253*FX_RATE</f>
        <v>196189.96075649996</v>
      </c>
      <c r="T124" s="10">
        <v>7</v>
      </c>
      <c r="U124" s="10">
        <v>1276.7</v>
      </c>
      <c r="V124" s="10">
        <v>1276.7</v>
      </c>
      <c r="W124" s="6"/>
      <c r="X124" s="6"/>
    </row>
    <row r="125" spans="1:24">
      <c r="A125" s="74">
        <v>111</v>
      </c>
      <c r="B125" s="18" t="s">
        <v>138</v>
      </c>
      <c r="C125" s="18" t="s">
        <v>139</v>
      </c>
      <c r="D125" s="16">
        <f>13869043.63*C230</f>
        <v>21215621665.769115</v>
      </c>
      <c r="E125" s="16">
        <f>76559.19*C230</f>
        <v>117113396.814495</v>
      </c>
      <c r="F125" s="16">
        <v>0</v>
      </c>
      <c r="G125" s="16">
        <f>19731.83*C230</f>
        <v>30183987.535215002</v>
      </c>
      <c r="H125" s="12">
        <f t="shared" si="26"/>
        <v>86929409.279279992</v>
      </c>
      <c r="I125" s="28">
        <v>17611696406.71843</v>
      </c>
      <c r="J125" s="13">
        <f t="shared" si="27"/>
        <v>9.0762381184356679E-3</v>
      </c>
      <c r="K125" s="28">
        <f>13869043.63*C230</f>
        <v>21215621665.769115</v>
      </c>
      <c r="L125" s="13">
        <f t="shared" si="28"/>
        <v>1.1000046435710139E-2</v>
      </c>
      <c r="M125" s="13">
        <f t="shared" si="29"/>
        <v>0.20463248830906924</v>
      </c>
      <c r="N125" s="19">
        <f t="shared" si="30"/>
        <v>1.4227246323833217E-3</v>
      </c>
      <c r="O125" s="20">
        <f t="shared" si="31"/>
        <v>4.0974245604849966E-3</v>
      </c>
      <c r="P125" s="23">
        <f t="shared" si="32"/>
        <v>1892.7168059200123</v>
      </c>
      <c r="Q125" s="23">
        <f t="shared" si="33"/>
        <v>7.7552643266193737</v>
      </c>
      <c r="R125" s="10">
        <f>1.23*FX_RATE</f>
        <v>1881.543915</v>
      </c>
      <c r="S125" s="10">
        <f>1.23*FX_RATE</f>
        <v>1881.543915</v>
      </c>
      <c r="T125" s="10">
        <v>123</v>
      </c>
      <c r="U125" s="10">
        <v>11257719</v>
      </c>
      <c r="V125" s="10">
        <v>11209084</v>
      </c>
    </row>
    <row r="126" spans="1:24">
      <c r="A126" s="74">
        <v>112</v>
      </c>
      <c r="B126" s="18" t="s">
        <v>140</v>
      </c>
      <c r="C126" s="18" t="s">
        <v>50</v>
      </c>
      <c r="D126" s="16">
        <f>110871589*FX_RATE</f>
        <v>169601433844.9845</v>
      </c>
      <c r="E126" s="16">
        <f>713348*FX_RATE</f>
        <v>1091215925.7539999</v>
      </c>
      <c r="F126" s="16">
        <v>0</v>
      </c>
      <c r="G126" s="16">
        <f>153813*FX_RATE</f>
        <v>235289361.1365</v>
      </c>
      <c r="H126" s="12">
        <f t="shared" si="26"/>
        <v>855926564.61749995</v>
      </c>
      <c r="I126" s="28">
        <v>177873529984.58121</v>
      </c>
      <c r="J126" s="13">
        <f t="shared" si="27"/>
        <v>9.1667632454242351E-2</v>
      </c>
      <c r="K126" s="28">
        <f>115678063*FX_RATE</f>
        <v>176953947590.76147</v>
      </c>
      <c r="L126" s="13">
        <f t="shared" si="28"/>
        <v>9.1748508299487025E-2</v>
      </c>
      <c r="M126" s="13">
        <f t="shared" si="29"/>
        <v>-5.1698664433063521E-3</v>
      </c>
      <c r="N126" s="19">
        <f t="shared" si="30"/>
        <v>1.3296643807045767E-3</v>
      </c>
      <c r="O126" s="20">
        <f t="shared" si="31"/>
        <v>4.8370018090638329E-3</v>
      </c>
      <c r="P126" s="23">
        <f t="shared" si="32"/>
        <v>186388.0142074757</v>
      </c>
      <c r="Q126" s="23">
        <f t="shared" si="33"/>
        <v>901.55916190937535</v>
      </c>
      <c r="R126" s="10">
        <f>121.8*FX_RATE</f>
        <v>186318.7389</v>
      </c>
      <c r="S126" s="10">
        <f>121.8*FX_RATE</f>
        <v>186318.7389</v>
      </c>
      <c r="T126" s="10">
        <v>1069</v>
      </c>
      <c r="U126" s="10">
        <v>876149</v>
      </c>
      <c r="V126" s="10">
        <v>949384.8</v>
      </c>
    </row>
    <row r="127" spans="1:24" ht="13.95" customHeight="1">
      <c r="A127" s="74">
        <v>113</v>
      </c>
      <c r="B127" s="18" t="s">
        <v>141</v>
      </c>
      <c r="C127" s="18" t="s">
        <v>142</v>
      </c>
      <c r="D127" s="16">
        <v>30991052742.41</v>
      </c>
      <c r="E127" s="16">
        <v>330452074.50999999</v>
      </c>
      <c r="F127" s="16">
        <v>46838228.329999998</v>
      </c>
      <c r="G127" s="16">
        <v>48536659.689999998</v>
      </c>
      <c r="H127" s="12">
        <f t="shared" si="26"/>
        <v>328753643.14999998</v>
      </c>
      <c r="I127" s="28">
        <v>30695475632.709999</v>
      </c>
      <c r="J127" s="13">
        <f t="shared" si="27"/>
        <v>1.581900116645418E-2</v>
      </c>
      <c r="K127" s="28">
        <v>31130014029.189999</v>
      </c>
      <c r="L127" s="13">
        <f t="shared" si="28"/>
        <v>1.6140540459292928E-2</v>
      </c>
      <c r="M127" s="13">
        <f t="shared" si="29"/>
        <v>1.4156431445451938E-2</v>
      </c>
      <c r="N127" s="19">
        <f t="shared" si="30"/>
        <v>1.5591595829185343E-3</v>
      </c>
      <c r="O127" s="20">
        <f t="shared" si="31"/>
        <v>1.0560664792561101E-2</v>
      </c>
      <c r="P127" s="23">
        <f t="shared" si="32"/>
        <v>162531.66065821899</v>
      </c>
      <c r="Q127" s="23">
        <f t="shared" si="33"/>
        <v>1716.4423863897416</v>
      </c>
      <c r="R127" s="10">
        <v>162531.66</v>
      </c>
      <c r="S127" s="10">
        <v>162531.66</v>
      </c>
      <c r="T127" s="10">
        <v>674</v>
      </c>
      <c r="U127" s="10">
        <v>184844</v>
      </c>
      <c r="V127" s="10">
        <v>191532</v>
      </c>
    </row>
    <row r="128" spans="1:24">
      <c r="A128" s="74">
        <v>114</v>
      </c>
      <c r="B128" s="18" t="s">
        <v>143</v>
      </c>
      <c r="C128" s="18" t="s">
        <v>42</v>
      </c>
      <c r="D128" s="16">
        <f>1788555.54*FX_RATE</f>
        <v>2735972189.37117</v>
      </c>
      <c r="E128" s="16">
        <f>45836.38*FX_RATE</f>
        <v>70116391.767989993</v>
      </c>
      <c r="F128" s="16">
        <v>0</v>
      </c>
      <c r="G128" s="16">
        <f>2083.1*FX_RATE</f>
        <v>3186539.9425499998</v>
      </c>
      <c r="H128" s="12">
        <f t="shared" si="26"/>
        <v>66929851.82543999</v>
      </c>
      <c r="I128" s="28">
        <v>2837792396.5257998</v>
      </c>
      <c r="J128" s="13">
        <f t="shared" si="27"/>
        <v>1.462464428567421E-3</v>
      </c>
      <c r="K128" s="28">
        <f>1786472.44*FX_RATE</f>
        <v>2732785649.4286199</v>
      </c>
      <c r="L128" s="13">
        <f t="shared" si="28"/>
        <v>1.4169167190165074E-3</v>
      </c>
      <c r="M128" s="13">
        <f t="shared" si="29"/>
        <v>-3.700297006424276E-2</v>
      </c>
      <c r="N128" s="19">
        <f t="shared" si="30"/>
        <v>1.1660409381966173E-3</v>
      </c>
      <c r="O128" s="20">
        <f t="shared" si="31"/>
        <v>2.4491438558100563E-2</v>
      </c>
      <c r="P128" s="23">
        <f t="shared" si="32"/>
        <v>220324.81710143475</v>
      </c>
      <c r="Q128" s="23">
        <f t="shared" si="33"/>
        <v>5396.0717208645337</v>
      </c>
      <c r="R128" s="10">
        <f>140.49*FX_RATE</f>
        <v>214909.02814499999</v>
      </c>
      <c r="S128" s="10">
        <f>145.63*FX_RATE</f>
        <v>222771.74011499999</v>
      </c>
      <c r="T128" s="10">
        <v>51</v>
      </c>
      <c r="U128" s="10">
        <v>12399.44</v>
      </c>
      <c r="V128" s="10">
        <v>12403.44</v>
      </c>
    </row>
    <row r="129" spans="1:22" ht="8.1" customHeight="1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</row>
    <row r="130" spans="1:22">
      <c r="A130" s="157" t="s">
        <v>144</v>
      </c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</row>
    <row r="131" spans="1:22">
      <c r="A131" s="95">
        <v>115</v>
      </c>
      <c r="B131" s="18" t="s">
        <v>145</v>
      </c>
      <c r="C131" s="73" t="s">
        <v>100</v>
      </c>
      <c r="D131" s="43">
        <f>1016696.2*FX_RATE</f>
        <v>1555250852.4500999</v>
      </c>
      <c r="E131" s="10">
        <f>11451.9*FX_RATE</f>
        <v>17518091.67495</v>
      </c>
      <c r="F131" s="10">
        <v>0</v>
      </c>
      <c r="G131" s="10">
        <f>2011*FX_RATE</f>
        <v>3076247.8155</v>
      </c>
      <c r="H131" s="12">
        <f>(E131+F131)-G131</f>
        <v>14441843.859449999</v>
      </c>
      <c r="I131" s="10">
        <v>1830215541.4478319</v>
      </c>
      <c r="J131" s="13">
        <f t="shared" ref="J131:J147" si="34">(I131/$I$148)</f>
        <v>9.4320681430241546E-4</v>
      </c>
      <c r="K131" s="10">
        <f>1185881.43*FX_RATE</f>
        <v>1814055275.2260149</v>
      </c>
      <c r="L131" s="13">
        <f t="shared" ref="L131:L147" si="35">(K131/$K$148)</f>
        <v>9.4056599324767863E-4</v>
      </c>
      <c r="M131" s="13">
        <f>((K131-I131)/I131)</f>
        <v>-8.8297065869264151E-3</v>
      </c>
      <c r="N131" s="19">
        <f>(G131/K131)</f>
        <v>1.6957850499438212E-3</v>
      </c>
      <c r="O131" s="20">
        <f>H131/K131</f>
        <v>7.96108258479096E-3</v>
      </c>
      <c r="P131" s="21">
        <f>K131/V131</f>
        <v>163310.70176683605</v>
      </c>
      <c r="Q131" s="21">
        <f>H131/V131</f>
        <v>1300.1299837459487</v>
      </c>
      <c r="R131" s="10">
        <f>106.76*FX_RATE</f>
        <v>163311.89298</v>
      </c>
      <c r="S131" s="10">
        <f>106.76*FX_RATE</f>
        <v>163311.89298</v>
      </c>
      <c r="T131" s="10">
        <v>23</v>
      </c>
      <c r="U131" s="16">
        <v>11108</v>
      </c>
      <c r="V131" s="16">
        <v>11108</v>
      </c>
    </row>
    <row r="132" spans="1:22">
      <c r="A132" s="95">
        <v>116</v>
      </c>
      <c r="B132" s="18" t="s">
        <v>146</v>
      </c>
      <c r="C132" s="73" t="s">
        <v>28</v>
      </c>
      <c r="D132" s="43">
        <f>9937585.77*FX_RATE</f>
        <v>15201629297.019583</v>
      </c>
      <c r="E132" s="10">
        <f>73463.91*FX_RATE</f>
        <v>112378514.498055</v>
      </c>
      <c r="F132" s="10">
        <v>0</v>
      </c>
      <c r="G132" s="10">
        <f>13682.6*FX_RATE</f>
        <v>20930416.8873</v>
      </c>
      <c r="H132" s="12">
        <f t="shared" ref="H132:H144" si="36">(E132+F132)-G132</f>
        <v>91448097.610754997</v>
      </c>
      <c r="I132" s="10">
        <v>19636577339.221077</v>
      </c>
      <c r="J132" s="13">
        <f t="shared" si="34"/>
        <v>1.0119766298825106E-2</v>
      </c>
      <c r="K132" s="10">
        <f>12594254.15*FX_RATE</f>
        <v>19265562812.923576</v>
      </c>
      <c r="L132" s="13">
        <f t="shared" si="35"/>
        <v>9.988964211884532E-3</v>
      </c>
      <c r="M132" s="13">
        <f t="shared" ref="M132:M146" si="37">((K132-I132)/I132)</f>
        <v>-1.8894052659393729E-2</v>
      </c>
      <c r="N132" s="19">
        <f t="shared" ref="N132:N146" si="38">(G132/K132)</f>
        <v>1.0864160622008727E-3</v>
      </c>
      <c r="O132" s="20">
        <f t="shared" ref="O132:O146" si="39">H132/K132</f>
        <v>4.7467130080108789E-3</v>
      </c>
      <c r="P132" s="21">
        <f t="shared" ref="P132:P146" si="40">K132/V132</f>
        <v>211414.82495247092</v>
      </c>
      <c r="Q132" s="21">
        <f t="shared" ref="Q132:Q146" si="41">H132/V132</f>
        <v>1003.5254996882367</v>
      </c>
      <c r="R132" s="10">
        <f>137.52*FX_RATE</f>
        <v>210365.78796000002</v>
      </c>
      <c r="S132" s="10">
        <f>138.21*FX_RATE</f>
        <v>211421.28820499999</v>
      </c>
      <c r="T132" s="10">
        <v>586</v>
      </c>
      <c r="U132" s="16">
        <v>90017.18</v>
      </c>
      <c r="V132" s="16">
        <v>91126.83</v>
      </c>
    </row>
    <row r="133" spans="1:22" ht="14.1" customHeight="1">
      <c r="A133" s="95">
        <v>117</v>
      </c>
      <c r="B133" s="18" t="s">
        <v>147</v>
      </c>
      <c r="C133" s="18" t="s">
        <v>62</v>
      </c>
      <c r="D133" s="43">
        <f>12958154.15*C230</f>
        <v>19822224463.873573</v>
      </c>
      <c r="E133" s="10">
        <f>76856.21*C230</f>
        <v>117567751.427205</v>
      </c>
      <c r="F133" s="10">
        <v>0</v>
      </c>
      <c r="G133" s="10">
        <f>18216.6*C230</f>
        <v>27866124.294299997</v>
      </c>
      <c r="H133" s="12">
        <f t="shared" si="36"/>
        <v>89701627.132905006</v>
      </c>
      <c r="I133" s="10">
        <v>16989999754.373045</v>
      </c>
      <c r="J133" s="13">
        <f t="shared" si="34"/>
        <v>8.7558449703929574E-3</v>
      </c>
      <c r="K133" s="10">
        <f>10711454.81*C230</f>
        <v>16385424893.132505</v>
      </c>
      <c r="L133" s="13">
        <f t="shared" si="35"/>
        <v>8.4956471006509271E-3</v>
      </c>
      <c r="M133" s="13">
        <f t="shared" si="37"/>
        <v>-3.5584159504471351E-2</v>
      </c>
      <c r="N133" s="19">
        <f t="shared" si="38"/>
        <v>1.7006653459428634E-3</v>
      </c>
      <c r="O133" s="20">
        <f t="shared" si="39"/>
        <v>5.4744767204969423E-3</v>
      </c>
      <c r="P133" s="21">
        <f t="shared" si="40"/>
        <v>140531.62109448441</v>
      </c>
      <c r="Q133" s="21">
        <f t="shared" si="41"/>
        <v>769.3370881754521</v>
      </c>
      <c r="R133" s="10">
        <f>114.86*C230</f>
        <v>175702.54802999998</v>
      </c>
      <c r="S133" s="10">
        <f>114.86*C230</f>
        <v>175702.54802999998</v>
      </c>
      <c r="T133" s="10">
        <v>434</v>
      </c>
      <c r="U133" s="16">
        <v>93647</v>
      </c>
      <c r="V133" s="16">
        <v>116596</v>
      </c>
    </row>
    <row r="134" spans="1:22" ht="14.1" customHeight="1">
      <c r="A134" s="95">
        <v>118</v>
      </c>
      <c r="B134" s="75" t="s">
        <v>255</v>
      </c>
      <c r="C134" s="76" t="s">
        <v>63</v>
      </c>
      <c r="D134" s="43">
        <v>181387652.84</v>
      </c>
      <c r="E134" s="10">
        <v>3005439.3</v>
      </c>
      <c r="F134" s="10">
        <v>851291.34</v>
      </c>
      <c r="G134" s="10">
        <v>449355.06</v>
      </c>
      <c r="H134" s="12">
        <f t="shared" si="36"/>
        <v>3407375.5799999996</v>
      </c>
      <c r="I134" s="10">
        <v>194612695.55000001</v>
      </c>
      <c r="J134" s="13">
        <f t="shared" si="34"/>
        <v>1.0029420930788962E-4</v>
      </c>
      <c r="K134" s="10">
        <v>187709347.28</v>
      </c>
      <c r="L134" s="13">
        <f t="shared" si="35"/>
        <v>9.7325054576570023E-5</v>
      </c>
      <c r="M134" s="13">
        <f t="shared" si="37"/>
        <v>-3.547224013567192E-2</v>
      </c>
      <c r="N134" s="19">
        <f t="shared" si="38"/>
        <v>2.3938874995378442E-3</v>
      </c>
      <c r="O134" s="20">
        <f t="shared" si="39"/>
        <v>1.8152402261126223E-2</v>
      </c>
      <c r="P134" s="21">
        <f t="shared" si="40"/>
        <v>1485.2746312292038</v>
      </c>
      <c r="Q134" s="21">
        <f t="shared" si="41"/>
        <v>26.961302574318417</v>
      </c>
      <c r="R134" s="10">
        <v>0.97519999999999996</v>
      </c>
      <c r="S134" s="10">
        <v>0.97519999999999996</v>
      </c>
      <c r="T134" s="10">
        <v>3</v>
      </c>
      <c r="U134" s="16">
        <v>126381.01330000001</v>
      </c>
      <c r="V134" s="16">
        <v>126380.2285</v>
      </c>
    </row>
    <row r="135" spans="1:22" ht="15" customHeight="1">
      <c r="A135" s="95">
        <v>119</v>
      </c>
      <c r="B135" s="18" t="s">
        <v>148</v>
      </c>
      <c r="C135" s="73" t="s">
        <v>60</v>
      </c>
      <c r="D135" s="43">
        <f>6051776.67*FX_RATE</f>
        <v>9257466315.754034</v>
      </c>
      <c r="E135" s="10">
        <f>40613.84*FX_RATE</f>
        <v>62127417.493319988</v>
      </c>
      <c r="F135" s="10">
        <v>0</v>
      </c>
      <c r="G135" s="10">
        <f>7621.21*FX_RATE</f>
        <v>11658244.959704999</v>
      </c>
      <c r="H135" s="12">
        <f t="shared" si="36"/>
        <v>50469172.533614993</v>
      </c>
      <c r="I135" s="10">
        <v>9231966261.1977634</v>
      </c>
      <c r="J135" s="13">
        <f t="shared" si="34"/>
        <v>4.7577202191624625E-3</v>
      </c>
      <c r="K135" s="10">
        <f>6067776.24*FX_RATE</f>
        <v>9281941025.9785194</v>
      </c>
      <c r="L135" s="13">
        <f t="shared" si="35"/>
        <v>4.8125755590761425E-3</v>
      </c>
      <c r="M135" s="13">
        <f t="shared" si="37"/>
        <v>5.4132308726908438E-3</v>
      </c>
      <c r="N135" s="19">
        <f t="shared" si="38"/>
        <v>1.2560136858309726E-3</v>
      </c>
      <c r="O135" s="20">
        <f t="shared" si="39"/>
        <v>5.4373511307991146E-3</v>
      </c>
      <c r="P135" s="21">
        <f t="shared" si="40"/>
        <v>1992.7804608945587</v>
      </c>
      <c r="Q135" s="21">
        <f t="shared" si="41"/>
        <v>10.835447092479409</v>
      </c>
      <c r="R135" s="10">
        <f>1.3*FX_RATE</f>
        <v>1988.62365</v>
      </c>
      <c r="S135" s="10">
        <f>1.3*FX_RATE</f>
        <v>1988.62365</v>
      </c>
      <c r="T135" s="10">
        <v>268</v>
      </c>
      <c r="U135" s="16">
        <v>4493905.13</v>
      </c>
      <c r="V135" s="16">
        <v>4657784.04</v>
      </c>
    </row>
    <row r="136" spans="1:22" ht="15" customHeight="1">
      <c r="A136" s="95">
        <v>120</v>
      </c>
      <c r="B136" s="73" t="s">
        <v>267</v>
      </c>
      <c r="C136" s="73" t="s">
        <v>36</v>
      </c>
      <c r="D136" s="43">
        <f>64984528.37*C230</f>
        <v>99407515385.136871</v>
      </c>
      <c r="E136" s="10">
        <f>413007.22*1536.8158</f>
        <v>634716021.21007597</v>
      </c>
      <c r="F136" s="10">
        <v>0</v>
      </c>
      <c r="G136" s="10">
        <f>77325.41*C230</f>
        <v>118285491.593805</v>
      </c>
      <c r="H136" s="12">
        <f>(E136+F136)-G136</f>
        <v>516430529.61627096</v>
      </c>
      <c r="I136" s="10">
        <v>99429825336.917603</v>
      </c>
      <c r="J136" s="13">
        <f t="shared" si="34"/>
        <v>5.1241444889321967E-2</v>
      </c>
      <c r="K136" s="10">
        <f>63624591*C230</f>
        <v>97327204910.905487</v>
      </c>
      <c r="L136" s="13">
        <f t="shared" si="35"/>
        <v>5.0462993276564179E-2</v>
      </c>
      <c r="M136" s="13">
        <f t="shared" si="37"/>
        <v>-2.1146777829362504E-2</v>
      </c>
      <c r="N136" s="19">
        <f t="shared" si="38"/>
        <v>1.2153384215860816E-3</v>
      </c>
      <c r="O136" s="20">
        <f t="shared" si="39"/>
        <v>5.3061272034783877E-3</v>
      </c>
      <c r="P136" s="21">
        <f t="shared" si="40"/>
        <v>152971.04999999996</v>
      </c>
      <c r="Q136" s="21">
        <f t="shared" si="41"/>
        <v>811.6838497496525</v>
      </c>
      <c r="R136" s="10">
        <f>100*C230</f>
        <v>152971.04999999999</v>
      </c>
      <c r="S136" s="10">
        <f>100*C230</f>
        <v>152971.04999999999</v>
      </c>
      <c r="T136" s="10">
        <v>1860</v>
      </c>
      <c r="U136" s="16">
        <v>626861.74</v>
      </c>
      <c r="V136" s="16">
        <v>636245.91</v>
      </c>
    </row>
    <row r="137" spans="1:22" ht="15" customHeight="1">
      <c r="A137" s="95">
        <v>121</v>
      </c>
      <c r="B137" s="75" t="s">
        <v>231</v>
      </c>
      <c r="C137" s="76" t="s">
        <v>232</v>
      </c>
      <c r="D137" s="43">
        <f>1062171.82*FX_RATE</f>
        <v>1624815385.85811</v>
      </c>
      <c r="E137" s="10">
        <f>19498.72*FX_RATE</f>
        <v>29827396.720559999</v>
      </c>
      <c r="F137" s="10">
        <v>0</v>
      </c>
      <c r="G137" s="10">
        <f>1332.83*FX_RATE</f>
        <v>2038844.0457149998</v>
      </c>
      <c r="H137" s="12">
        <f t="shared" si="36"/>
        <v>27788552.674844999</v>
      </c>
      <c r="I137" s="10">
        <v>1579993433.6768961</v>
      </c>
      <c r="J137" s="13">
        <f t="shared" si="34"/>
        <v>8.1425413534529209E-4</v>
      </c>
      <c r="K137" s="10">
        <f>1020789.08*FX_RATE</f>
        <v>1561511773.96134</v>
      </c>
      <c r="L137" s="13">
        <f t="shared" si="35"/>
        <v>8.0962520420492978E-4</v>
      </c>
      <c r="M137" s="13">
        <f t="shared" si="37"/>
        <v>-1.1697301597353087E-2</v>
      </c>
      <c r="N137" s="19">
        <f t="shared" si="38"/>
        <v>1.3056859895092137E-3</v>
      </c>
      <c r="O137" s="20">
        <f t="shared" si="39"/>
        <v>1.7795929008174734E-2</v>
      </c>
      <c r="P137" s="21">
        <f t="shared" si="40"/>
        <v>1720.1481353760585</v>
      </c>
      <c r="Q137" s="21">
        <f t="shared" si="41"/>
        <v>30.611634100696481</v>
      </c>
      <c r="R137" s="10">
        <f>1.1245*FX_RATE</f>
        <v>1720.1594572500001</v>
      </c>
      <c r="S137" s="10">
        <f>1.1701*FX_RATE</f>
        <v>1789.9142560499997</v>
      </c>
      <c r="T137" s="10">
        <v>46</v>
      </c>
      <c r="U137" s="16">
        <v>900319.28</v>
      </c>
      <c r="V137" s="16">
        <v>907777.5</v>
      </c>
    </row>
    <row r="138" spans="1:22" ht="15" customHeight="1">
      <c r="A138" s="95">
        <v>122</v>
      </c>
      <c r="B138" s="75" t="s">
        <v>233</v>
      </c>
      <c r="C138" s="76" t="s">
        <v>40</v>
      </c>
      <c r="D138" s="43">
        <f>2594443.02*FX_RATE</f>
        <v>3968746729.3457098</v>
      </c>
      <c r="E138" s="10">
        <f>26967.56*FX_RATE</f>
        <v>41252559.691380002</v>
      </c>
      <c r="F138" s="10">
        <f>310.47*FX_RATE</f>
        <v>474929.21893500001</v>
      </c>
      <c r="G138" s="10">
        <f>374.92*FX_RATE</f>
        <v>573519.06065999996</v>
      </c>
      <c r="H138" s="12">
        <f t="shared" si="36"/>
        <v>41153969.849655002</v>
      </c>
      <c r="I138" s="10">
        <v>5167854903.6908073</v>
      </c>
      <c r="J138" s="13">
        <f t="shared" si="34"/>
        <v>2.6632688063785957E-3</v>
      </c>
      <c r="K138" s="10">
        <f>3258107.42*FX_RATE</f>
        <v>4983961130.5019093</v>
      </c>
      <c r="L138" s="13">
        <f t="shared" si="35"/>
        <v>2.5841243180609813E-3</v>
      </c>
      <c r="M138" s="13">
        <f t="shared" si="37"/>
        <v>-3.5584159504471344E-2</v>
      </c>
      <c r="N138" s="19">
        <f t="shared" si="38"/>
        <v>1.1507294010582378E-4</v>
      </c>
      <c r="O138" s="20">
        <f t="shared" si="39"/>
        <v>8.2572814618862393E-3</v>
      </c>
      <c r="P138" s="21">
        <f t="shared" si="40"/>
        <v>16319.956454787651</v>
      </c>
      <c r="Q138" s="21">
        <f t="shared" si="41"/>
        <v>134.75847389290874</v>
      </c>
      <c r="R138" s="10">
        <f>10.67*FX_RATE</f>
        <v>16322.011035</v>
      </c>
      <c r="S138" s="10">
        <f>10.67*FX_RATE</f>
        <v>16322.011035</v>
      </c>
      <c r="T138" s="10">
        <v>131</v>
      </c>
      <c r="U138" s="16">
        <v>303240.65000000002</v>
      </c>
      <c r="V138" s="16">
        <v>305390.59000000003</v>
      </c>
    </row>
    <row r="139" spans="1:22">
      <c r="A139" s="95">
        <v>123</v>
      </c>
      <c r="B139" s="73" t="s">
        <v>149</v>
      </c>
      <c r="C139" s="73" t="s">
        <v>44</v>
      </c>
      <c r="D139" s="43">
        <f>16703899.83*FX_RATE</f>
        <v>25552130960.899212</v>
      </c>
      <c r="E139" s="10">
        <f>150190.69*FX_RATE</f>
        <v>229748275.49524498</v>
      </c>
      <c r="F139" s="10">
        <f>532951.64*FX_RATE</f>
        <v>815261719.70021999</v>
      </c>
      <c r="G139" s="10">
        <f>27069.84*FX_RATE</f>
        <v>41409018.481320001</v>
      </c>
      <c r="H139" s="12">
        <f t="shared" si="36"/>
        <v>1003600976.7141449</v>
      </c>
      <c r="I139" s="10">
        <v>25272823823.846561</v>
      </c>
      <c r="J139" s="13">
        <f t="shared" si="34"/>
        <v>1.3024422046192074E-2</v>
      </c>
      <c r="K139" s="10">
        <f>16674265.52*FX_RATE</f>
        <v>25506799045.731956</v>
      </c>
      <c r="L139" s="13">
        <f t="shared" si="35"/>
        <v>1.3224970653680208E-2</v>
      </c>
      <c r="M139" s="13">
        <f t="shared" si="37"/>
        <v>9.257977007880858E-3</v>
      </c>
      <c r="N139" s="19">
        <f t="shared" si="38"/>
        <v>1.6234502183937877E-3</v>
      </c>
      <c r="O139" s="20">
        <f t="shared" si="39"/>
        <v>3.9346410144007353E-2</v>
      </c>
      <c r="P139" s="21">
        <f t="shared" si="40"/>
        <v>1669.8799935403972</v>
      </c>
      <c r="Q139" s="21">
        <f t="shared" si="41"/>
        <v>65.70378311711282</v>
      </c>
      <c r="R139" s="10">
        <f>1.092*FX_RATE</f>
        <v>1670.4438660000001</v>
      </c>
      <c r="S139" s="10">
        <f>1.092*FX_RATE</f>
        <v>1670.4438660000001</v>
      </c>
      <c r="T139" s="10">
        <v>526</v>
      </c>
      <c r="U139" s="16">
        <v>15196729</v>
      </c>
      <c r="V139" s="16">
        <v>15274630</v>
      </c>
    </row>
    <row r="140" spans="1:22">
      <c r="A140" s="95">
        <v>124</v>
      </c>
      <c r="B140" s="18" t="s">
        <v>150</v>
      </c>
      <c r="C140" s="73" t="s">
        <v>82</v>
      </c>
      <c r="D140" s="43">
        <f>268249.85*FX_RATE</f>
        <v>410344612.16842496</v>
      </c>
      <c r="E140" s="10">
        <f>1233.6*FX_RATE</f>
        <v>1887050.8727999998</v>
      </c>
      <c r="F140" s="10">
        <f>24762.67*FX_RATE</f>
        <v>37879716.307034992</v>
      </c>
      <c r="G140" s="10">
        <f>101.41*FX_RATE</f>
        <v>155127.94180499998</v>
      </c>
      <c r="H140" s="12">
        <f t="shared" si="36"/>
        <v>39611639.238029994</v>
      </c>
      <c r="I140" s="10">
        <v>425693072.09525597</v>
      </c>
      <c r="J140" s="13">
        <f t="shared" si="34"/>
        <v>2.193821423262237E-4</v>
      </c>
      <c r="K140" s="10">
        <f>281704.23*FX_RATE</f>
        <v>430925918.52541494</v>
      </c>
      <c r="L140" s="13">
        <f t="shared" si="35"/>
        <v>2.2342994180457189E-4</v>
      </c>
      <c r="M140" s="13">
        <f t="shared" si="37"/>
        <v>1.2292533689596987E-2</v>
      </c>
      <c r="N140" s="19">
        <f t="shared" si="38"/>
        <v>3.5998749468547209E-4</v>
      </c>
      <c r="O140" s="20">
        <f t="shared" si="39"/>
        <v>9.1922155375515666E-2</v>
      </c>
      <c r="P140" s="21">
        <f t="shared" si="40"/>
        <v>1647.9947932975695</v>
      </c>
      <c r="Q140" s="21">
        <f t="shared" si="41"/>
        <v>151.48723344753998</v>
      </c>
      <c r="R140" s="10">
        <f>1.0083*FX_RATE</f>
        <v>1542.4070971499998</v>
      </c>
      <c r="S140" s="10">
        <f>1.0083*FX_RATE</f>
        <v>1542.4070971499998</v>
      </c>
      <c r="T140" s="10">
        <v>2</v>
      </c>
      <c r="U140" s="16">
        <v>261485</v>
      </c>
      <c r="V140" s="16">
        <v>261485</v>
      </c>
    </row>
    <row r="141" spans="1:22">
      <c r="A141" s="95">
        <v>125</v>
      </c>
      <c r="B141" s="18" t="s">
        <v>301</v>
      </c>
      <c r="C141" s="73" t="s">
        <v>295</v>
      </c>
      <c r="D141" s="43">
        <f>341881.34*FX_RATE</f>
        <v>522979475.55207002</v>
      </c>
      <c r="E141" s="10">
        <f>2822.54*FX_RATE</f>
        <v>4317669.07467</v>
      </c>
      <c r="F141" s="10">
        <v>0</v>
      </c>
      <c r="G141" s="10">
        <v>0</v>
      </c>
      <c r="H141" s="12">
        <f t="shared" si="36"/>
        <v>4317669.07467</v>
      </c>
      <c r="I141" s="10">
        <v>664867279.44666398</v>
      </c>
      <c r="J141" s="13">
        <f t="shared" si="34"/>
        <v>3.4264125420152146E-4</v>
      </c>
      <c r="K141" s="10">
        <f>426452.77*FX_RATE</f>
        <v>652349280.023085</v>
      </c>
      <c r="L141" s="13">
        <f t="shared" si="35"/>
        <v>3.3823531007503329E-4</v>
      </c>
      <c r="M141" s="13">
        <f t="shared" si="37"/>
        <v>-1.8827816935128899E-2</v>
      </c>
      <c r="N141" s="19">
        <f t="shared" si="38"/>
        <v>0</v>
      </c>
      <c r="O141" s="20">
        <f t="shared" si="39"/>
        <v>6.6186461867746805E-3</v>
      </c>
      <c r="P141" s="21">
        <f t="shared" si="40"/>
        <v>1559.6474540722586</v>
      </c>
      <c r="Q141" s="21">
        <f t="shared" si="41"/>
        <v>10.322754674608193</v>
      </c>
      <c r="R141" s="10">
        <f>1.0196*FX_RATE</f>
        <v>1559.6928258</v>
      </c>
      <c r="S141" s="10">
        <f>1.0196*FX_RATE</f>
        <v>1559.6928258</v>
      </c>
      <c r="T141" s="10">
        <v>5</v>
      </c>
      <c r="U141" s="16">
        <v>413944.97</v>
      </c>
      <c r="V141" s="16">
        <v>418267.14</v>
      </c>
    </row>
    <row r="142" spans="1:22">
      <c r="A142" s="95">
        <v>126</v>
      </c>
      <c r="B142" s="18" t="s">
        <v>151</v>
      </c>
      <c r="C142" s="18" t="s">
        <v>46</v>
      </c>
      <c r="D142" s="43">
        <f>689577654.86*FX_RATE</f>
        <v>1054854179204.718</v>
      </c>
      <c r="E142" s="10">
        <f>4911473.91*FX_RATE</f>
        <v>7513133210.603055</v>
      </c>
      <c r="F142" s="10">
        <v>0</v>
      </c>
      <c r="G142" s="10">
        <f>1874*FX_RATE</f>
        <v>2866677.477</v>
      </c>
      <c r="H142" s="12">
        <f t="shared" si="36"/>
        <v>7510266533.1260548</v>
      </c>
      <c r="I142" s="10">
        <v>1075478519375.5691</v>
      </c>
      <c r="J142" s="13">
        <f t="shared" si="34"/>
        <v>0.55425093118182511</v>
      </c>
      <c r="K142" s="10">
        <f>691908445.58*FX_RATE</f>
        <v>1058419614242.4045</v>
      </c>
      <c r="L142" s="13">
        <f t="shared" si="35"/>
        <v>0.54877792829036043</v>
      </c>
      <c r="M142" s="13">
        <f t="shared" si="37"/>
        <v>-1.5861688379484398E-2</v>
      </c>
      <c r="N142" s="19">
        <f t="shared" si="38"/>
        <v>2.70845082463056E-6</v>
      </c>
      <c r="O142" s="20">
        <f t="shared" si="39"/>
        <v>7.0957363526390734E-3</v>
      </c>
      <c r="P142" s="21">
        <f t="shared" si="40"/>
        <v>2490.8154388755311</v>
      </c>
      <c r="Q142" s="21">
        <f t="shared" si="41"/>
        <v>17.674169657343754</v>
      </c>
      <c r="R142" s="10">
        <f>1.6283*FX_RATE</f>
        <v>2490.8276071499999</v>
      </c>
      <c r="S142" s="10">
        <f>1.6283*FX_RATE</f>
        <v>2490.8276071499999</v>
      </c>
      <c r="T142" s="10">
        <v>11281</v>
      </c>
      <c r="U142" s="16">
        <v>418843764.26999998</v>
      </c>
      <c r="V142" s="16">
        <v>424928960.10000002</v>
      </c>
    </row>
    <row r="143" spans="1:22">
      <c r="A143" s="95">
        <v>127</v>
      </c>
      <c r="B143" s="18" t="s">
        <v>302</v>
      </c>
      <c r="C143" s="18" t="s">
        <v>297</v>
      </c>
      <c r="D143" s="43">
        <v>438742746.92000002</v>
      </c>
      <c r="E143" s="10">
        <v>10182006.859999999</v>
      </c>
      <c r="F143" s="10">
        <v>0</v>
      </c>
      <c r="G143" s="10">
        <v>3390542.31</v>
      </c>
      <c r="H143" s="12">
        <f t="shared" si="36"/>
        <v>6791464.5499999989</v>
      </c>
      <c r="I143" s="10">
        <v>514812814.06999999</v>
      </c>
      <c r="J143" s="13">
        <f t="shared" si="34"/>
        <v>2.6531025626462648E-4</v>
      </c>
      <c r="K143" s="10">
        <v>489981418.10000002</v>
      </c>
      <c r="L143" s="13">
        <f t="shared" si="35"/>
        <v>2.5404951297898774E-4</v>
      </c>
      <c r="M143" s="13">
        <f t="shared" si="37"/>
        <v>-4.8233834301225458E-2</v>
      </c>
      <c r="N143" s="19">
        <f t="shared" si="38"/>
        <v>6.9197365139835286E-3</v>
      </c>
      <c r="O143" s="20">
        <f t="shared" si="39"/>
        <v>1.38606573619368E-2</v>
      </c>
      <c r="P143" s="21">
        <f t="shared" si="40"/>
        <v>158103.40293373604</v>
      </c>
      <c r="Q143" s="21">
        <f t="shared" si="41"/>
        <v>2191.4170958207487</v>
      </c>
      <c r="R143" s="10">
        <v>158103.67000000001</v>
      </c>
      <c r="S143" s="10">
        <v>158103.67000000001</v>
      </c>
      <c r="T143" s="10">
        <v>20</v>
      </c>
      <c r="U143" s="16">
        <v>3159.54</v>
      </c>
      <c r="V143" s="16">
        <v>3099.12</v>
      </c>
    </row>
    <row r="144" spans="1:22">
      <c r="A144" s="95">
        <v>128</v>
      </c>
      <c r="B144" s="18" t="s">
        <v>152</v>
      </c>
      <c r="C144" s="18" t="s">
        <v>50</v>
      </c>
      <c r="D144" s="43">
        <f>68276298*FX_RATE</f>
        <v>104442969951.72899</v>
      </c>
      <c r="E144" s="10">
        <f>1132670*FX_RATE</f>
        <v>1732657192.0349998</v>
      </c>
      <c r="F144" s="10">
        <v>0</v>
      </c>
      <c r="G144" s="10">
        <f>237132*FX_RATE</f>
        <v>362743310.28599995</v>
      </c>
      <c r="H144" s="12">
        <f t="shared" si="36"/>
        <v>1369913881.7489998</v>
      </c>
      <c r="I144" s="10">
        <v>196045189786.0372</v>
      </c>
      <c r="J144" s="13">
        <f t="shared" si="34"/>
        <v>0.10103244930983515</v>
      </c>
      <c r="K144" s="10">
        <f>118263497*FX_RATE</f>
        <v>180908913127.6185</v>
      </c>
      <c r="L144" s="13">
        <f t="shared" si="35"/>
        <v>9.3799110692498897E-2</v>
      </c>
      <c r="M144" s="13">
        <f t="shared" si="37"/>
        <v>-7.7208100208622121E-2</v>
      </c>
      <c r="N144" s="19">
        <f t="shared" si="38"/>
        <v>2.0051157459008671E-3</v>
      </c>
      <c r="O144" s="20">
        <f t="shared" si="39"/>
        <v>7.5723957325564278E-3</v>
      </c>
      <c r="P144" s="21">
        <f t="shared" si="40"/>
        <v>1821.8273723115083</v>
      </c>
      <c r="Q144" s="21">
        <f t="shared" si="41"/>
        <v>13.795597819546156</v>
      </c>
      <c r="R144" s="10">
        <f>1.19*FX_RATE</f>
        <v>1820.3554949999998</v>
      </c>
      <c r="S144" s="10">
        <f>1.19*FX_RATE</f>
        <v>1820.3554949999998</v>
      </c>
      <c r="T144" s="10">
        <v>396</v>
      </c>
      <c r="U144" s="16">
        <v>102429380.43000001</v>
      </c>
      <c r="V144" s="16">
        <v>99300798.680000007</v>
      </c>
    </row>
    <row r="145" spans="1:22">
      <c r="A145" s="95">
        <v>129</v>
      </c>
      <c r="B145" s="18" t="s">
        <v>230</v>
      </c>
      <c r="C145" s="73" t="s">
        <v>210</v>
      </c>
      <c r="D145" s="43">
        <f>759715.05*FX_RATE</f>
        <v>1162144088.9930251</v>
      </c>
      <c r="E145" s="10">
        <f>5554.82*FX_RATE</f>
        <v>8497266.4796099998</v>
      </c>
      <c r="F145" s="10">
        <v>0</v>
      </c>
      <c r="G145" s="10">
        <f>1313.99*FX_RATE</f>
        <v>2010024.2998949999</v>
      </c>
      <c r="H145" s="12">
        <f>(E145+F145)-G145</f>
        <v>6487242.1797150001</v>
      </c>
      <c r="I145" s="10">
        <v>1226939717.58442</v>
      </c>
      <c r="J145" s="13">
        <f t="shared" si="34"/>
        <v>6.3230689290750533E-4</v>
      </c>
      <c r="K145" s="10">
        <f>7597678*FX_RATE</f>
        <v>11622247812.219</v>
      </c>
      <c r="L145" s="13">
        <f t="shared" si="35"/>
        <v>6.0259966752713523E-3</v>
      </c>
      <c r="M145" s="13">
        <f t="shared" si="37"/>
        <v>8.4725499921876377</v>
      </c>
      <c r="N145" s="19">
        <f t="shared" si="38"/>
        <v>1.7294626068648869E-4</v>
      </c>
      <c r="O145" s="20">
        <f t="shared" si="39"/>
        <v>5.581744843621959E-4</v>
      </c>
      <c r="P145" s="21">
        <f t="shared" si="40"/>
        <v>1625439.1909925847</v>
      </c>
      <c r="Q145" s="21">
        <f t="shared" si="41"/>
        <v>907.27868229439093</v>
      </c>
      <c r="R145" s="10">
        <f>106.26*FX_RATE</f>
        <v>162547.03773000001</v>
      </c>
      <c r="S145" s="10">
        <f>106.26*FX_RATE</f>
        <v>162547.03773000001</v>
      </c>
      <c r="T145" s="10">
        <v>26</v>
      </c>
      <c r="U145" s="16">
        <v>7320.13</v>
      </c>
      <c r="V145" s="16">
        <v>7150.22</v>
      </c>
    </row>
    <row r="146" spans="1:22">
      <c r="A146" s="95">
        <v>130</v>
      </c>
      <c r="B146" s="18" t="s">
        <v>281</v>
      </c>
      <c r="C146" s="73" t="s">
        <v>280</v>
      </c>
      <c r="D146" s="43">
        <f>538620.75*FX_RATE</f>
        <v>823933816.79287493</v>
      </c>
      <c r="E146" s="10">
        <f>6013.05*FX_RATE</f>
        <v>9198225.7220249996</v>
      </c>
      <c r="F146" s="10">
        <f>14047.18*FX_RATE</f>
        <v>21488118.741390001</v>
      </c>
      <c r="G146" s="10">
        <f>1034.09*FX_RATE</f>
        <v>1581858.3309449998</v>
      </c>
      <c r="H146" s="12">
        <f>(E146+F146)-G146</f>
        <v>29104486.132470001</v>
      </c>
      <c r="I146" s="10">
        <v>0</v>
      </c>
      <c r="J146" s="13">
        <f t="shared" si="34"/>
        <v>0</v>
      </c>
      <c r="K146" s="10">
        <f>548380.73*FX_RATE</f>
        <v>838863760.67866492</v>
      </c>
      <c r="L146" s="13">
        <f t="shared" si="35"/>
        <v>4.3494084057824994E-4</v>
      </c>
      <c r="M146" s="13" t="e">
        <f t="shared" si="37"/>
        <v>#DIV/0!</v>
      </c>
      <c r="N146" s="19">
        <f t="shared" si="38"/>
        <v>1.8857154225678206E-3</v>
      </c>
      <c r="O146" s="20">
        <f t="shared" si="39"/>
        <v>3.4695128692797068E-2</v>
      </c>
      <c r="P146" s="21">
        <f t="shared" si="40"/>
        <v>1597.4968827158204</v>
      </c>
      <c r="Q146" s="21">
        <f t="shared" si="41"/>
        <v>55.425359932167531</v>
      </c>
      <c r="R146" s="10">
        <f>1.04*FX_RATE</f>
        <v>1590.8989199999999</v>
      </c>
      <c r="S146" s="10">
        <f>1.04*FX_RATE</f>
        <v>1590.8989199999999</v>
      </c>
      <c r="T146" s="10">
        <v>20</v>
      </c>
      <c r="U146" s="16">
        <v>355862.03</v>
      </c>
      <c r="V146" s="16">
        <v>525111.36</v>
      </c>
    </row>
    <row r="147" spans="1:22">
      <c r="A147" s="95">
        <v>131</v>
      </c>
      <c r="B147" s="18" t="s">
        <v>303</v>
      </c>
      <c r="C147" s="73" t="s">
        <v>299</v>
      </c>
      <c r="D147" s="128">
        <f>853662.2*FX_RATE</f>
        <v>1305856030.7930999</v>
      </c>
      <c r="E147" s="128">
        <f>6981.15*FX_RATE</f>
        <v>10679138.457074998</v>
      </c>
      <c r="F147" s="128">
        <v>0</v>
      </c>
      <c r="G147" s="128">
        <f>1793.4*FX_RATE</f>
        <v>2743382.8106999998</v>
      </c>
      <c r="H147" s="12">
        <f>(E147+F147)-G147</f>
        <v>7935755.6463749986</v>
      </c>
      <c r="I147" s="80">
        <v>1835579417.1573882</v>
      </c>
      <c r="J147" s="13">
        <f t="shared" si="34"/>
        <v>9.4597110299178067E-4</v>
      </c>
      <c r="K147" s="80">
        <f>1184510.05*FX_RATE</f>
        <v>1811957460.8405249</v>
      </c>
      <c r="L147" s="13">
        <f t="shared" si="35"/>
        <v>9.3947830154495935E-4</v>
      </c>
      <c r="M147" s="13">
        <f>((K147-I147)/I147)</f>
        <v>-1.2868937239144189E-2</v>
      </c>
      <c r="N147" s="19">
        <f>(G147/K147)</f>
        <v>1.5140437179068256E-3</v>
      </c>
      <c r="O147" s="20">
        <f>H147/K147</f>
        <v>4.3796589146710904E-3</v>
      </c>
      <c r="P147" s="21">
        <f>K147/V147</f>
        <v>2001.1032399036476</v>
      </c>
      <c r="Q147" s="21">
        <f>H147/V147</f>
        <v>8.764149643821213</v>
      </c>
      <c r="R147" s="80">
        <f>1.3082*FX_RATE</f>
        <v>2001.1672761</v>
      </c>
      <c r="S147" s="80">
        <f>1.3082*FX_RATE</f>
        <v>2001.1672761</v>
      </c>
      <c r="T147" s="80">
        <v>96</v>
      </c>
      <c r="U147" s="80">
        <v>855318.25</v>
      </c>
      <c r="V147" s="80">
        <v>905479.25</v>
      </c>
    </row>
    <row r="148" spans="1:22" ht="15" customHeight="1">
      <c r="A148" s="110" t="s">
        <v>51</v>
      </c>
      <c r="B148" s="110"/>
      <c r="C148" s="110"/>
      <c r="D148" s="110"/>
      <c r="E148" s="110"/>
      <c r="F148" s="110"/>
      <c r="G148" s="110"/>
      <c r="H148" s="110"/>
      <c r="I148" s="25">
        <f>SUM(I112:I147)</f>
        <v>1940418064940.9722</v>
      </c>
      <c r="J148" s="34">
        <f>(I148/$I$229)</f>
        <v>0.34153174546202769</v>
      </c>
      <c r="K148" s="36">
        <f>SUM(K112:K147)</f>
        <v>1928684736902.1567</v>
      </c>
      <c r="L148" s="34">
        <f>(K148/$K$229)</f>
        <v>0.32905378247114381</v>
      </c>
      <c r="M148" s="34">
        <f>((K148-I148)/I148)</f>
        <v>-6.0468041659735624E-3</v>
      </c>
      <c r="N148" s="19"/>
      <c r="O148" s="19"/>
      <c r="P148" s="35"/>
      <c r="Q148" s="35"/>
      <c r="R148" s="36"/>
      <c r="S148" s="36"/>
      <c r="T148" s="38">
        <f>SUM(T112:T147)</f>
        <v>22272</v>
      </c>
      <c r="U148" s="38"/>
      <c r="V148" s="36"/>
    </row>
    <row r="149" spans="1:22" ht="6.9" customHeight="1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</row>
    <row r="150" spans="1:22">
      <c r="A150" s="113" t="s">
        <v>153</v>
      </c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</row>
    <row r="151" spans="1:22">
      <c r="A151" s="84">
        <v>132</v>
      </c>
      <c r="B151" s="85" t="s">
        <v>226</v>
      </c>
      <c r="C151" s="85" t="s">
        <v>227</v>
      </c>
      <c r="D151" s="26">
        <v>2401065943.9899998</v>
      </c>
      <c r="E151" s="26">
        <v>41523619.119999997</v>
      </c>
      <c r="F151" s="26">
        <v>0</v>
      </c>
      <c r="G151" s="26">
        <v>3546343.46</v>
      </c>
      <c r="H151" s="12">
        <f t="shared" ref="H151:H156" si="42">(E151+F151)-G151</f>
        <v>37977275.659999996</v>
      </c>
      <c r="I151" s="27">
        <v>2401337436.6599998</v>
      </c>
      <c r="J151" s="13">
        <f t="shared" ref="J151:J156" si="43">(I151/$I$157)</f>
        <v>6.6848428736875978E-3</v>
      </c>
      <c r="K151" s="27">
        <v>2436689712.3200002</v>
      </c>
      <c r="L151" s="13">
        <f t="shared" ref="L151:L156" si="44">(K151/$K$157)</f>
        <v>6.7334090489530266E-3</v>
      </c>
      <c r="M151" s="13">
        <f t="shared" ref="M151:M157" si="45">((K151-I151)/I151)</f>
        <v>1.4721910848635878E-2</v>
      </c>
      <c r="N151" s="19">
        <f t="shared" ref="N151:N156" si="46">(G151/K151)</f>
        <v>1.4553939478094179E-3</v>
      </c>
      <c r="O151" s="20">
        <f t="shared" ref="O151:O156" si="47">H151/K151</f>
        <v>1.5585601838422586E-2</v>
      </c>
      <c r="P151" s="21">
        <f t="shared" ref="P151:P156" si="48">K151/V151</f>
        <v>114.82986391705938</v>
      </c>
      <c r="Q151" s="21">
        <f t="shared" ref="Q151:Q156" si="49">H151/V151</f>
        <v>1.7896925381715361</v>
      </c>
      <c r="R151" s="26">
        <v>114.83</v>
      </c>
      <c r="S151" s="26">
        <v>114.83</v>
      </c>
      <c r="T151" s="26">
        <v>8</v>
      </c>
      <c r="U151" s="26">
        <v>21220000</v>
      </c>
      <c r="V151" s="26">
        <v>21220000</v>
      </c>
    </row>
    <row r="152" spans="1:22">
      <c r="A152" s="84">
        <v>133</v>
      </c>
      <c r="B152" s="85" t="s">
        <v>285</v>
      </c>
      <c r="C152" s="73" t="s">
        <v>58</v>
      </c>
      <c r="D152" s="26">
        <v>122717900642.55</v>
      </c>
      <c r="E152" s="26">
        <v>4263917374.5999999</v>
      </c>
      <c r="F152" s="26">
        <v>36676193.079999998</v>
      </c>
      <c r="G152" s="26">
        <v>450075957.11000001</v>
      </c>
      <c r="H152" s="12">
        <f t="shared" si="42"/>
        <v>3850517610.5700002</v>
      </c>
      <c r="I152" s="27">
        <v>254459545125</v>
      </c>
      <c r="J152" s="13">
        <f t="shared" si="43"/>
        <v>0.70836445178507745</v>
      </c>
      <c r="K152" s="26">
        <v>258310062736</v>
      </c>
      <c r="L152" s="13">
        <f t="shared" ref="L152:L156" si="50">(K152/$K$157)</f>
        <v>0.71379926014715755</v>
      </c>
      <c r="M152" s="13">
        <f t="shared" ref="M152:M156" si="51">((K152-I152)/I152)</f>
        <v>1.5132140588825161E-2</v>
      </c>
      <c r="N152" s="19">
        <f t="shared" ref="N152:N156" si="52">(G152/K152)</f>
        <v>1.7423864650986905E-3</v>
      </c>
      <c r="O152" s="20">
        <f t="shared" ref="O152:O156" si="53">H152/K152</f>
        <v>1.4906572240297643E-2</v>
      </c>
      <c r="P152" s="21">
        <f t="shared" ref="P152:P156" si="54">K152/V152</f>
        <v>103.3240250944</v>
      </c>
      <c r="Q152" s="21">
        <f t="shared" ref="Q152:Q156" si="55">H152/V152</f>
        <v>1.540207044228</v>
      </c>
      <c r="R152" s="26">
        <v>103.324</v>
      </c>
      <c r="S152" s="26">
        <v>103.324</v>
      </c>
      <c r="T152" s="26">
        <v>45</v>
      </c>
      <c r="U152" s="26">
        <v>2500000000</v>
      </c>
      <c r="V152" s="26">
        <v>2500000000</v>
      </c>
    </row>
    <row r="153" spans="1:22">
      <c r="A153" s="95">
        <v>134</v>
      </c>
      <c r="B153" s="18" t="s">
        <v>154</v>
      </c>
      <c r="C153" s="18" t="s">
        <v>44</v>
      </c>
      <c r="D153" s="26">
        <v>39405656067</v>
      </c>
      <c r="E153" s="26">
        <v>290884028</v>
      </c>
      <c r="F153" s="26">
        <v>0</v>
      </c>
      <c r="G153" s="26">
        <v>72390780</v>
      </c>
      <c r="H153" s="12">
        <f t="shared" si="42"/>
        <v>218493248</v>
      </c>
      <c r="I153" s="27">
        <v>57540994864</v>
      </c>
      <c r="J153" s="13">
        <f t="shared" si="43"/>
        <v>0.16018261473344414</v>
      </c>
      <c r="K153" s="27">
        <v>57062508820</v>
      </c>
      <c r="L153" s="13">
        <f t="shared" si="50"/>
        <v>0.15768327469102525</v>
      </c>
      <c r="M153" s="13">
        <f t="shared" si="51"/>
        <v>-8.3155677987653363E-3</v>
      </c>
      <c r="N153" s="19">
        <f t="shared" si="52"/>
        <v>1.2686224545147855E-3</v>
      </c>
      <c r="O153" s="20">
        <f t="shared" si="53"/>
        <v>3.8290158024636253E-3</v>
      </c>
      <c r="P153" s="21">
        <f t="shared" si="54"/>
        <v>107.53363589422743</v>
      </c>
      <c r="Q153" s="21">
        <f t="shared" si="55"/>
        <v>0.41174799113536659</v>
      </c>
      <c r="R153" s="26">
        <v>107.53</v>
      </c>
      <c r="S153" s="26">
        <v>107.53</v>
      </c>
      <c r="T153" s="26">
        <v>625</v>
      </c>
      <c r="U153" s="26">
        <v>530648000</v>
      </c>
      <c r="V153" s="26">
        <v>530648000</v>
      </c>
    </row>
    <row r="154" spans="1:22">
      <c r="A154" s="95">
        <v>135</v>
      </c>
      <c r="B154" s="18" t="s">
        <v>155</v>
      </c>
      <c r="C154" s="18" t="s">
        <v>121</v>
      </c>
      <c r="D154" s="26">
        <v>2766079671.46</v>
      </c>
      <c r="E154" s="26">
        <v>32879074.140000001</v>
      </c>
      <c r="F154" s="26">
        <v>0</v>
      </c>
      <c r="G154" s="26">
        <v>8664213.5600000005</v>
      </c>
      <c r="H154" s="12">
        <f t="shared" si="42"/>
        <v>24214860.579999998</v>
      </c>
      <c r="I154" s="27">
        <v>2492934072.3000002</v>
      </c>
      <c r="J154" s="13">
        <f t="shared" si="43"/>
        <v>6.9398295772070632E-3</v>
      </c>
      <c r="K154" s="27">
        <v>2517148932.8800001</v>
      </c>
      <c r="L154" s="13">
        <f t="shared" si="50"/>
        <v>6.9557454593097605E-3</v>
      </c>
      <c r="M154" s="13">
        <f t="shared" si="51"/>
        <v>9.7133978989099815E-3</v>
      </c>
      <c r="N154" s="19">
        <f t="shared" si="52"/>
        <v>3.4420742637928962E-3</v>
      </c>
      <c r="O154" s="20">
        <f t="shared" si="53"/>
        <v>9.619955443913494E-3</v>
      </c>
      <c r="P154" s="21">
        <f t="shared" si="54"/>
        <v>125.85744664400001</v>
      </c>
      <c r="Q154" s="21">
        <f t="shared" si="55"/>
        <v>1.2107430289999999</v>
      </c>
      <c r="R154" s="26">
        <v>249.25</v>
      </c>
      <c r="S154" s="26">
        <v>249.25</v>
      </c>
      <c r="T154" s="26">
        <v>3552</v>
      </c>
      <c r="U154" s="26">
        <v>20000000</v>
      </c>
      <c r="V154" s="26">
        <v>20000000</v>
      </c>
    </row>
    <row r="155" spans="1:22">
      <c r="A155" s="95">
        <v>136</v>
      </c>
      <c r="B155" s="18" t="s">
        <v>156</v>
      </c>
      <c r="C155" s="18" t="s">
        <v>121</v>
      </c>
      <c r="D155" s="26">
        <v>11388906888.280001</v>
      </c>
      <c r="E155" s="26">
        <v>104268207.56</v>
      </c>
      <c r="F155" s="26">
        <v>0</v>
      </c>
      <c r="G155" s="26">
        <v>16766842.289999999</v>
      </c>
      <c r="H155" s="12">
        <f t="shared" si="42"/>
        <v>87501365.270000011</v>
      </c>
      <c r="I155" s="27">
        <v>11023805653.610001</v>
      </c>
      <c r="J155" s="13">
        <f t="shared" si="43"/>
        <v>3.068806888171036E-2</v>
      </c>
      <c r="K155" s="27">
        <v>10161765335.620001</v>
      </c>
      <c r="L155" s="13">
        <f t="shared" si="50"/>
        <v>2.8080441394835731E-2</v>
      </c>
      <c r="M155" s="13">
        <f t="shared" si="51"/>
        <v>-7.8198069258206188E-2</v>
      </c>
      <c r="N155" s="19">
        <f t="shared" si="52"/>
        <v>1.6499930608737091E-3</v>
      </c>
      <c r="O155" s="20">
        <f t="shared" si="53"/>
        <v>8.6108429372288072E-3</v>
      </c>
      <c r="P155" s="21">
        <f t="shared" si="54"/>
        <v>54.015435161360571</v>
      </c>
      <c r="Q155" s="21">
        <f t="shared" si="55"/>
        <v>0.46511842836054229</v>
      </c>
      <c r="R155" s="26">
        <v>50.25</v>
      </c>
      <c r="S155" s="26">
        <v>50.25</v>
      </c>
      <c r="T155" s="26">
        <v>5482</v>
      </c>
      <c r="U155" s="26">
        <v>188127066</v>
      </c>
      <c r="V155" s="26">
        <v>188127066</v>
      </c>
    </row>
    <row r="156" spans="1:22" ht="15.9" customHeight="1">
      <c r="A156" s="95">
        <v>137</v>
      </c>
      <c r="B156" s="18" t="s">
        <v>157</v>
      </c>
      <c r="C156" s="73" t="s">
        <v>158</v>
      </c>
      <c r="D156" s="26">
        <v>31435570393.740002</v>
      </c>
      <c r="E156" s="26">
        <v>248089904.72</v>
      </c>
      <c r="F156" s="26">
        <v>0</v>
      </c>
      <c r="G156" s="26">
        <v>60098182.420000002</v>
      </c>
      <c r="H156" s="12">
        <f t="shared" si="42"/>
        <v>187991722.30000001</v>
      </c>
      <c r="I156" s="27">
        <v>31302606448.459999</v>
      </c>
      <c r="J156" s="13">
        <f t="shared" si="43"/>
        <v>8.7140192148873308E-2</v>
      </c>
      <c r="K156" s="27">
        <v>31392365895.439999</v>
      </c>
      <c r="L156" s="13">
        <f t="shared" si="50"/>
        <v>8.6747869258718621E-2</v>
      </c>
      <c r="M156" s="13">
        <f t="shared" si="51"/>
        <v>2.8674751774357583E-3</v>
      </c>
      <c r="N156" s="19">
        <f t="shared" si="52"/>
        <v>1.9144202963284702E-3</v>
      </c>
      <c r="O156" s="20">
        <f t="shared" si="53"/>
        <v>5.9884534643280061E-3</v>
      </c>
      <c r="P156" s="21">
        <f t="shared" si="54"/>
        <v>11.765065671005122</v>
      </c>
      <c r="Q156" s="21">
        <f t="shared" si="55"/>
        <v>7.0454548275577109E-2</v>
      </c>
      <c r="R156" s="26">
        <v>11.77</v>
      </c>
      <c r="S156" s="26">
        <v>11.77</v>
      </c>
      <c r="T156" s="26">
        <v>208483</v>
      </c>
      <c r="U156" s="26">
        <v>2668269500</v>
      </c>
      <c r="V156" s="26">
        <v>2668269500</v>
      </c>
    </row>
    <row r="157" spans="1:22" ht="15" customHeight="1">
      <c r="A157" s="110" t="s">
        <v>51</v>
      </c>
      <c r="B157" s="110"/>
      <c r="C157" s="110"/>
      <c r="D157" s="110"/>
      <c r="E157" s="110"/>
      <c r="F157" s="110"/>
      <c r="G157" s="110"/>
      <c r="H157" s="110"/>
      <c r="I157" s="36">
        <f>SUM(I151:I156)</f>
        <v>359221223600.03003</v>
      </c>
      <c r="J157" s="34">
        <f>(I157/$I$229)</f>
        <v>6.3226298352801469E-2</v>
      </c>
      <c r="K157" s="36">
        <f>SUM(K151:K156)</f>
        <v>361880541432.26001</v>
      </c>
      <c r="L157" s="34">
        <f>(K157/$K$229)</f>
        <v>6.1740604196543473E-2</v>
      </c>
      <c r="M157" s="34">
        <f t="shared" si="45"/>
        <v>7.4030086685272292E-3</v>
      </c>
      <c r="N157" s="19"/>
      <c r="O157" s="19"/>
      <c r="P157" s="37"/>
      <c r="Q157" s="37"/>
      <c r="R157" s="36"/>
      <c r="S157" s="36"/>
      <c r="T157" s="36">
        <f>SUM(T151:T156)</f>
        <v>218195</v>
      </c>
      <c r="U157" s="36"/>
      <c r="V157" s="36"/>
    </row>
    <row r="158" spans="1:22" ht="8.1" customHeight="1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</row>
    <row r="159" spans="1:22">
      <c r="A159" s="113" t="s">
        <v>159</v>
      </c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</row>
    <row r="160" spans="1:22">
      <c r="A160" s="95">
        <v>138</v>
      </c>
      <c r="B160" s="18" t="s">
        <v>160</v>
      </c>
      <c r="C160" s="18" t="s">
        <v>55</v>
      </c>
      <c r="D160" s="28">
        <v>410477367.33999997</v>
      </c>
      <c r="E160" s="28">
        <v>6780261.46</v>
      </c>
      <c r="F160" s="28">
        <v>30531950.699999999</v>
      </c>
      <c r="G160" s="10">
        <v>815678.63</v>
      </c>
      <c r="H160" s="12">
        <f>(E160+F160)-G160</f>
        <v>36496533.529999994</v>
      </c>
      <c r="I160" s="10">
        <v>301092285.67000002</v>
      </c>
      <c r="J160" s="13">
        <f t="shared" ref="J160:J187" si="56">(I160/$I$188)</f>
        <v>4.9489464933601748E-3</v>
      </c>
      <c r="K160" s="10">
        <v>410526583.35000002</v>
      </c>
      <c r="L160" s="13">
        <f t="shared" ref="L160:L187" si="57">(K160/$K$188)</f>
        <v>6.2896027048667848E-3</v>
      </c>
      <c r="M160" s="13">
        <f>((K160-I160)/I160)</f>
        <v>0.36345766028672361</v>
      </c>
      <c r="N160" s="19">
        <f>(G160/K160)</f>
        <v>1.9869081883659213E-3</v>
      </c>
      <c r="O160" s="20">
        <f>H160/K160</f>
        <v>8.8901754503153282E-2</v>
      </c>
      <c r="P160" s="21">
        <f>K160/V160</f>
        <v>7.4795150619065742</v>
      </c>
      <c r="Q160" s="21">
        <f>H160/V160</f>
        <v>0.66494201183625556</v>
      </c>
      <c r="R160" s="10">
        <v>7.4267000000000003</v>
      </c>
      <c r="S160" s="10">
        <v>7.5354000000000001</v>
      </c>
      <c r="T160" s="10">
        <v>11863</v>
      </c>
      <c r="U160" s="10">
        <v>46817724.32</v>
      </c>
      <c r="V160" s="10">
        <v>54886791.450000003</v>
      </c>
    </row>
    <row r="161" spans="1:22">
      <c r="A161" s="95">
        <v>139</v>
      </c>
      <c r="B161" s="75" t="s">
        <v>220</v>
      </c>
      <c r="C161" s="75" t="s">
        <v>221</v>
      </c>
      <c r="D161" s="28">
        <v>772598128.52999997</v>
      </c>
      <c r="E161" s="28">
        <v>15016324.109999999</v>
      </c>
      <c r="F161" s="28">
        <v>61991614.299999997</v>
      </c>
      <c r="G161" s="10">
        <v>1356307.82</v>
      </c>
      <c r="H161" s="12">
        <f t="shared" ref="H161:H187" si="58">(E161+F161)-G161</f>
        <v>75651630.590000004</v>
      </c>
      <c r="I161" s="10">
        <v>729027773.85000002</v>
      </c>
      <c r="J161" s="13">
        <f t="shared" si="56"/>
        <v>1.1982769458635171E-2</v>
      </c>
      <c r="K161" s="10">
        <v>805326953.72000003</v>
      </c>
      <c r="L161" s="13">
        <f t="shared" ref="L161:L187" si="59">(K161/$K$188)</f>
        <v>1.2338266976735696E-2</v>
      </c>
      <c r="M161" s="13">
        <f t="shared" ref="M161:M187" si="60">((K161-I161)/I161)</f>
        <v>0.10465881082563368</v>
      </c>
      <c r="N161" s="19">
        <f t="shared" ref="N161:N187" si="61">(G161/K161)</f>
        <v>1.6841704027598804E-3</v>
      </c>
      <c r="O161" s="20">
        <f t="shared" ref="O161:O187" si="62">H161/K161</f>
        <v>9.3939027174673367E-2</v>
      </c>
      <c r="P161" s="21">
        <f t="shared" ref="P161:P187" si="63">K161/V161</f>
        <v>1875.8241627321411</v>
      </c>
      <c r="Q161" s="21">
        <f t="shared" ref="Q161:Q187" si="64">H161/V161</f>
        <v>176.21309699780352</v>
      </c>
      <c r="R161" s="10">
        <v>1862.3338000000001</v>
      </c>
      <c r="S161" s="10">
        <v>1884.6321</v>
      </c>
      <c r="T161" s="10">
        <v>156</v>
      </c>
      <c r="U161" s="10">
        <v>430026</v>
      </c>
      <c r="V161" s="10">
        <v>429319</v>
      </c>
    </row>
    <row r="162" spans="1:22">
      <c r="A162" s="95">
        <v>140</v>
      </c>
      <c r="B162" s="18" t="s">
        <v>161</v>
      </c>
      <c r="C162" s="73" t="s">
        <v>58</v>
      </c>
      <c r="D162" s="28">
        <v>6722530870.4200001</v>
      </c>
      <c r="E162" s="28">
        <v>104051647.98</v>
      </c>
      <c r="F162" s="28">
        <v>308982250.12</v>
      </c>
      <c r="G162" s="10">
        <v>41453702.899999999</v>
      </c>
      <c r="H162" s="12">
        <f t="shared" si="58"/>
        <v>371580195.20000005</v>
      </c>
      <c r="I162" s="10">
        <v>7368428689</v>
      </c>
      <c r="J162" s="13">
        <f t="shared" si="56"/>
        <v>0.12111223388156844</v>
      </c>
      <c r="K162" s="10">
        <v>7790040095</v>
      </c>
      <c r="L162" s="13">
        <f t="shared" si="59"/>
        <v>0.11934977962379668</v>
      </c>
      <c r="M162" s="13">
        <f t="shared" si="60"/>
        <v>5.7218631514939534E-2</v>
      </c>
      <c r="N162" s="19">
        <f t="shared" si="61"/>
        <v>5.3213722130399377E-3</v>
      </c>
      <c r="O162" s="20">
        <f t="shared" si="62"/>
        <v>4.7699394440664948E-2</v>
      </c>
      <c r="P162" s="21">
        <f t="shared" si="63"/>
        <v>893.02048984271801</v>
      </c>
      <c r="Q162" s="21">
        <f t="shared" si="64"/>
        <v>42.596536588603634</v>
      </c>
      <c r="R162" s="10">
        <v>888.55539999999996</v>
      </c>
      <c r="S162" s="10">
        <v>915.346</v>
      </c>
      <c r="T162" s="10">
        <v>21520</v>
      </c>
      <c r="U162" s="10">
        <v>8681403</v>
      </c>
      <c r="V162" s="10">
        <v>8723249</v>
      </c>
    </row>
    <row r="163" spans="1:22">
      <c r="A163" s="95">
        <v>141</v>
      </c>
      <c r="B163" s="18" t="s">
        <v>162</v>
      </c>
      <c r="C163" s="18" t="s">
        <v>104</v>
      </c>
      <c r="D163" s="28">
        <v>2283344598</v>
      </c>
      <c r="E163" s="28">
        <v>92153279.329999998</v>
      </c>
      <c r="F163" s="28">
        <v>3541239.34</v>
      </c>
      <c r="G163" s="10">
        <v>4734084.3099999996</v>
      </c>
      <c r="H163" s="12">
        <f t="shared" si="58"/>
        <v>90960434.359999999</v>
      </c>
      <c r="I163" s="10">
        <v>2123598727.24</v>
      </c>
      <c r="J163" s="13">
        <f t="shared" si="56"/>
        <v>3.4904834745574063E-2</v>
      </c>
      <c r="K163" s="10">
        <v>2206448162.9299998</v>
      </c>
      <c r="L163" s="13">
        <f t="shared" si="59"/>
        <v>3.3804588780749593E-2</v>
      </c>
      <c r="M163" s="13">
        <f t="shared" si="60"/>
        <v>3.90136962446185E-2</v>
      </c>
      <c r="N163" s="19">
        <f t="shared" si="61"/>
        <v>2.1455678812383637E-3</v>
      </c>
      <c r="O163" s="20">
        <f t="shared" si="62"/>
        <v>4.1224822721061018E-2</v>
      </c>
      <c r="P163" s="21">
        <f t="shared" si="63"/>
        <v>5.3302258383933463</v>
      </c>
      <c r="Q163" s="21">
        <f t="shared" si="64"/>
        <v>0.21973761525098454</v>
      </c>
      <c r="R163" s="10">
        <v>5.3094999999999999</v>
      </c>
      <c r="S163" s="10">
        <v>5.4309000000000003</v>
      </c>
      <c r="T163" s="10">
        <v>2738</v>
      </c>
      <c r="U163" s="10">
        <v>414202259.83999997</v>
      </c>
      <c r="V163" s="10">
        <v>413950220.83999997</v>
      </c>
    </row>
    <row r="164" spans="1:22">
      <c r="A164" s="95">
        <v>142</v>
      </c>
      <c r="B164" s="18" t="s">
        <v>276</v>
      </c>
      <c r="C164" s="73" t="s">
        <v>102</v>
      </c>
      <c r="D164" s="28">
        <v>865003817.80999994</v>
      </c>
      <c r="E164" s="28">
        <v>10829975.51</v>
      </c>
      <c r="F164" s="28">
        <v>0</v>
      </c>
      <c r="G164" s="10">
        <v>1275213.6200000001</v>
      </c>
      <c r="H164" s="12">
        <v>22645328.75</v>
      </c>
      <c r="I164" s="10">
        <v>827556601.84000003</v>
      </c>
      <c r="J164" s="13">
        <f t="shared" si="56"/>
        <v>1.3602252656920853E-2</v>
      </c>
      <c r="K164" s="10">
        <v>862726466.54999995</v>
      </c>
      <c r="L164" s="13">
        <f t="shared" si="59"/>
        <v>1.3217674415366316E-2</v>
      </c>
      <c r="M164" s="13">
        <f t="shared" si="60"/>
        <v>4.2498440145124564E-2</v>
      </c>
      <c r="N164" s="19">
        <f t="shared" si="61"/>
        <v>1.4781204349734577E-3</v>
      </c>
      <c r="O164" s="20">
        <f t="shared" si="62"/>
        <v>2.6248561540667157E-2</v>
      </c>
      <c r="P164" s="21">
        <f t="shared" si="63"/>
        <v>1.0643532308024948</v>
      </c>
      <c r="Q164" s="21">
        <f t="shared" si="64"/>
        <v>2.7937741279727198E-2</v>
      </c>
      <c r="R164" s="10">
        <v>1.0644</v>
      </c>
      <c r="S164" s="10">
        <v>1.0671999999999999</v>
      </c>
      <c r="T164" s="10">
        <v>200</v>
      </c>
      <c r="U164" s="10">
        <v>796735311.07000005</v>
      </c>
      <c r="V164" s="10">
        <v>810564051.09000003</v>
      </c>
    </row>
    <row r="165" spans="1:22">
      <c r="A165" s="95">
        <v>143</v>
      </c>
      <c r="B165" s="18" t="s">
        <v>163</v>
      </c>
      <c r="C165" s="18" t="s">
        <v>60</v>
      </c>
      <c r="D165" s="28">
        <v>4762319212.4899998</v>
      </c>
      <c r="E165" s="28">
        <v>123896259.56</v>
      </c>
      <c r="F165" s="28">
        <v>1549962974.76</v>
      </c>
      <c r="G165" s="10">
        <v>11208120.619999999</v>
      </c>
      <c r="H165" s="12">
        <f t="shared" si="58"/>
        <v>1662651113.7</v>
      </c>
      <c r="I165" s="10">
        <v>4167102143.1999998</v>
      </c>
      <c r="J165" s="13">
        <f t="shared" si="56"/>
        <v>6.8493171431386501E-2</v>
      </c>
      <c r="K165" s="10">
        <v>4713622212.7399998</v>
      </c>
      <c r="L165" s="13">
        <f t="shared" si="59"/>
        <v>7.2216543876511566E-2</v>
      </c>
      <c r="M165" s="13">
        <f t="shared" si="60"/>
        <v>0.13115110951427661</v>
      </c>
      <c r="N165" s="19">
        <f t="shared" si="61"/>
        <v>2.3778147917129715E-3</v>
      </c>
      <c r="O165" s="20">
        <f t="shared" si="62"/>
        <v>0.35273321421606063</v>
      </c>
      <c r="P165" s="21">
        <f t="shared" si="63"/>
        <v>10126.831462526625</v>
      </c>
      <c r="Q165" s="21">
        <f t="shared" si="64"/>
        <v>3572.0698116013464</v>
      </c>
      <c r="R165" s="10">
        <v>10126.83</v>
      </c>
      <c r="S165" s="10">
        <v>10210.469999999999</v>
      </c>
      <c r="T165" s="10">
        <v>1101</v>
      </c>
      <c r="U165" s="10">
        <v>453243.23</v>
      </c>
      <c r="V165" s="10">
        <v>465458.74</v>
      </c>
    </row>
    <row r="166" spans="1:22" ht="14.1" customHeight="1">
      <c r="A166" s="95">
        <v>144</v>
      </c>
      <c r="B166" s="18" t="s">
        <v>164</v>
      </c>
      <c r="C166" s="73" t="s">
        <v>62</v>
      </c>
      <c r="D166" s="28">
        <v>778536301.41999996</v>
      </c>
      <c r="E166" s="28">
        <v>8283350.1200000001</v>
      </c>
      <c r="F166" s="28">
        <v>54200604.75</v>
      </c>
      <c r="G166" s="10">
        <v>1627016.52</v>
      </c>
      <c r="H166" s="12">
        <f t="shared" si="58"/>
        <v>60856938.349999994</v>
      </c>
      <c r="I166" s="10">
        <v>879804607.59000003</v>
      </c>
      <c r="J166" s="13">
        <f t="shared" si="56"/>
        <v>1.4461034489428256E-2</v>
      </c>
      <c r="K166" s="10">
        <v>942648787.96000004</v>
      </c>
      <c r="L166" s="13">
        <f t="shared" si="59"/>
        <v>1.4442149685195561E-2</v>
      </c>
      <c r="M166" s="13">
        <f t="shared" si="60"/>
        <v>7.1429701353969477E-2</v>
      </c>
      <c r="N166" s="19">
        <f t="shared" si="61"/>
        <v>1.7260049986602647E-3</v>
      </c>
      <c r="O166" s="20">
        <f t="shared" si="62"/>
        <v>6.4559504162415973E-2</v>
      </c>
      <c r="P166" s="21">
        <f t="shared" si="63"/>
        <v>214.57060397383495</v>
      </c>
      <c r="Q166" s="21">
        <f t="shared" si="64"/>
        <v>13.852571800380906</v>
      </c>
      <c r="R166" s="10">
        <v>209.96</v>
      </c>
      <c r="S166" s="10">
        <v>211.52</v>
      </c>
      <c r="T166" s="10">
        <f>480+9+4</f>
        <v>493</v>
      </c>
      <c r="U166" s="10">
        <v>4383283</v>
      </c>
      <c r="V166" s="10">
        <v>4393187</v>
      </c>
    </row>
    <row r="167" spans="1:22">
      <c r="A167" s="95">
        <v>145</v>
      </c>
      <c r="B167" s="18" t="s">
        <v>165</v>
      </c>
      <c r="C167" s="73" t="s">
        <v>63</v>
      </c>
      <c r="D167" s="28">
        <v>260001289.06</v>
      </c>
      <c r="E167" s="28">
        <v>1596992.6</v>
      </c>
      <c r="F167" s="28">
        <v>12872956.76</v>
      </c>
      <c r="G167" s="10">
        <v>4032162.09</v>
      </c>
      <c r="H167" s="12">
        <f t="shared" si="58"/>
        <v>10437787.27</v>
      </c>
      <c r="I167" s="10">
        <v>249665069.65000001</v>
      </c>
      <c r="J167" s="13">
        <f t="shared" si="56"/>
        <v>4.1036556888511501E-3</v>
      </c>
      <c r="K167" s="10">
        <v>270565657.17000002</v>
      </c>
      <c r="L167" s="13">
        <f t="shared" si="59"/>
        <v>4.1452869514411947E-3</v>
      </c>
      <c r="M167" s="13">
        <f t="shared" si="60"/>
        <v>8.3714504192757472E-2</v>
      </c>
      <c r="N167" s="19">
        <f t="shared" si="61"/>
        <v>1.4902712089090222E-2</v>
      </c>
      <c r="O167" s="20">
        <f t="shared" si="62"/>
        <v>3.8577650168815765E-2</v>
      </c>
      <c r="P167" s="21">
        <f t="shared" si="63"/>
        <v>1.7651924641767871</v>
      </c>
      <c r="Q167" s="21">
        <f t="shared" si="64"/>
        <v>6.8096977363641953E-2</v>
      </c>
      <c r="R167" s="10">
        <v>1.7557</v>
      </c>
      <c r="S167" s="10">
        <v>1.7739</v>
      </c>
      <c r="T167" s="10">
        <v>330</v>
      </c>
      <c r="U167" s="10">
        <v>150264679.03999999</v>
      </c>
      <c r="V167" s="10">
        <v>153278275.69</v>
      </c>
    </row>
    <row r="168" spans="1:22">
      <c r="A168" s="95">
        <v>146</v>
      </c>
      <c r="B168" s="75" t="s">
        <v>222</v>
      </c>
      <c r="C168" s="76" t="s">
        <v>48</v>
      </c>
      <c r="D168" s="28">
        <v>138993058.09999999</v>
      </c>
      <c r="E168" s="28">
        <v>1367416</v>
      </c>
      <c r="F168" s="28">
        <v>0</v>
      </c>
      <c r="G168" s="10">
        <v>148668.26999999999</v>
      </c>
      <c r="H168" s="12">
        <f t="shared" si="58"/>
        <v>1218747.73</v>
      </c>
      <c r="I168" s="10">
        <v>136425945.28999999</v>
      </c>
      <c r="J168" s="13">
        <f t="shared" si="56"/>
        <v>2.2423845966159338E-3</v>
      </c>
      <c r="K168" s="10">
        <v>142668831.56999999</v>
      </c>
      <c r="L168" s="13">
        <f t="shared" si="59"/>
        <v>2.1858030766739034E-3</v>
      </c>
      <c r="M168" s="13">
        <f t="shared" si="60"/>
        <v>4.5760256721912591E-2</v>
      </c>
      <c r="N168" s="19">
        <f t="shared" si="61"/>
        <v>1.0420515004151863E-3</v>
      </c>
      <c r="O168" s="20">
        <f t="shared" si="62"/>
        <v>8.5424946471368939E-3</v>
      </c>
      <c r="P168" s="21">
        <f t="shared" si="63"/>
        <v>170.69940675876836</v>
      </c>
      <c r="Q168" s="21">
        <f t="shared" si="64"/>
        <v>1.4581987685062221</v>
      </c>
      <c r="R168" s="10">
        <v>170.42169999999999</v>
      </c>
      <c r="S168" s="10">
        <v>171.37049999999999</v>
      </c>
      <c r="T168" s="10">
        <v>123</v>
      </c>
      <c r="U168" s="10">
        <v>832986.05</v>
      </c>
      <c r="V168" s="10">
        <v>835789.85</v>
      </c>
    </row>
    <row r="169" spans="1:22">
      <c r="A169" s="95">
        <v>147</v>
      </c>
      <c r="B169" s="75" t="s">
        <v>166</v>
      </c>
      <c r="C169" s="76" t="s">
        <v>167</v>
      </c>
      <c r="D169" s="28">
        <v>278241733.55000001</v>
      </c>
      <c r="E169" s="28">
        <v>2556410.02</v>
      </c>
      <c r="F169" s="28">
        <v>0</v>
      </c>
      <c r="G169" s="10">
        <v>675437.1</v>
      </c>
      <c r="H169" s="12">
        <f t="shared" si="58"/>
        <v>1880972.92</v>
      </c>
      <c r="I169" s="10">
        <v>254913116.43000001</v>
      </c>
      <c r="J169" s="13">
        <f t="shared" si="56"/>
        <v>4.1899159616810462E-3</v>
      </c>
      <c r="K169" s="10">
        <v>254913116.43000001</v>
      </c>
      <c r="L169" s="13">
        <f t="shared" si="59"/>
        <v>3.9054772373589082E-3</v>
      </c>
      <c r="M169" s="13">
        <f t="shared" si="60"/>
        <v>0</v>
      </c>
      <c r="N169" s="19">
        <f t="shared" si="61"/>
        <v>2.6496757383823255E-3</v>
      </c>
      <c r="O169" s="20">
        <f t="shared" si="62"/>
        <v>7.3788785227790398E-3</v>
      </c>
      <c r="P169" s="21">
        <f t="shared" si="63"/>
        <v>120.224115853486</v>
      </c>
      <c r="Q169" s="21">
        <f t="shared" si="64"/>
        <v>0.88711914639138689</v>
      </c>
      <c r="R169" s="10">
        <v>128.76</v>
      </c>
      <c r="S169" s="10">
        <v>129.74</v>
      </c>
      <c r="T169" s="10">
        <v>82</v>
      </c>
      <c r="U169" s="10">
        <v>2016766</v>
      </c>
      <c r="V169" s="10">
        <v>2120316</v>
      </c>
    </row>
    <row r="170" spans="1:22">
      <c r="A170" s="95">
        <v>148</v>
      </c>
      <c r="B170" s="18" t="s">
        <v>168</v>
      </c>
      <c r="C170" s="73" t="s">
        <v>68</v>
      </c>
      <c r="D170" s="28">
        <v>397322715.06</v>
      </c>
      <c r="E170" s="28">
        <v>3417764.43</v>
      </c>
      <c r="F170" s="28">
        <v>16343464.949999999</v>
      </c>
      <c r="G170" s="10">
        <v>787059.33</v>
      </c>
      <c r="H170" s="12">
        <f t="shared" si="58"/>
        <v>18974170.050000001</v>
      </c>
      <c r="I170" s="10">
        <v>376634095.51999998</v>
      </c>
      <c r="J170" s="13">
        <f t="shared" si="56"/>
        <v>6.1906002744503488E-3</v>
      </c>
      <c r="K170" s="10">
        <v>395619625.98000002</v>
      </c>
      <c r="L170" s="13">
        <f t="shared" si="59"/>
        <v>6.0612159372411892E-3</v>
      </c>
      <c r="M170" s="13">
        <f t="shared" si="60"/>
        <v>5.0408422088785293E-2</v>
      </c>
      <c r="N170" s="19">
        <f t="shared" si="61"/>
        <v>1.9894344929181763E-3</v>
      </c>
      <c r="O170" s="20">
        <f t="shared" si="62"/>
        <v>4.7960638967287264E-2</v>
      </c>
      <c r="P170" s="21">
        <f t="shared" si="63"/>
        <v>1.5869616583535047</v>
      </c>
      <c r="Q170" s="21">
        <f t="shared" si="64"/>
        <v>7.6111695151219905E-2</v>
      </c>
      <c r="R170" s="10">
        <v>1.603</v>
      </c>
      <c r="S170" s="10">
        <v>1.6205000000000001</v>
      </c>
      <c r="T170" s="10">
        <v>98</v>
      </c>
      <c r="U170" s="10">
        <v>249406220.46000001</v>
      </c>
      <c r="V170" s="10">
        <v>249293751.93000001</v>
      </c>
    </row>
    <row r="171" spans="1:22">
      <c r="A171" s="95">
        <v>149</v>
      </c>
      <c r="B171" s="73" t="s">
        <v>169</v>
      </c>
      <c r="C171" s="73" t="s">
        <v>72</v>
      </c>
      <c r="D171" s="28">
        <v>11678595445.65</v>
      </c>
      <c r="E171" s="28">
        <v>104451718.44</v>
      </c>
      <c r="F171" s="28">
        <v>730434958.78999996</v>
      </c>
      <c r="G171" s="10">
        <v>17739157.350000001</v>
      </c>
      <c r="H171" s="12">
        <f t="shared" si="58"/>
        <v>817147519.88</v>
      </c>
      <c r="I171" s="10">
        <v>10597928377.77</v>
      </c>
      <c r="J171" s="13">
        <f t="shared" si="56"/>
        <v>0.17419436823277254</v>
      </c>
      <c r="K171" s="10">
        <v>11432506658.959999</v>
      </c>
      <c r="L171" s="13">
        <f t="shared" si="59"/>
        <v>0.17515534370230529</v>
      </c>
      <c r="M171" s="13">
        <f t="shared" si="60"/>
        <v>7.8749190543747502E-2</v>
      </c>
      <c r="N171" s="19">
        <f t="shared" si="61"/>
        <v>1.5516419871137613E-3</v>
      </c>
      <c r="O171" s="20">
        <f t="shared" si="62"/>
        <v>7.1475796538423786E-2</v>
      </c>
      <c r="P171" s="21">
        <f t="shared" si="63"/>
        <v>394.43363499544961</v>
      </c>
      <c r="Q171" s="21">
        <f t="shared" si="64"/>
        <v>28.192458242845671</v>
      </c>
      <c r="R171" s="10">
        <v>394.43</v>
      </c>
      <c r="S171" s="10">
        <v>397.95</v>
      </c>
      <c r="T171" s="10">
        <v>5487</v>
      </c>
      <c r="U171" s="10">
        <v>28887658</v>
      </c>
      <c r="V171" s="10">
        <v>28984614</v>
      </c>
    </row>
    <row r="172" spans="1:22" ht="15.6" customHeight="1">
      <c r="A172" s="95">
        <v>150</v>
      </c>
      <c r="B172" s="83" t="s">
        <v>170</v>
      </c>
      <c r="C172" s="18" t="s">
        <v>249</v>
      </c>
      <c r="D172" s="28">
        <v>3896618641.8200002</v>
      </c>
      <c r="E172" s="28">
        <v>43484574.969999999</v>
      </c>
      <c r="F172" s="28">
        <v>198022803.15000001</v>
      </c>
      <c r="G172" s="10">
        <v>11346632.18</v>
      </c>
      <c r="H172" s="12">
        <f>(E172+F172)-G172</f>
        <v>230160745.94</v>
      </c>
      <c r="I172" s="10">
        <v>3644250229.1599998</v>
      </c>
      <c r="J172" s="13">
        <f t="shared" si="56"/>
        <v>5.9899241033013854E-2</v>
      </c>
      <c r="K172" s="10">
        <v>3873244692.8600001</v>
      </c>
      <c r="L172" s="13">
        <f t="shared" si="59"/>
        <v>5.9341273585817284E-2</v>
      </c>
      <c r="M172" s="13">
        <f t="shared" si="60"/>
        <v>6.2837195390060677E-2</v>
      </c>
      <c r="N172" s="19">
        <f t="shared" si="61"/>
        <v>2.9294901509622044E-3</v>
      </c>
      <c r="O172" s="20">
        <f t="shared" si="62"/>
        <v>5.9423239219634619E-2</v>
      </c>
      <c r="P172" s="21">
        <f t="shared" si="63"/>
        <v>2.7424642774783319</v>
      </c>
      <c r="Q172" s="21">
        <f t="shared" si="64"/>
        <v>0.16296611081189732</v>
      </c>
      <c r="R172" s="10">
        <v>2.7145999999999999</v>
      </c>
      <c r="S172" s="10">
        <v>2.7654000000000001</v>
      </c>
      <c r="T172" s="10">
        <v>10300</v>
      </c>
      <c r="U172" s="10">
        <v>1414976577.5</v>
      </c>
      <c r="V172" s="10">
        <v>1412322750.99</v>
      </c>
    </row>
    <row r="173" spans="1:22">
      <c r="A173" s="95">
        <v>151</v>
      </c>
      <c r="B173" s="18" t="s">
        <v>171</v>
      </c>
      <c r="C173" s="73" t="s">
        <v>76</v>
      </c>
      <c r="D173" s="28">
        <v>165003363.65000001</v>
      </c>
      <c r="E173" s="28">
        <f>2653368.75+140042.17</f>
        <v>2793410.92</v>
      </c>
      <c r="F173" s="28">
        <v>70230229.239999995</v>
      </c>
      <c r="G173" s="10">
        <v>519914.67</v>
      </c>
      <c r="H173" s="12">
        <f t="shared" si="58"/>
        <v>72503725.489999995</v>
      </c>
      <c r="I173" s="10">
        <v>267197503.99000001</v>
      </c>
      <c r="J173" s="13">
        <f t="shared" si="56"/>
        <v>4.3918300578952912E-3</v>
      </c>
      <c r="K173" s="10">
        <v>278060508.25</v>
      </c>
      <c r="L173" s="13">
        <f t="shared" si="59"/>
        <v>4.260114194151449E-3</v>
      </c>
      <c r="M173" s="13">
        <f t="shared" si="60"/>
        <v>4.0655335838790406E-2</v>
      </c>
      <c r="N173" s="19">
        <f t="shared" si="61"/>
        <v>1.8697896845263353E-3</v>
      </c>
      <c r="O173" s="20">
        <f t="shared" si="62"/>
        <v>0.26074801469043202</v>
      </c>
      <c r="P173" s="21">
        <f t="shared" si="63"/>
        <v>316.9835201246263</v>
      </c>
      <c r="Q173" s="21">
        <f t="shared" si="64"/>
        <v>82.652823562080911</v>
      </c>
      <c r="R173" s="10">
        <v>311.31</v>
      </c>
      <c r="S173" s="10">
        <v>313.27999999999997</v>
      </c>
      <c r="T173" s="10">
        <v>64</v>
      </c>
      <c r="U173" s="10">
        <v>877208.09</v>
      </c>
      <c r="V173" s="10">
        <v>877208.09</v>
      </c>
    </row>
    <row r="174" spans="1:22">
      <c r="A174" s="95">
        <v>152</v>
      </c>
      <c r="B174" s="75" t="s">
        <v>225</v>
      </c>
      <c r="C174" s="75" t="s">
        <v>224</v>
      </c>
      <c r="D174" s="28">
        <v>62219007.030000001</v>
      </c>
      <c r="E174" s="28">
        <v>1549450.68</v>
      </c>
      <c r="F174" s="28">
        <v>0</v>
      </c>
      <c r="G174" s="10">
        <v>82803.89</v>
      </c>
      <c r="H174" s="12">
        <f>(E174+F174)-G174</f>
        <v>1466646.79</v>
      </c>
      <c r="I174" s="10">
        <v>45043959.549999997</v>
      </c>
      <c r="J174" s="13">
        <f t="shared" si="56"/>
        <v>7.4037149495870052E-4</v>
      </c>
      <c r="K174" s="10">
        <v>62300649.700000003</v>
      </c>
      <c r="L174" s="13">
        <f t="shared" si="59"/>
        <v>9.5449686027763059E-4</v>
      </c>
      <c r="M174" s="13">
        <f t="shared" si="60"/>
        <v>0.38310775345681186</v>
      </c>
      <c r="N174" s="19">
        <f t="shared" si="61"/>
        <v>1.3291015486793551E-3</v>
      </c>
      <c r="O174" s="20">
        <f t="shared" si="62"/>
        <v>2.3541436518919642E-2</v>
      </c>
      <c r="P174" s="21">
        <f t="shared" si="63"/>
        <v>1.2248957905705635</v>
      </c>
      <c r="Q174" s="21">
        <f t="shared" si="64"/>
        <v>2.8835806496008809E-2</v>
      </c>
      <c r="R174" s="10">
        <v>1.2030000000000001</v>
      </c>
      <c r="S174" s="10">
        <v>1.2210000000000001</v>
      </c>
      <c r="T174" s="10">
        <v>32</v>
      </c>
      <c r="U174" s="10">
        <v>50879000</v>
      </c>
      <c r="V174" s="10">
        <v>50862000</v>
      </c>
    </row>
    <row r="175" spans="1:22">
      <c r="A175" s="95">
        <v>153</v>
      </c>
      <c r="B175" s="73" t="s">
        <v>172</v>
      </c>
      <c r="C175" s="73" t="s">
        <v>36</v>
      </c>
      <c r="D175" s="28">
        <v>3953667115.5700002</v>
      </c>
      <c r="E175" s="28">
        <v>31484286.260000002</v>
      </c>
      <c r="F175" s="28">
        <v>205650330.77000001</v>
      </c>
      <c r="G175" s="10">
        <v>7900215.0999999996</v>
      </c>
      <c r="H175" s="12">
        <f t="shared" si="58"/>
        <v>229234401.93000001</v>
      </c>
      <c r="I175" s="10">
        <v>3648289120.6999998</v>
      </c>
      <c r="J175" s="13">
        <f t="shared" si="56"/>
        <v>5.9965626852495964E-2</v>
      </c>
      <c r="K175" s="10">
        <v>3774126114.6199999</v>
      </c>
      <c r="L175" s="13">
        <f t="shared" si="59"/>
        <v>5.782269597577893E-2</v>
      </c>
      <c r="M175" s="13">
        <f t="shared" si="60"/>
        <v>3.4492056346635061E-2</v>
      </c>
      <c r="N175" s="19">
        <f t="shared" si="61"/>
        <v>2.0932567858282704E-3</v>
      </c>
      <c r="O175" s="20">
        <f t="shared" si="62"/>
        <v>6.0738405386615069E-2</v>
      </c>
      <c r="P175" s="21">
        <f t="shared" si="63"/>
        <v>5.2909909209906303</v>
      </c>
      <c r="Q175" s="21">
        <f t="shared" si="64"/>
        <v>0.32136635145602871</v>
      </c>
      <c r="R175" s="10">
        <v>5.29</v>
      </c>
      <c r="S175" s="10">
        <v>5.43</v>
      </c>
      <c r="T175" s="10">
        <v>2440</v>
      </c>
      <c r="U175" s="10">
        <v>710851110.03999996</v>
      </c>
      <c r="V175" s="10">
        <v>713311772.97000003</v>
      </c>
    </row>
    <row r="176" spans="1:22">
      <c r="A176" s="95">
        <v>154</v>
      </c>
      <c r="B176" s="75" t="s">
        <v>253</v>
      </c>
      <c r="C176" s="76" t="s">
        <v>254</v>
      </c>
      <c r="D176" s="16">
        <v>89947181.930000007</v>
      </c>
      <c r="E176" s="16">
        <v>1814296.18</v>
      </c>
      <c r="F176" s="16">
        <v>3635306.12</v>
      </c>
      <c r="G176" s="16">
        <v>347899.65</v>
      </c>
      <c r="H176" s="12">
        <f t="shared" si="58"/>
        <v>5101702.6499999994</v>
      </c>
      <c r="I176" s="16">
        <v>84370069.659999996</v>
      </c>
      <c r="J176" s="13">
        <f t="shared" si="56"/>
        <v>1.3867607383539599E-3</v>
      </c>
      <c r="K176" s="16">
        <v>89598260.170000002</v>
      </c>
      <c r="L176" s="13">
        <f t="shared" si="59"/>
        <v>1.3727185579992961E-3</v>
      </c>
      <c r="M176" s="13">
        <f t="shared" si="60"/>
        <v>6.1967360357398166E-2</v>
      </c>
      <c r="N176" s="19">
        <f t="shared" si="61"/>
        <v>3.8828839906032745E-3</v>
      </c>
      <c r="O176" s="20">
        <f t="shared" si="62"/>
        <v>5.6939751288922813E-2</v>
      </c>
      <c r="P176" s="21">
        <f t="shared" si="63"/>
        <v>2.4653746728411452</v>
      </c>
      <c r="Q176" s="21">
        <f t="shared" si="64"/>
        <v>0.14037782070558427</v>
      </c>
      <c r="R176" s="16">
        <v>2.46</v>
      </c>
      <c r="S176" s="16">
        <v>2.4700000000000002</v>
      </c>
      <c r="T176" s="16">
        <v>100</v>
      </c>
      <c r="U176" s="16">
        <v>35916356.799999997</v>
      </c>
      <c r="V176" s="16">
        <v>36342654.590000004</v>
      </c>
    </row>
    <row r="177" spans="1:22">
      <c r="A177" s="95">
        <v>155</v>
      </c>
      <c r="B177" s="73" t="s">
        <v>173</v>
      </c>
      <c r="C177" s="73" t="s">
        <v>114</v>
      </c>
      <c r="D177" s="28">
        <v>653274239.63</v>
      </c>
      <c r="E177" s="28">
        <v>2813944.59</v>
      </c>
      <c r="F177" s="28">
        <v>37264058.299999997</v>
      </c>
      <c r="G177" s="10">
        <v>4781358.3600000003</v>
      </c>
      <c r="H177" s="12">
        <f t="shared" si="58"/>
        <v>35296644.530000001</v>
      </c>
      <c r="I177" s="10">
        <v>573569951.80999994</v>
      </c>
      <c r="J177" s="13">
        <f t="shared" si="56"/>
        <v>9.427564692965797E-3</v>
      </c>
      <c r="K177" s="10">
        <v>649192203.49000001</v>
      </c>
      <c r="L177" s="13">
        <f t="shared" si="59"/>
        <v>9.9461550229695533E-3</v>
      </c>
      <c r="M177" s="13">
        <f t="shared" si="60"/>
        <v>0.13184486293495828</v>
      </c>
      <c r="N177" s="19">
        <f t="shared" si="61"/>
        <v>7.3650890049138601E-3</v>
      </c>
      <c r="O177" s="20">
        <f t="shared" si="62"/>
        <v>5.4370099240638375E-2</v>
      </c>
      <c r="P177" s="21">
        <f t="shared" si="63"/>
        <v>303.49559905292716</v>
      </c>
      <c r="Q177" s="21">
        <f t="shared" si="64"/>
        <v>16.501085839604642</v>
      </c>
      <c r="R177" s="10">
        <v>303.49560000000002</v>
      </c>
      <c r="S177" s="10">
        <v>305.40390000000002</v>
      </c>
      <c r="T177" s="10">
        <v>161</v>
      </c>
      <c r="U177" s="10">
        <v>2045347.81</v>
      </c>
      <c r="V177" s="10">
        <v>2139049.81</v>
      </c>
    </row>
    <row r="178" spans="1:22">
      <c r="A178" s="95">
        <v>156</v>
      </c>
      <c r="B178" s="18" t="s">
        <v>174</v>
      </c>
      <c r="C178" s="73" t="s">
        <v>32</v>
      </c>
      <c r="D178" s="28">
        <v>2098346024.8499999</v>
      </c>
      <c r="E178" s="28">
        <v>23474656.690000001</v>
      </c>
      <c r="F178" s="28">
        <v>69402168.540000007</v>
      </c>
      <c r="G178" s="10">
        <v>5543995.3700000001</v>
      </c>
      <c r="H178" s="12">
        <f t="shared" si="58"/>
        <v>87332829.859999999</v>
      </c>
      <c r="I178" s="10">
        <v>1954356512.5699999</v>
      </c>
      <c r="J178" s="13">
        <f t="shared" si="56"/>
        <v>3.2123060835439442E-2</v>
      </c>
      <c r="K178" s="10">
        <v>2073176469.5699999</v>
      </c>
      <c r="L178" s="13">
        <f t="shared" si="59"/>
        <v>3.1762757540007285E-2</v>
      </c>
      <c r="M178" s="13">
        <f t="shared" si="60"/>
        <v>6.0797483077307361E-2</v>
      </c>
      <c r="N178" s="19">
        <f t="shared" si="61"/>
        <v>2.6741550713962553E-3</v>
      </c>
      <c r="O178" s="20">
        <f t="shared" si="62"/>
        <v>4.2125130755566509E-2</v>
      </c>
      <c r="P178" s="21">
        <f t="shared" si="63"/>
        <v>2779.2432060727929</v>
      </c>
      <c r="Q178" s="21">
        <f t="shared" si="64"/>
        <v>117.07598345733628</v>
      </c>
      <c r="R178" s="10">
        <v>0</v>
      </c>
      <c r="S178" s="10">
        <v>0</v>
      </c>
      <c r="T178" s="10">
        <v>823</v>
      </c>
      <c r="U178" s="10">
        <v>745950</v>
      </c>
      <c r="V178" s="10">
        <v>745950</v>
      </c>
    </row>
    <row r="179" spans="1:22">
      <c r="A179" s="95">
        <v>157</v>
      </c>
      <c r="B179" s="18" t="s">
        <v>175</v>
      </c>
      <c r="C179" s="73" t="s">
        <v>82</v>
      </c>
      <c r="D179" s="28">
        <v>31780319.34</v>
      </c>
      <c r="E179" s="28">
        <v>453973.2</v>
      </c>
      <c r="F179" s="28">
        <v>3230453.5</v>
      </c>
      <c r="G179" s="10">
        <v>19763.89</v>
      </c>
      <c r="H179" s="12">
        <f t="shared" si="58"/>
        <v>3664662.81</v>
      </c>
      <c r="I179" s="10">
        <v>38833235.630000003</v>
      </c>
      <c r="J179" s="13">
        <f t="shared" si="56"/>
        <v>6.382880413865965E-4</v>
      </c>
      <c r="K179" s="10">
        <v>42543598.340000004</v>
      </c>
      <c r="L179" s="13">
        <f t="shared" si="59"/>
        <v>6.5180268963459329E-4</v>
      </c>
      <c r="M179" s="13">
        <f t="shared" si="60"/>
        <v>9.5546061248978673E-2</v>
      </c>
      <c r="N179" s="19">
        <f t="shared" si="61"/>
        <v>4.6455614407721015E-4</v>
      </c>
      <c r="O179" s="20">
        <f t="shared" si="62"/>
        <v>8.6138995124783319E-2</v>
      </c>
      <c r="P179" s="21">
        <f t="shared" si="63"/>
        <v>2.6985900429110061</v>
      </c>
      <c r="Q179" s="21">
        <f t="shared" si="64"/>
        <v>0.23245383455009999</v>
      </c>
      <c r="R179" s="10">
        <v>1.0798000000000001</v>
      </c>
      <c r="S179" s="10">
        <v>1.0798000000000001</v>
      </c>
      <c r="T179" s="10">
        <v>9</v>
      </c>
      <c r="U179" s="10">
        <v>15784817.890000001</v>
      </c>
      <c r="V179" s="10">
        <v>15765120.92</v>
      </c>
    </row>
    <row r="180" spans="1:22">
      <c r="A180" s="95">
        <v>158</v>
      </c>
      <c r="B180" s="73" t="s">
        <v>176</v>
      </c>
      <c r="C180" s="73" t="s">
        <v>42</v>
      </c>
      <c r="D180" s="28">
        <v>300499070.69</v>
      </c>
      <c r="E180" s="28">
        <v>5371750.8499999996</v>
      </c>
      <c r="F180" s="28">
        <v>105170870.38</v>
      </c>
      <c r="G180" s="10">
        <v>441494.2</v>
      </c>
      <c r="H180" s="12">
        <f t="shared" si="58"/>
        <v>110101127.02999999</v>
      </c>
      <c r="I180" s="10">
        <v>303841107.13999999</v>
      </c>
      <c r="J180" s="13">
        <f t="shared" si="56"/>
        <v>4.9941278912978802E-3</v>
      </c>
      <c r="K180" s="10">
        <v>305530897.08999997</v>
      </c>
      <c r="L180" s="13">
        <f t="shared" si="59"/>
        <v>4.6809829976815287E-3</v>
      </c>
      <c r="M180" s="13">
        <f t="shared" si="60"/>
        <v>5.5614263846839804E-3</v>
      </c>
      <c r="N180" s="19">
        <f t="shared" si="61"/>
        <v>1.4450067217586489E-3</v>
      </c>
      <c r="O180" s="20">
        <f t="shared" si="62"/>
        <v>0.36036004240045022</v>
      </c>
      <c r="P180" s="21">
        <f t="shared" si="63"/>
        <v>3.0674728227228822</v>
      </c>
      <c r="Q180" s="21">
        <f t="shared" si="64"/>
        <v>1.1053946364586467</v>
      </c>
      <c r="R180" s="10">
        <v>3.14</v>
      </c>
      <c r="S180" s="10">
        <v>3.21</v>
      </c>
      <c r="T180" s="10">
        <v>125</v>
      </c>
      <c r="U180" s="10">
        <v>99464132.900000006</v>
      </c>
      <c r="V180" s="10">
        <v>99603456.900000006</v>
      </c>
    </row>
    <row r="181" spans="1:22">
      <c r="A181" s="95">
        <v>159</v>
      </c>
      <c r="B181" s="18" t="s">
        <v>177</v>
      </c>
      <c r="C181" s="18" t="s">
        <v>46</v>
      </c>
      <c r="D181" s="28">
        <v>3067300029.1799998</v>
      </c>
      <c r="E181" s="28">
        <v>56051629.200000003</v>
      </c>
      <c r="F181" s="28">
        <v>181079165.09</v>
      </c>
      <c r="G181" s="10">
        <v>6246484.8700000001</v>
      </c>
      <c r="H181" s="12">
        <f t="shared" si="58"/>
        <v>230884309.42000002</v>
      </c>
      <c r="I181" s="10">
        <v>2876886667.6999998</v>
      </c>
      <c r="J181" s="13">
        <f t="shared" si="56"/>
        <v>4.7286359908646249E-2</v>
      </c>
      <c r="K181" s="10">
        <v>3160633734.6999998</v>
      </c>
      <c r="L181" s="13">
        <f t="shared" si="59"/>
        <v>4.842349142080795E-2</v>
      </c>
      <c r="M181" s="13">
        <f t="shared" si="60"/>
        <v>9.8629907874281608E-2</v>
      </c>
      <c r="N181" s="19">
        <f t="shared" si="61"/>
        <v>1.9763393655585666E-3</v>
      </c>
      <c r="O181" s="20">
        <f t="shared" si="62"/>
        <v>7.3050004777575103E-2</v>
      </c>
      <c r="P181" s="21">
        <f t="shared" si="63"/>
        <v>7991.7821878513005</v>
      </c>
      <c r="Q181" s="21">
        <f t="shared" si="64"/>
        <v>583.79972700387714</v>
      </c>
      <c r="R181" s="10">
        <v>7944.44</v>
      </c>
      <c r="S181" s="10">
        <v>8024.23</v>
      </c>
      <c r="T181" s="10">
        <v>2475</v>
      </c>
      <c r="U181" s="10">
        <v>389820.52</v>
      </c>
      <c r="V181" s="10">
        <v>395485.47</v>
      </c>
    </row>
    <row r="182" spans="1:22">
      <c r="A182" s="95">
        <v>160</v>
      </c>
      <c r="B182" s="18" t="s">
        <v>304</v>
      </c>
      <c r="C182" s="18" t="s">
        <v>297</v>
      </c>
      <c r="D182" s="28">
        <v>104722655.06</v>
      </c>
      <c r="E182" s="28">
        <v>6480434.5999999996</v>
      </c>
      <c r="F182" s="28">
        <v>8604712.5299999993</v>
      </c>
      <c r="G182" s="10">
        <v>1120216.8899999999</v>
      </c>
      <c r="H182" s="12">
        <f t="shared" si="58"/>
        <v>13964930.239999998</v>
      </c>
      <c r="I182" s="10">
        <v>0</v>
      </c>
      <c r="J182" s="13">
        <f t="shared" si="56"/>
        <v>0</v>
      </c>
      <c r="K182" s="10">
        <v>119723796.84</v>
      </c>
      <c r="L182" s="13">
        <f t="shared" si="59"/>
        <v>1.8342663958494307E-3</v>
      </c>
      <c r="M182" s="13" t="e">
        <f t="shared" si="60"/>
        <v>#DIV/0!</v>
      </c>
      <c r="N182" s="19">
        <f t="shared" si="61"/>
        <v>9.3566769478340903E-3</v>
      </c>
      <c r="O182" s="20">
        <f t="shared" si="62"/>
        <v>0.11664289480113015</v>
      </c>
      <c r="P182" s="21">
        <f t="shared" si="63"/>
        <v>1272.1438326994776</v>
      </c>
      <c r="Q182" s="21">
        <f t="shared" si="64"/>
        <v>148.38653924947167</v>
      </c>
      <c r="R182" s="10">
        <v>1260.7197000000001</v>
      </c>
      <c r="S182" s="10">
        <v>1279.4880000000001</v>
      </c>
      <c r="T182" s="10">
        <v>9</v>
      </c>
      <c r="U182" s="10">
        <v>94111.84</v>
      </c>
      <c r="V182" s="10">
        <v>94111.84</v>
      </c>
    </row>
    <row r="183" spans="1:22">
      <c r="A183" s="95">
        <v>161</v>
      </c>
      <c r="B183" s="75" t="s">
        <v>223</v>
      </c>
      <c r="C183" s="75" t="s">
        <v>224</v>
      </c>
      <c r="D183" s="28">
        <v>776055935.75999999</v>
      </c>
      <c r="E183" s="28">
        <v>112360387.64</v>
      </c>
      <c r="F183" s="28">
        <v>0</v>
      </c>
      <c r="G183" s="10">
        <v>1132079.31</v>
      </c>
      <c r="H183" s="12">
        <f t="shared" si="58"/>
        <v>111228308.33</v>
      </c>
      <c r="I183" s="10">
        <v>764757093.92999995</v>
      </c>
      <c r="J183" s="13">
        <f t="shared" si="56"/>
        <v>1.2570039547360917E-2</v>
      </c>
      <c r="K183" s="10">
        <v>773828007.63</v>
      </c>
      <c r="L183" s="13">
        <f t="shared" si="59"/>
        <v>1.1855677384335999E-2</v>
      </c>
      <c r="M183" s="13">
        <f t="shared" si="60"/>
        <v>1.1861169738727955E-2</v>
      </c>
      <c r="N183" s="19">
        <f t="shared" si="61"/>
        <v>1.462959855210223E-3</v>
      </c>
      <c r="O183" s="20">
        <f t="shared" si="62"/>
        <v>0.14373776502437344</v>
      </c>
      <c r="P183" s="21">
        <f t="shared" si="63"/>
        <v>1.4770711596262369</v>
      </c>
      <c r="Q183" s="21">
        <f t="shared" si="64"/>
        <v>0.21231090726663485</v>
      </c>
      <c r="R183" s="10">
        <v>1.4710000000000001</v>
      </c>
      <c r="S183" s="10">
        <v>1.4710000000000001</v>
      </c>
      <c r="T183" s="10">
        <v>43</v>
      </c>
      <c r="U183" s="10">
        <v>523893519</v>
      </c>
      <c r="V183" s="10">
        <v>523893519</v>
      </c>
    </row>
    <row r="184" spans="1:22">
      <c r="A184" s="95">
        <v>162</v>
      </c>
      <c r="B184" s="18" t="s">
        <v>178</v>
      </c>
      <c r="C184" s="18" t="s">
        <v>50</v>
      </c>
      <c r="D184" s="28">
        <v>1925659913</v>
      </c>
      <c r="E184" s="28">
        <v>18347475</v>
      </c>
      <c r="F184" s="28">
        <v>117185437</v>
      </c>
      <c r="G184" s="10">
        <v>4217474</v>
      </c>
      <c r="H184" s="12">
        <f t="shared" si="58"/>
        <v>131315438</v>
      </c>
      <c r="I184" s="10">
        <v>2496303434.3800001</v>
      </c>
      <c r="J184" s="13">
        <f t="shared" si="56"/>
        <v>4.1030849064921049E-2</v>
      </c>
      <c r="K184" s="10">
        <v>2715503531.96</v>
      </c>
      <c r="L184" s="13">
        <f t="shared" si="59"/>
        <v>4.1603732991706451E-2</v>
      </c>
      <c r="M184" s="13">
        <f t="shared" si="60"/>
        <v>8.7809877020996865E-2</v>
      </c>
      <c r="N184" s="19">
        <f t="shared" si="61"/>
        <v>1.5531093774552765E-3</v>
      </c>
      <c r="O184" s="20">
        <f t="shared" si="62"/>
        <v>4.8357675272555786E-2</v>
      </c>
      <c r="P184" s="21">
        <f t="shared" si="63"/>
        <v>1.9508677410780724</v>
      </c>
      <c r="Q184" s="21">
        <f t="shared" si="64"/>
        <v>9.433942872275787E-2</v>
      </c>
      <c r="R184" s="10">
        <v>1.95</v>
      </c>
      <c r="S184" s="10">
        <v>1.96</v>
      </c>
      <c r="T184" s="10">
        <v>1411</v>
      </c>
      <c r="U184" s="10">
        <v>1114612850</v>
      </c>
      <c r="V184" s="10">
        <v>1391946504</v>
      </c>
    </row>
    <row r="185" spans="1:22">
      <c r="A185" s="95">
        <v>163</v>
      </c>
      <c r="B185" s="86" t="s">
        <v>179</v>
      </c>
      <c r="C185" s="18" t="s">
        <v>89</v>
      </c>
      <c r="D185" s="28">
        <v>9621789779.3099995</v>
      </c>
      <c r="E185" s="28">
        <v>70116552.469999999</v>
      </c>
      <c r="F185" s="28">
        <v>809869044.72000003</v>
      </c>
      <c r="G185" s="10">
        <v>16850859.59</v>
      </c>
      <c r="H185" s="12">
        <f t="shared" si="58"/>
        <v>863134737.60000002</v>
      </c>
      <c r="I185" s="10">
        <v>10380489534.01</v>
      </c>
      <c r="J185" s="13">
        <f t="shared" si="56"/>
        <v>0.17062040352307636</v>
      </c>
      <c r="K185" s="10">
        <v>11243624271.610001</v>
      </c>
      <c r="L185" s="13">
        <f t="shared" si="59"/>
        <v>0.17226151118923413</v>
      </c>
      <c r="M185" s="13">
        <f t="shared" si="60"/>
        <v>8.3149714160597007E-2</v>
      </c>
      <c r="N185" s="19">
        <f t="shared" si="61"/>
        <v>1.49870354815646E-3</v>
      </c>
      <c r="O185" s="20">
        <f t="shared" si="62"/>
        <v>7.676659382681468E-2</v>
      </c>
      <c r="P185" s="21">
        <f t="shared" si="63"/>
        <v>657.83416225957455</v>
      </c>
      <c r="Q185" s="21">
        <f t="shared" si="64"/>
        <v>50.499687939583666</v>
      </c>
      <c r="R185" s="10">
        <v>652.52</v>
      </c>
      <c r="S185" s="10">
        <v>660.56</v>
      </c>
      <c r="T185" s="10">
        <v>35</v>
      </c>
      <c r="U185" s="10">
        <v>17091882.600000001</v>
      </c>
      <c r="V185" s="10">
        <v>17091882.600000001</v>
      </c>
    </row>
    <row r="186" spans="1:22">
      <c r="A186" s="95">
        <v>164</v>
      </c>
      <c r="B186" s="18" t="s">
        <v>180</v>
      </c>
      <c r="C186" s="18" t="s">
        <v>50</v>
      </c>
      <c r="D186" s="28">
        <v>802568906.17999995</v>
      </c>
      <c r="E186" s="28">
        <v>14046403</v>
      </c>
      <c r="F186" s="28">
        <v>70229871.310000002</v>
      </c>
      <c r="G186" s="10">
        <v>2427521</v>
      </c>
      <c r="H186" s="12">
        <f t="shared" si="58"/>
        <v>81848753.310000002</v>
      </c>
      <c r="I186" s="10">
        <v>1428911432.05</v>
      </c>
      <c r="J186" s="13">
        <f t="shared" si="56"/>
        <v>2.3486507484674183E-2</v>
      </c>
      <c r="K186" s="10">
        <v>1561574656</v>
      </c>
      <c r="L186" s="13">
        <f t="shared" si="59"/>
        <v>2.3924599717956407E-2</v>
      </c>
      <c r="M186" s="13">
        <f t="shared" si="60"/>
        <v>9.2842160104824434E-2</v>
      </c>
      <c r="N186" s="19">
        <f t="shared" si="61"/>
        <v>1.5545340664135368E-3</v>
      </c>
      <c r="O186" s="20">
        <f t="shared" si="62"/>
        <v>5.2414242889710423E-2</v>
      </c>
      <c r="P186" s="21">
        <f t="shared" si="63"/>
        <v>1.5118268446871668</v>
      </c>
      <c r="Q186" s="21">
        <f t="shared" si="64"/>
        <v>7.9241259444617684E-2</v>
      </c>
      <c r="R186" s="10">
        <v>1.51</v>
      </c>
      <c r="S186" s="10">
        <v>1.52</v>
      </c>
      <c r="T186" s="10">
        <v>254</v>
      </c>
      <c r="U186" s="10">
        <v>816912515</v>
      </c>
      <c r="V186" s="10">
        <v>1032905760</v>
      </c>
    </row>
    <row r="187" spans="1:22">
      <c r="A187" s="95">
        <v>165</v>
      </c>
      <c r="B187" s="18" t="s">
        <v>181</v>
      </c>
      <c r="C187" s="18" t="s">
        <v>93</v>
      </c>
      <c r="D187" s="28">
        <v>4760471116.75</v>
      </c>
      <c r="E187" s="28">
        <v>23075949.789999999</v>
      </c>
      <c r="F187" s="28">
        <v>521538161.55000001</v>
      </c>
      <c r="G187" s="10">
        <v>10180582.9</v>
      </c>
      <c r="H187" s="12">
        <f t="shared" si="58"/>
        <v>534433528.44000006</v>
      </c>
      <c r="I187" s="10">
        <v>4320395577.1599998</v>
      </c>
      <c r="J187" s="13">
        <f t="shared" si="56"/>
        <v>7.1012800922269428E-2</v>
      </c>
      <c r="K187" s="10">
        <v>4320395577.1599998</v>
      </c>
      <c r="L187" s="13">
        <f t="shared" si="59"/>
        <v>6.6191990507549731E-2</v>
      </c>
      <c r="M187" s="13">
        <f t="shared" si="60"/>
        <v>0</v>
      </c>
      <c r="N187" s="19">
        <f t="shared" si="61"/>
        <v>2.3564006392887242E-3</v>
      </c>
      <c r="O187" s="20">
        <f t="shared" si="62"/>
        <v>0.12370013784508789</v>
      </c>
      <c r="P187" s="21">
        <f t="shared" si="63"/>
        <v>25.507442354469436</v>
      </c>
      <c r="Q187" s="21">
        <f t="shared" si="64"/>
        <v>3.1552741353235025</v>
      </c>
      <c r="R187" s="10">
        <v>28.846900000000002</v>
      </c>
      <c r="S187" s="10">
        <v>29.2334</v>
      </c>
      <c r="T187" s="10">
        <v>6153</v>
      </c>
      <c r="U187" s="10">
        <v>166716570.91</v>
      </c>
      <c r="V187" s="10">
        <v>169377843.41999999</v>
      </c>
    </row>
    <row r="188" spans="1:22" ht="15" customHeight="1">
      <c r="A188" s="110" t="s">
        <v>51</v>
      </c>
      <c r="B188" s="110"/>
      <c r="C188" s="110"/>
      <c r="D188" s="110"/>
      <c r="E188" s="110"/>
      <c r="F188" s="110"/>
      <c r="G188" s="110"/>
      <c r="H188" s="110"/>
      <c r="I188" s="36">
        <f>SUM(I160:I187)</f>
        <v>60839672862.48999</v>
      </c>
      <c r="J188" s="34">
        <f>(I188/$I$229)</f>
        <v>1.0708351999751691E-2</v>
      </c>
      <c r="K188" s="36">
        <f>SUM(K160:K187)</f>
        <v>65270670122.349976</v>
      </c>
      <c r="L188" s="34">
        <f>(K188/$K$229)</f>
        <v>1.1135858793948192E-2</v>
      </c>
      <c r="M188" s="34">
        <f>((K188-I188)/I188)</f>
        <v>7.2830721326772069E-2</v>
      </c>
      <c r="N188" s="19"/>
      <c r="O188" s="19"/>
      <c r="P188" s="35"/>
      <c r="Q188" s="35"/>
      <c r="R188" s="36"/>
      <c r="S188" s="36"/>
      <c r="T188" s="36">
        <f>SUM(T160:T187)</f>
        <v>68625</v>
      </c>
      <c r="U188" s="36"/>
      <c r="V188" s="39"/>
    </row>
    <row r="189" spans="1:22" ht="6" customHeight="1">
      <c r="A189" s="117"/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</row>
    <row r="190" spans="1:22">
      <c r="A190" s="113" t="s">
        <v>182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</row>
    <row r="191" spans="1:22">
      <c r="A191" s="95">
        <v>166</v>
      </c>
      <c r="B191" s="73" t="s">
        <v>183</v>
      </c>
      <c r="C191" s="18" t="s">
        <v>46</v>
      </c>
      <c r="D191" s="10">
        <v>5456385853.5299997</v>
      </c>
      <c r="E191" s="10">
        <v>43190977.149999999</v>
      </c>
      <c r="F191" s="24">
        <v>543569236.61000001</v>
      </c>
      <c r="G191" s="10">
        <v>15163202.779999999</v>
      </c>
      <c r="H191" s="12">
        <f>(E191+F191)-G191</f>
        <v>571597010.98000002</v>
      </c>
      <c r="I191" s="10">
        <v>4858786188.2799997</v>
      </c>
      <c r="J191" s="13">
        <f>(I191/$I$193)</f>
        <v>0.80878592361561574</v>
      </c>
      <c r="K191" s="10">
        <v>5464406136.1000004</v>
      </c>
      <c r="L191" s="13">
        <f>(K191/$K$193)</f>
        <v>0.80976580870429105</v>
      </c>
      <c r="M191" s="13">
        <f>((K191-I191)/I191)</f>
        <v>0.12464428858401544</v>
      </c>
      <c r="N191" s="19">
        <f>(G191/K191)</f>
        <v>2.7749040613628552E-3</v>
      </c>
      <c r="O191" s="20">
        <f>H191/K191</f>
        <v>0.10460368368372311</v>
      </c>
      <c r="P191" s="21">
        <f>K191/V191</f>
        <v>3.8192655509328701</v>
      </c>
      <c r="Q191" s="21">
        <f>H191/V191</f>
        <v>0.39950924559392237</v>
      </c>
      <c r="R191" s="10">
        <v>3.79</v>
      </c>
      <c r="S191" s="10">
        <v>3.84</v>
      </c>
      <c r="T191" s="10">
        <v>10551</v>
      </c>
      <c r="U191" s="10">
        <v>1423704356.54</v>
      </c>
      <c r="V191" s="10">
        <v>1430747892.03</v>
      </c>
    </row>
    <row r="192" spans="1:22">
      <c r="A192" s="95">
        <v>167</v>
      </c>
      <c r="B192" s="73" t="s">
        <v>184</v>
      </c>
      <c r="C192" s="18" t="s">
        <v>93</v>
      </c>
      <c r="D192" s="10">
        <v>1278592131.52</v>
      </c>
      <c r="E192" s="10">
        <v>7609641.2400000002</v>
      </c>
      <c r="F192" s="10">
        <v>116173528.3</v>
      </c>
      <c r="G192" s="10">
        <v>6409834.7199999997</v>
      </c>
      <c r="H192" s="12">
        <f>(E192+F192)-G192</f>
        <v>117373334.81999999</v>
      </c>
      <c r="I192" s="10">
        <v>1148719687.3900001</v>
      </c>
      <c r="J192" s="13">
        <f>(I192/$I$193)</f>
        <v>0.19121407638438417</v>
      </c>
      <c r="K192" s="10">
        <v>1283725332.73</v>
      </c>
      <c r="L192" s="13">
        <f>(K192/$K$193)</f>
        <v>0.19023419129570901</v>
      </c>
      <c r="M192" s="13">
        <f>((K192-I192)/I192)</f>
        <v>0.11752705801251263</v>
      </c>
      <c r="N192" s="19">
        <f>(G192/K192)</f>
        <v>4.9931512268038651E-3</v>
      </c>
      <c r="O192" s="20">
        <f>H192/K192</f>
        <v>9.1431813198226089E-2</v>
      </c>
      <c r="P192" s="21">
        <f>K192/V192</f>
        <v>36.075835538504066</v>
      </c>
      <c r="Q192" s="21">
        <f>H192/V192</f>
        <v>3.2984790559264301</v>
      </c>
      <c r="R192" s="10">
        <v>35.939700000000002</v>
      </c>
      <c r="S192" s="10">
        <v>36.335999999999999</v>
      </c>
      <c r="T192" s="10">
        <v>1490</v>
      </c>
      <c r="U192" s="10">
        <v>35458562.43</v>
      </c>
      <c r="V192" s="10">
        <v>35584077.640000001</v>
      </c>
    </row>
    <row r="193" spans="1:22" ht="15" customHeight="1">
      <c r="A193" s="110" t="s">
        <v>51</v>
      </c>
      <c r="B193" s="110"/>
      <c r="C193" s="110"/>
      <c r="D193" s="110"/>
      <c r="E193" s="110"/>
      <c r="F193" s="110"/>
      <c r="G193" s="110"/>
      <c r="H193" s="110"/>
      <c r="I193" s="36">
        <f>SUM(I191:I192)</f>
        <v>6007505875.6700001</v>
      </c>
      <c r="J193" s="34">
        <f>(I193/$I$229)</f>
        <v>1.0573772758879036E-3</v>
      </c>
      <c r="K193" s="36">
        <f>SUM(K191:K192)</f>
        <v>6748131468.8299999</v>
      </c>
      <c r="L193" s="34">
        <f>(K193/$K$229)</f>
        <v>1.1513017871430972E-3</v>
      </c>
      <c r="M193" s="34">
        <f>((K193-I193)/I193)</f>
        <v>0.1232833739138707</v>
      </c>
      <c r="N193" s="19"/>
      <c r="O193" s="40"/>
      <c r="P193" s="35"/>
      <c r="Q193" s="35"/>
      <c r="R193" s="36"/>
      <c r="S193" s="36"/>
      <c r="T193" s="36">
        <f>SUM(T191:T192)</f>
        <v>12041</v>
      </c>
      <c r="U193" s="36"/>
      <c r="V193" s="39"/>
    </row>
    <row r="194" spans="1:22" ht="8.1" customHeight="1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</row>
    <row r="195" spans="1:22">
      <c r="A195" s="113" t="s">
        <v>185</v>
      </c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</row>
    <row r="196" spans="1:22" ht="12.9" customHeight="1">
      <c r="A196" s="158" t="s">
        <v>186</v>
      </c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</row>
    <row r="197" spans="1:22" ht="15" customHeight="1">
      <c r="A197" s="95">
        <v>168</v>
      </c>
      <c r="B197" s="73" t="s">
        <v>187</v>
      </c>
      <c r="C197" s="18" t="s">
        <v>117</v>
      </c>
      <c r="D197" s="156">
        <v>4699145954.1800003</v>
      </c>
      <c r="E197" s="28">
        <v>47848118.710000001</v>
      </c>
      <c r="F197" s="28">
        <v>191744219.58000001</v>
      </c>
      <c r="G197" s="16">
        <v>24874485.870000001</v>
      </c>
      <c r="H197" s="12">
        <f>(E197+F197)-G197</f>
        <v>214717852.42000002</v>
      </c>
      <c r="I197" s="28">
        <v>5812887880.2299995</v>
      </c>
      <c r="J197" s="13">
        <f>(I197/$I$219)</f>
        <v>0.10181957348110911</v>
      </c>
      <c r="K197" s="28">
        <v>6193162632.0600004</v>
      </c>
      <c r="L197" s="13">
        <f>(K197/$K$219)</f>
        <v>0.10486035528442518</v>
      </c>
      <c r="M197" s="13">
        <f>((K197-I197)/I197)</f>
        <v>6.5419247655427767E-2</v>
      </c>
      <c r="N197" s="19">
        <f>(G197/K197)</f>
        <v>4.0164431886921285E-3</v>
      </c>
      <c r="O197" s="20">
        <f>H197/K197</f>
        <v>3.4670145962012226E-2</v>
      </c>
      <c r="P197" s="21">
        <f>K197/V197</f>
        <v>2.6242747670717934</v>
      </c>
      <c r="Q197" s="21">
        <f>H197/V197</f>
        <v>9.0983989218804712E-2</v>
      </c>
      <c r="R197" s="28">
        <v>2.6</v>
      </c>
      <c r="S197" s="28">
        <v>2.65</v>
      </c>
      <c r="T197" s="28">
        <v>15035</v>
      </c>
      <c r="U197" s="10">
        <v>2308352789.5999999</v>
      </c>
      <c r="V197" s="10">
        <v>2359952056</v>
      </c>
    </row>
    <row r="198" spans="1:22">
      <c r="A198" s="95">
        <v>169</v>
      </c>
      <c r="B198" s="18" t="s">
        <v>188</v>
      </c>
      <c r="C198" s="18" t="s">
        <v>46</v>
      </c>
      <c r="D198" s="16">
        <v>1422670587.3399999</v>
      </c>
      <c r="E198" s="16">
        <v>4175736.54</v>
      </c>
      <c r="F198" s="16">
        <v>118019595.15000001</v>
      </c>
      <c r="G198" s="16">
        <v>3929636.13</v>
      </c>
      <c r="H198" s="12">
        <f>(E198+F198)-G198</f>
        <v>118265695.56000002</v>
      </c>
      <c r="I198" s="16">
        <v>1108465627.8800001</v>
      </c>
      <c r="J198" s="13">
        <f>(I198/$I$219)</f>
        <v>1.9416080229771392E-2</v>
      </c>
      <c r="K198" s="16">
        <v>1486567035.3499999</v>
      </c>
      <c r="L198" s="13">
        <f>(K198/$K$219)</f>
        <v>2.5170007109770572E-2</v>
      </c>
      <c r="M198" s="13">
        <f>((K198-I198)/I198)</f>
        <v>0.3411034117432572</v>
      </c>
      <c r="N198" s="19">
        <f>(G198/K198)</f>
        <v>2.6434301558925658E-3</v>
      </c>
      <c r="O198" s="20">
        <f>H198/K198</f>
        <v>7.9556247883672021E-2</v>
      </c>
      <c r="P198" s="21">
        <f>K198/V198</f>
        <v>703.48709778607997</v>
      </c>
      <c r="Q198" s="21">
        <f>H198/V198</f>
        <v>55.966793934434392</v>
      </c>
      <c r="R198" s="16">
        <v>698.5</v>
      </c>
      <c r="S198" s="16">
        <v>706.9</v>
      </c>
      <c r="T198" s="16">
        <v>1116</v>
      </c>
      <c r="U198" s="16">
        <v>1741910.35</v>
      </c>
      <c r="V198" s="16">
        <v>2113140.44</v>
      </c>
    </row>
    <row r="199" spans="1:22" ht="6.9" customHeight="1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</row>
    <row r="200" spans="1:22">
      <c r="A200" s="159" t="s">
        <v>144</v>
      </c>
      <c r="B200" s="159"/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</row>
    <row r="201" spans="1:22">
      <c r="A201" s="77">
        <v>170</v>
      </c>
      <c r="B201" s="78" t="s">
        <v>270</v>
      </c>
      <c r="C201" s="79" t="s">
        <v>58</v>
      </c>
      <c r="D201" s="55">
        <v>670696737.29999995</v>
      </c>
      <c r="E201" s="55">
        <v>16548090.380000001</v>
      </c>
      <c r="F201" s="10">
        <v>0</v>
      </c>
      <c r="G201" s="55">
        <v>2484895.8199999998</v>
      </c>
      <c r="H201" s="55">
        <f>(E201+F201)-G201</f>
        <v>14063194.560000001</v>
      </c>
      <c r="I201" s="55">
        <v>1297475706</v>
      </c>
      <c r="J201" s="13">
        <f t="shared" ref="J201:J213" si="65">(I201/$I$219)</f>
        <v>2.2726814228832805E-2</v>
      </c>
      <c r="K201" s="55">
        <v>1263878049</v>
      </c>
      <c r="L201" s="13">
        <f t="shared" ref="L201:L213" si="66">(K201/$K$219)</f>
        <v>2.1399518974079181E-2</v>
      </c>
      <c r="M201" s="13">
        <f>((K201-I201)/I201)</f>
        <v>-2.5894632820200179E-2</v>
      </c>
      <c r="N201" s="19">
        <f>(G201/K201)</f>
        <v>1.9660882804049713E-3</v>
      </c>
      <c r="O201" s="20">
        <f>H201/K201</f>
        <v>1.1127018600510562E-2</v>
      </c>
      <c r="P201" s="21">
        <f>K201/V201</f>
        <v>1.0872262657431413</v>
      </c>
      <c r="Q201" s="21">
        <f>H201/V201</f>
        <v>1.2097586881887574E-2</v>
      </c>
      <c r="R201" s="55">
        <v>1.0871999999999999</v>
      </c>
      <c r="S201" s="55">
        <v>1.0871999999999999</v>
      </c>
      <c r="T201" s="55">
        <v>628</v>
      </c>
      <c r="U201" s="55">
        <v>1206493862</v>
      </c>
      <c r="V201" s="55">
        <v>1162479319</v>
      </c>
    </row>
    <row r="202" spans="1:22">
      <c r="A202" s="77">
        <v>171</v>
      </c>
      <c r="B202" s="78" t="s">
        <v>189</v>
      </c>
      <c r="C202" s="79" t="s">
        <v>190</v>
      </c>
      <c r="D202" s="55">
        <v>290630583.10100001</v>
      </c>
      <c r="E202" s="55">
        <v>2091307.2830000001</v>
      </c>
      <c r="F202" s="10">
        <v>0</v>
      </c>
      <c r="G202" s="55">
        <v>708822.08600000001</v>
      </c>
      <c r="H202" s="55">
        <f>(E202+F202)-G202</f>
        <v>1382485.1970000002</v>
      </c>
      <c r="I202" s="55">
        <v>349345974.72144568</v>
      </c>
      <c r="J202" s="13">
        <f t="shared" si="65"/>
        <v>6.1192059568973677E-3</v>
      </c>
      <c r="K202" s="55">
        <v>350728459.91799998</v>
      </c>
      <c r="L202" s="13">
        <f t="shared" ref="L202:L213" si="67">(K202/$K$219)</f>
        <v>5.9384054804205322E-3</v>
      </c>
      <c r="M202" s="13">
        <f t="shared" ref="M202:M213" si="68">((K202-I202)/I202)</f>
        <v>3.9573525862338643E-3</v>
      </c>
      <c r="N202" s="19">
        <f t="shared" ref="N202:N213" si="69">(G202/K202)</f>
        <v>2.0209996250823842E-3</v>
      </c>
      <c r="O202" s="20">
        <f t="shared" ref="O202:O213" si="70">H202/K202</f>
        <v>3.9417536783961701E-3</v>
      </c>
      <c r="P202" s="21">
        <f t="shared" ref="P202:P213" si="71">K202/V202</f>
        <v>1071.8527970809632</v>
      </c>
      <c r="Q202" s="21">
        <f t="shared" ref="Q202:Q213" si="72">H202/V202</f>
        <v>4.2249797055931104</v>
      </c>
      <c r="R202" s="55">
        <v>1071.8530000000001</v>
      </c>
      <c r="S202" s="55">
        <v>1071.8530000000001</v>
      </c>
      <c r="T202" s="55">
        <v>21</v>
      </c>
      <c r="U202" s="55">
        <v>327217.00300000003</v>
      </c>
      <c r="V202" s="55">
        <v>327217.00300000003</v>
      </c>
    </row>
    <row r="203" spans="1:22" ht="15" customHeight="1">
      <c r="A203" s="77">
        <v>172</v>
      </c>
      <c r="B203" s="78" t="s">
        <v>191</v>
      </c>
      <c r="C203" s="79" t="s">
        <v>62</v>
      </c>
      <c r="D203" s="55">
        <v>82733170.890000001</v>
      </c>
      <c r="E203" s="55">
        <v>2698273.16</v>
      </c>
      <c r="F203" s="10">
        <v>0</v>
      </c>
      <c r="G203" s="55">
        <v>465035.49</v>
      </c>
      <c r="H203" s="55">
        <f t="shared" ref="H203:H212" si="73">(E203+F203)-G203</f>
        <v>2233237.67</v>
      </c>
      <c r="I203" s="55">
        <v>210874455.80000001</v>
      </c>
      <c r="J203" s="13">
        <f t="shared" si="65"/>
        <v>3.6937143103416342E-3</v>
      </c>
      <c r="K203" s="55">
        <v>341221354.68000001</v>
      </c>
      <c r="L203" s="13">
        <f t="shared" si="67"/>
        <v>5.7774346659577609E-3</v>
      </c>
      <c r="M203" s="13">
        <f t="shared" si="68"/>
        <v>0.61812559698375746</v>
      </c>
      <c r="N203" s="19">
        <f t="shared" si="69"/>
        <v>1.3628557639251912E-3</v>
      </c>
      <c r="O203" s="20">
        <f t="shared" si="70"/>
        <v>6.5448356012018866E-3</v>
      </c>
      <c r="P203" s="21">
        <f t="shared" si="71"/>
        <v>118.24220832959374</v>
      </c>
      <c r="Q203" s="21">
        <f t="shared" si="72"/>
        <v>0.77387581464025534</v>
      </c>
      <c r="R203" s="55">
        <v>118.17</v>
      </c>
      <c r="S203" s="55">
        <v>118.17</v>
      </c>
      <c r="T203" s="55">
        <v>70</v>
      </c>
      <c r="U203" s="55">
        <v>1797096</v>
      </c>
      <c r="V203" s="55">
        <v>2885783</v>
      </c>
    </row>
    <row r="204" spans="1:22" ht="15" customHeight="1">
      <c r="A204" s="77">
        <v>173</v>
      </c>
      <c r="B204" s="78" t="s">
        <v>192</v>
      </c>
      <c r="C204" s="79" t="s">
        <v>167</v>
      </c>
      <c r="D204" s="55">
        <v>43321609.030000001</v>
      </c>
      <c r="E204" s="55">
        <v>688904.96</v>
      </c>
      <c r="F204" s="10">
        <v>0</v>
      </c>
      <c r="G204" s="55">
        <v>134814.37</v>
      </c>
      <c r="H204" s="55">
        <f t="shared" si="73"/>
        <v>554090.59</v>
      </c>
      <c r="I204" s="55">
        <v>62058774.5</v>
      </c>
      <c r="J204" s="13">
        <f t="shared" si="65"/>
        <v>1.0870324837747108E-3</v>
      </c>
      <c r="K204" s="55">
        <v>63675017.950000003</v>
      </c>
      <c r="L204" s="13">
        <f t="shared" si="67"/>
        <v>1.0781220196631942E-3</v>
      </c>
      <c r="M204" s="13">
        <f t="shared" si="68"/>
        <v>2.6043753893335471E-2</v>
      </c>
      <c r="N204" s="19">
        <f t="shared" si="69"/>
        <v>2.1172254730396976E-3</v>
      </c>
      <c r="O204" s="20">
        <f t="shared" si="70"/>
        <v>8.7018521209541316E-3</v>
      </c>
      <c r="P204" s="21">
        <f t="shared" si="71"/>
        <v>98.485661311502298</v>
      </c>
      <c r="Q204" s="21">
        <f t="shared" si="72"/>
        <v>0.85700766076706658</v>
      </c>
      <c r="R204" s="55">
        <v>101.29</v>
      </c>
      <c r="S204" s="55">
        <v>101.29</v>
      </c>
      <c r="T204" s="55">
        <v>20</v>
      </c>
      <c r="U204" s="55">
        <v>619580</v>
      </c>
      <c r="V204" s="55">
        <v>646541</v>
      </c>
    </row>
    <row r="205" spans="1:22" ht="15" customHeight="1">
      <c r="A205" s="77">
        <v>174</v>
      </c>
      <c r="B205" s="18" t="s">
        <v>257</v>
      </c>
      <c r="C205" s="73" t="s">
        <v>68</v>
      </c>
      <c r="D205" s="15">
        <v>157693258.12</v>
      </c>
      <c r="E205" s="28">
        <v>2156475.08</v>
      </c>
      <c r="F205" s="28">
        <v>0</v>
      </c>
      <c r="G205" s="10">
        <v>325032.61</v>
      </c>
      <c r="H205" s="12">
        <f t="shared" si="73"/>
        <v>1831442.4700000002</v>
      </c>
      <c r="I205" s="16">
        <v>155990970.30000001</v>
      </c>
      <c r="J205" s="13">
        <f t="shared" si="65"/>
        <v>2.73236545932173E-3</v>
      </c>
      <c r="K205" s="16">
        <v>156464206.59</v>
      </c>
      <c r="L205" s="13">
        <f t="shared" si="67"/>
        <v>2.649194485445921E-3</v>
      </c>
      <c r="M205" s="13">
        <f t="shared" si="68"/>
        <v>3.0337415626678207E-3</v>
      </c>
      <c r="N205" s="19">
        <f t="shared" si="69"/>
        <v>2.0773608040062347E-3</v>
      </c>
      <c r="O205" s="20">
        <f t="shared" si="70"/>
        <v>1.1705184910432109E-2</v>
      </c>
      <c r="P205" s="21">
        <f t="shared" si="71"/>
        <v>1.1052591876881723</v>
      </c>
      <c r="Q205" s="21">
        <f t="shared" si="72"/>
        <v>1.2937263165844044E-2</v>
      </c>
      <c r="R205" s="10">
        <v>1.1152</v>
      </c>
      <c r="S205" s="10">
        <v>1.1152</v>
      </c>
      <c r="T205" s="10">
        <v>41</v>
      </c>
      <c r="U205" s="10">
        <v>142947729.03999999</v>
      </c>
      <c r="V205" s="10">
        <v>141563362.09</v>
      </c>
    </row>
    <row r="206" spans="1:22" ht="15" customHeight="1">
      <c r="A206" s="77">
        <v>175</v>
      </c>
      <c r="B206" s="79" t="s">
        <v>193</v>
      </c>
      <c r="C206" s="79" t="s">
        <v>72</v>
      </c>
      <c r="D206" s="55">
        <v>5423621463.0900002</v>
      </c>
      <c r="E206" s="55">
        <v>67994127.049999997</v>
      </c>
      <c r="F206" s="10">
        <v>0</v>
      </c>
      <c r="G206" s="55">
        <v>8680073.8499999996</v>
      </c>
      <c r="H206" s="55">
        <f t="shared" si="73"/>
        <v>59314053.199999996</v>
      </c>
      <c r="I206" s="55">
        <v>5423674222.29</v>
      </c>
      <c r="J206" s="13">
        <f t="shared" si="65"/>
        <v>9.5002038125016022E-2</v>
      </c>
      <c r="K206" s="55">
        <v>5293930098.29</v>
      </c>
      <c r="L206" s="13">
        <f t="shared" si="67"/>
        <v>8.9634880260354696E-2</v>
      </c>
      <c r="M206" s="13">
        <f t="shared" si="68"/>
        <v>-2.3921813641900314E-2</v>
      </c>
      <c r="N206" s="19">
        <f t="shared" si="69"/>
        <v>1.6396275902478884E-3</v>
      </c>
      <c r="O206" s="20">
        <f t="shared" si="70"/>
        <v>1.1204162521745257E-2</v>
      </c>
      <c r="P206" s="21">
        <f t="shared" si="71"/>
        <v>154.67614446854998</v>
      </c>
      <c r="Q206" s="21">
        <f t="shared" si="72"/>
        <v>1.7330166608625823</v>
      </c>
      <c r="R206" s="55">
        <v>154.66999999999999</v>
      </c>
      <c r="S206" s="55">
        <v>154.66999999999999</v>
      </c>
      <c r="T206" s="55">
        <v>704</v>
      </c>
      <c r="U206" s="55">
        <v>35463897</v>
      </c>
      <c r="V206" s="55">
        <v>34225899</v>
      </c>
    </row>
    <row r="207" spans="1:22" ht="15" customHeight="1">
      <c r="A207" s="77">
        <v>176</v>
      </c>
      <c r="B207" s="79" t="s">
        <v>219</v>
      </c>
      <c r="C207" s="79" t="s">
        <v>60</v>
      </c>
      <c r="D207" s="55">
        <v>811158183.29999995</v>
      </c>
      <c r="E207" s="55">
        <v>8600907.5399999991</v>
      </c>
      <c r="F207" s="10">
        <v>0</v>
      </c>
      <c r="G207" s="55">
        <v>1730805.02</v>
      </c>
      <c r="H207" s="55">
        <f t="shared" si="73"/>
        <v>6870102.5199999996</v>
      </c>
      <c r="I207" s="55">
        <v>780052600.51999998</v>
      </c>
      <c r="J207" s="13">
        <f t="shared" si="65"/>
        <v>1.3663539485752782E-2</v>
      </c>
      <c r="K207" s="55">
        <v>807478109.04999995</v>
      </c>
      <c r="L207" s="13">
        <f t="shared" si="67"/>
        <v>1.3671922800970375E-2</v>
      </c>
      <c r="M207" s="13">
        <f t="shared" si="68"/>
        <v>3.5158537400833655E-2</v>
      </c>
      <c r="N207" s="19">
        <f t="shared" si="69"/>
        <v>2.1434698979471982E-3</v>
      </c>
      <c r="O207" s="20">
        <f t="shared" si="70"/>
        <v>8.5080975484062259E-3</v>
      </c>
      <c r="P207" s="21">
        <f t="shared" si="71"/>
        <v>1263.894820955484</v>
      </c>
      <c r="Q207" s="21">
        <f t="shared" si="72"/>
        <v>10.753340427614678</v>
      </c>
      <c r="R207" s="55">
        <v>1263.8900000000001</v>
      </c>
      <c r="S207" s="55">
        <v>1263.8900000000001</v>
      </c>
      <c r="T207" s="55">
        <v>212</v>
      </c>
      <c r="U207" s="55">
        <v>622846.12</v>
      </c>
      <c r="V207" s="55">
        <v>638880.78</v>
      </c>
    </row>
    <row r="208" spans="1:22" ht="15" customHeight="1">
      <c r="A208" s="77">
        <v>177</v>
      </c>
      <c r="B208" s="78" t="s">
        <v>116</v>
      </c>
      <c r="C208" s="79" t="s">
        <v>117</v>
      </c>
      <c r="D208" s="55">
        <v>18358061125.470001</v>
      </c>
      <c r="E208" s="55">
        <v>379710834.26999998</v>
      </c>
      <c r="F208" s="10">
        <v>0</v>
      </c>
      <c r="G208" s="55">
        <v>47066540.530000001</v>
      </c>
      <c r="H208" s="55">
        <f t="shared" si="73"/>
        <v>332644293.74000001</v>
      </c>
      <c r="I208" s="55">
        <v>29548852299.290001</v>
      </c>
      <c r="J208" s="13">
        <f t="shared" si="65"/>
        <v>0.51758292951126972</v>
      </c>
      <c r="K208" s="55">
        <v>31118374412.889999</v>
      </c>
      <c r="L208" s="13">
        <f t="shared" si="67"/>
        <v>0.52688488752378004</v>
      </c>
      <c r="M208" s="13">
        <f t="shared" si="68"/>
        <v>5.3116178513563143E-2</v>
      </c>
      <c r="N208" s="19">
        <f t="shared" si="69"/>
        <v>1.5124999752719691E-3</v>
      </c>
      <c r="O208" s="20">
        <f t="shared" si="70"/>
        <v>1.0689642374191967E-2</v>
      </c>
      <c r="P208" s="21">
        <f t="shared" si="71"/>
        <v>1274.4841074110568</v>
      </c>
      <c r="Q208" s="21">
        <f t="shared" si="72"/>
        <v>13.62377931981546</v>
      </c>
      <c r="R208" s="55">
        <v>1274.48</v>
      </c>
      <c r="S208" s="55">
        <v>1274.48</v>
      </c>
      <c r="T208" s="55">
        <v>10215</v>
      </c>
      <c r="U208" s="55">
        <v>23435955.699999999</v>
      </c>
      <c r="V208" s="55">
        <v>24416447.59</v>
      </c>
    </row>
    <row r="209" spans="1:22" ht="15" customHeight="1">
      <c r="A209" s="77">
        <v>178</v>
      </c>
      <c r="B209" s="88" t="s">
        <v>216</v>
      </c>
      <c r="C209" s="88" t="s">
        <v>217</v>
      </c>
      <c r="D209" s="55">
        <v>497263050.06</v>
      </c>
      <c r="E209" s="55">
        <v>0</v>
      </c>
      <c r="F209" s="10">
        <v>23572725.739999998</v>
      </c>
      <c r="G209" s="55">
        <v>822091.38</v>
      </c>
      <c r="H209" s="55">
        <v>10833182.789999999</v>
      </c>
      <c r="I209" s="55">
        <v>505903746.35000002</v>
      </c>
      <c r="J209" s="13">
        <f t="shared" si="65"/>
        <v>8.8614996086616542E-3</v>
      </c>
      <c r="K209" s="55">
        <v>502370716.56</v>
      </c>
      <c r="L209" s="13">
        <f t="shared" si="67"/>
        <v>8.5059564801789455E-3</v>
      </c>
      <c r="M209" s="13">
        <f t="shared" si="68"/>
        <v>-6.9836007649482024E-3</v>
      </c>
      <c r="N209" s="19">
        <f t="shared" si="69"/>
        <v>1.636423766156789E-3</v>
      </c>
      <c r="O209" s="20">
        <f t="shared" si="70"/>
        <v>2.156412074370213E-2</v>
      </c>
      <c r="P209" s="21">
        <f t="shared" si="71"/>
        <v>127.02317507810326</v>
      </c>
      <c r="Q209" s="21">
        <f t="shared" si="72"/>
        <v>2.7391430846326341</v>
      </c>
      <c r="R209" s="55">
        <v>126.33</v>
      </c>
      <c r="S209" s="55">
        <v>127.38</v>
      </c>
      <c r="T209" s="55">
        <v>147</v>
      </c>
      <c r="U209" s="55">
        <v>3954930.41</v>
      </c>
      <c r="V209" s="55">
        <v>3954953.23</v>
      </c>
    </row>
    <row r="210" spans="1:22" ht="15" customHeight="1">
      <c r="A210" s="77">
        <v>179</v>
      </c>
      <c r="B210" s="88" t="s">
        <v>218</v>
      </c>
      <c r="C210" s="88" t="s">
        <v>217</v>
      </c>
      <c r="D210" s="55">
        <v>200570555.19999999</v>
      </c>
      <c r="E210" s="55">
        <v>6249997.6699999999</v>
      </c>
      <c r="F210" s="10">
        <v>13571332.369999999</v>
      </c>
      <c r="G210" s="55">
        <v>398465.63</v>
      </c>
      <c r="H210" s="55">
        <f t="shared" si="73"/>
        <v>19422864.41</v>
      </c>
      <c r="I210" s="55">
        <v>233240247.94</v>
      </c>
      <c r="J210" s="13">
        <f t="shared" si="65"/>
        <v>4.085477486095823E-3</v>
      </c>
      <c r="K210" s="55">
        <v>237633415.75</v>
      </c>
      <c r="L210" s="13">
        <f t="shared" si="67"/>
        <v>4.0235217260406516E-3</v>
      </c>
      <c r="M210" s="13">
        <f t="shared" si="68"/>
        <v>1.8835376178857968E-2</v>
      </c>
      <c r="N210" s="19">
        <f t="shared" si="69"/>
        <v>1.6768080732349614E-3</v>
      </c>
      <c r="O210" s="20">
        <f t="shared" si="70"/>
        <v>8.1734567290122365E-2</v>
      </c>
      <c r="P210" s="21">
        <f t="shared" si="71"/>
        <v>124.19125910132905</v>
      </c>
      <c r="Q210" s="21">
        <f t="shared" si="72"/>
        <v>10.150718823862602</v>
      </c>
      <c r="R210" s="55">
        <v>124.19</v>
      </c>
      <c r="S210" s="55">
        <v>124.19</v>
      </c>
      <c r="T210" s="55">
        <v>87</v>
      </c>
      <c r="U210" s="55">
        <v>1908086.65</v>
      </c>
      <c r="V210" s="55">
        <v>1913447.19</v>
      </c>
    </row>
    <row r="211" spans="1:22" ht="16.2" customHeight="1">
      <c r="A211" s="77">
        <v>180</v>
      </c>
      <c r="B211" s="79" t="s">
        <v>194</v>
      </c>
      <c r="C211" s="79" t="s">
        <v>142</v>
      </c>
      <c r="D211" s="55">
        <v>1201767218.3900001</v>
      </c>
      <c r="E211" s="55">
        <v>22464773.640000001</v>
      </c>
      <c r="F211" s="10">
        <v>0</v>
      </c>
      <c r="G211" s="55">
        <v>2629892.09</v>
      </c>
      <c r="H211" s="55">
        <v>2833739.98</v>
      </c>
      <c r="I211" s="55">
        <v>1442274326</v>
      </c>
      <c r="J211" s="13">
        <f t="shared" si="65"/>
        <v>2.5263132498310567E-2</v>
      </c>
      <c r="K211" s="55">
        <v>1610663066</v>
      </c>
      <c r="L211" s="13">
        <f t="shared" si="67"/>
        <v>2.7271155527217757E-2</v>
      </c>
      <c r="M211" s="13">
        <f t="shared" si="68"/>
        <v>0.11675222734291396</v>
      </c>
      <c r="N211" s="19">
        <f t="shared" si="69"/>
        <v>1.6328008914559663E-3</v>
      </c>
      <c r="O211" s="20">
        <f t="shared" si="70"/>
        <v>1.7593623643692591E-3</v>
      </c>
      <c r="P211" s="21">
        <f t="shared" si="71"/>
        <v>106.97070674145424</v>
      </c>
      <c r="Q211" s="21">
        <f t="shared" si="72"/>
        <v>0.18820023553089557</v>
      </c>
      <c r="R211" s="55">
        <v>106.97</v>
      </c>
      <c r="S211" s="55">
        <v>106.97</v>
      </c>
      <c r="T211" s="55">
        <v>632</v>
      </c>
      <c r="U211" s="55">
        <v>14394443</v>
      </c>
      <c r="V211" s="55">
        <v>15057048</v>
      </c>
    </row>
    <row r="212" spans="1:22">
      <c r="A212" s="77">
        <v>181</v>
      </c>
      <c r="B212" s="78" t="s">
        <v>195</v>
      </c>
      <c r="C212" s="78" t="s">
        <v>46</v>
      </c>
      <c r="D212" s="55">
        <v>5509401931.7200003</v>
      </c>
      <c r="E212" s="55">
        <v>55834727.259999998</v>
      </c>
      <c r="F212" s="10">
        <v>0</v>
      </c>
      <c r="G212" s="55">
        <v>9550632.5</v>
      </c>
      <c r="H212" s="55">
        <f t="shared" si="73"/>
        <v>46284094.759999998</v>
      </c>
      <c r="I212" s="55">
        <v>5971017162.5900002</v>
      </c>
      <c r="J212" s="13">
        <f t="shared" si="65"/>
        <v>0.10458939399313524</v>
      </c>
      <c r="K212" s="55">
        <v>5499420893.0200005</v>
      </c>
      <c r="L212" s="13">
        <f t="shared" si="67"/>
        <v>9.3114174931468383E-2</v>
      </c>
      <c r="M212" s="13">
        <f t="shared" si="68"/>
        <v>-7.898089332663033E-2</v>
      </c>
      <c r="N212" s="19">
        <f t="shared" si="69"/>
        <v>1.7366614932350234E-3</v>
      </c>
      <c r="O212" s="20">
        <f t="shared" si="70"/>
        <v>8.4161761138786279E-3</v>
      </c>
      <c r="P212" s="21">
        <f t="shared" si="71"/>
        <v>137.39294180907373</v>
      </c>
      <c r="Q212" s="21">
        <f t="shared" si="72"/>
        <v>1.1563231950690427</v>
      </c>
      <c r="R212" s="55">
        <v>137.38999999999999</v>
      </c>
      <c r="S212" s="55">
        <v>137.38999999999999</v>
      </c>
      <c r="T212" s="55">
        <v>1353</v>
      </c>
      <c r="U212" s="55">
        <v>43805707.560000002</v>
      </c>
      <c r="V212" s="55">
        <v>40026953.5</v>
      </c>
    </row>
    <row r="213" spans="1:22" ht="15" customHeight="1">
      <c r="A213" s="77">
        <v>182</v>
      </c>
      <c r="B213" s="79" t="s">
        <v>196</v>
      </c>
      <c r="C213" s="79" t="s">
        <v>50</v>
      </c>
      <c r="D213" s="55">
        <v>2955674882</v>
      </c>
      <c r="E213" s="55">
        <v>45360282</v>
      </c>
      <c r="F213" s="10">
        <v>0</v>
      </c>
      <c r="G213" s="55">
        <v>6553225</v>
      </c>
      <c r="H213" s="55">
        <f>(E213+F213)-G213</f>
        <v>38807057</v>
      </c>
      <c r="I213" s="55">
        <v>4187968801</v>
      </c>
      <c r="J213" s="13">
        <f t="shared" si="65"/>
        <v>7.3357203141709279E-2</v>
      </c>
      <c r="K213" s="55">
        <v>4135482014</v>
      </c>
      <c r="L213" s="13">
        <f t="shared" si="67"/>
        <v>7.0020462730226732E-2</v>
      </c>
      <c r="M213" s="13">
        <f t="shared" si="68"/>
        <v>-1.253275501657683E-2</v>
      </c>
      <c r="N213" s="19">
        <f t="shared" si="69"/>
        <v>1.5846339018801498E-3</v>
      </c>
      <c r="O213" s="20">
        <f t="shared" si="70"/>
        <v>9.3839259531597607E-3</v>
      </c>
      <c r="P213" s="21">
        <f t="shared" si="71"/>
        <v>1.1268687143329326</v>
      </c>
      <c r="Q213" s="21">
        <f t="shared" si="72"/>
        <v>1.057445257423258E-2</v>
      </c>
      <c r="R213" s="55">
        <v>1.1299999999999999</v>
      </c>
      <c r="S213" s="55">
        <v>1.1299999999999999</v>
      </c>
      <c r="T213" s="55">
        <v>206</v>
      </c>
      <c r="U213" s="55">
        <v>3310671153</v>
      </c>
      <c r="V213" s="55">
        <v>3669888037</v>
      </c>
    </row>
    <row r="214" spans="1:22" ht="4.95" customHeight="1">
      <c r="A214" s="95"/>
      <c r="B214" s="18"/>
      <c r="C214" s="18"/>
      <c r="D214" s="11"/>
      <c r="E214" s="11"/>
      <c r="F214" s="11"/>
      <c r="G214" s="30"/>
      <c r="H214" s="12"/>
      <c r="I214" s="22"/>
      <c r="J214" s="13"/>
      <c r="K214" s="31"/>
      <c r="L214" s="13"/>
      <c r="M214" s="13"/>
      <c r="N214" s="19"/>
      <c r="O214" s="20"/>
      <c r="P214" s="21"/>
      <c r="Q214" s="21"/>
      <c r="R214" s="12"/>
      <c r="S214" s="12"/>
      <c r="T214" s="41"/>
      <c r="U214" s="30"/>
      <c r="V214" s="41"/>
    </row>
    <row r="215" spans="1:22" ht="15" customHeight="1">
      <c r="A215" s="158" t="s">
        <v>214</v>
      </c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</row>
    <row r="216" spans="1:22" ht="15" customHeight="1">
      <c r="A216" s="77">
        <v>183</v>
      </c>
      <c r="B216" s="78" t="s">
        <v>279</v>
      </c>
      <c r="C216" s="79" t="s">
        <v>58</v>
      </c>
      <c r="D216" s="15">
        <v>1028718047.4</v>
      </c>
      <c r="E216" s="15">
        <v>18301704.32</v>
      </c>
      <c r="F216" s="15">
        <v>68503066.030000001</v>
      </c>
      <c r="G216" s="15">
        <v>3940563.06</v>
      </c>
      <c r="H216" s="15">
        <f>(E216+F216)-G216</f>
        <v>82864207.289999992</v>
      </c>
      <c r="I216" s="81">
        <v>1209582695</v>
      </c>
      <c r="J216" s="82">
        <f>(I216/$I$219)</f>
        <v>2.1187264683687212E-2</v>
      </c>
      <c r="K216" s="81">
        <v>1311285326</v>
      </c>
      <c r="L216" s="13">
        <f t="shared" ref="L216" si="74">(K216/$K$219)</f>
        <v>2.2202201578206699E-2</v>
      </c>
      <c r="M216" s="13">
        <f t="shared" ref="M216" si="75">((K216-I216)/I216)</f>
        <v>8.4080758943066727E-2</v>
      </c>
      <c r="N216" s="19">
        <f t="shared" ref="N216" si="76">(G216/K216)</f>
        <v>3.0051148913718571E-3</v>
      </c>
      <c r="O216" s="20">
        <f t="shared" ref="O216" si="77">H216/K216</f>
        <v>6.3193117201099519E-2</v>
      </c>
      <c r="P216" s="21">
        <f t="shared" ref="P216" si="78">K216/V216</f>
        <v>80.903112056043597</v>
      </c>
      <c r="Q216" s="21">
        <f t="shared" ref="Q216" si="79">H216/V216</f>
        <v>5.1125198420912508</v>
      </c>
      <c r="R216" s="81">
        <v>80.498599999999996</v>
      </c>
      <c r="S216" s="81">
        <v>82.925700000000006</v>
      </c>
      <c r="T216" s="81">
        <v>1844</v>
      </c>
      <c r="U216" s="81">
        <v>15962683</v>
      </c>
      <c r="V216" s="81">
        <v>16208095</v>
      </c>
    </row>
    <row r="217" spans="1:22" ht="15" customHeight="1">
      <c r="A217" s="95">
        <v>184</v>
      </c>
      <c r="B217" s="73" t="s">
        <v>215</v>
      </c>
      <c r="C217" s="18" t="s">
        <v>117</v>
      </c>
      <c r="D217" s="15">
        <v>134137192.31</v>
      </c>
      <c r="E217" s="15">
        <v>2422283.34</v>
      </c>
      <c r="F217" s="15">
        <v>1240000000</v>
      </c>
      <c r="G217" s="10">
        <v>572099.44999999995</v>
      </c>
      <c r="H217" s="12">
        <f>(E217+F217)-G217</f>
        <v>1241850183.8899999</v>
      </c>
      <c r="I217" s="16">
        <v>233070288.71000001</v>
      </c>
      <c r="J217" s="82">
        <f t="shared" ref="J217:J218" si="80">(I217/$I$219)</f>
        <v>4.0825004501260373E-3</v>
      </c>
      <c r="K217" s="16">
        <v>229249308.22</v>
      </c>
      <c r="L217" s="13">
        <f t="shared" ref="L217:L218" si="81">(K217/$K$219)</f>
        <v>3.8815650963556028E-3</v>
      </c>
      <c r="M217" s="13">
        <f t="shared" ref="M217:M218" si="82">((K217-I217)/I217)</f>
        <v>-1.63941123132786E-2</v>
      </c>
      <c r="N217" s="19">
        <f t="shared" ref="N217:N218" si="83">(G217/K217)</f>
        <v>2.4955340299259812E-3</v>
      </c>
      <c r="O217" s="20">
        <f t="shared" ref="O217:O218" si="84">H217/K217</f>
        <v>5.4170291440890779</v>
      </c>
      <c r="P217" s="21">
        <f t="shared" ref="P217:P218" si="85">K217/V217</f>
        <v>1115.3892419519375</v>
      </c>
      <c r="Q217" s="21">
        <f t="shared" ref="Q217:Q218" si="86">H217/V217</f>
        <v>6042.0960306570696</v>
      </c>
      <c r="R217" s="12">
        <v>1115.3900000000001</v>
      </c>
      <c r="S217" s="12">
        <v>1115.3900000000001</v>
      </c>
      <c r="T217" s="10">
        <v>137</v>
      </c>
      <c r="U217" s="10">
        <v>205391.31</v>
      </c>
      <c r="V217" s="10">
        <v>205533.01</v>
      </c>
    </row>
    <row r="218" spans="1:22" ht="15" customHeight="1">
      <c r="A218" s="91">
        <v>185</v>
      </c>
      <c r="B218" s="91" t="s">
        <v>277</v>
      </c>
      <c r="C218" s="91" t="s">
        <v>278</v>
      </c>
      <c r="D218" s="80">
        <v>35000000</v>
      </c>
      <c r="E218" s="90">
        <v>839695.65</v>
      </c>
      <c r="F218" s="80">
        <v>0</v>
      </c>
      <c r="G218" s="80">
        <v>58528.82</v>
      </c>
      <c r="H218" s="80">
        <f>(E218+F218)-G218</f>
        <v>781166.83000000007</v>
      </c>
      <c r="I218" s="71">
        <v>62509349.590000004</v>
      </c>
      <c r="J218" s="82">
        <f t="shared" si="80"/>
        <v>1.0949248368409114E-3</v>
      </c>
      <c r="K218" s="80">
        <v>59109014.079999998</v>
      </c>
      <c r="L218" s="13">
        <f t="shared" si="81"/>
        <v>1.0008121189737298E-3</v>
      </c>
      <c r="M218" s="13">
        <f t="shared" si="82"/>
        <v>-5.4397230691134522E-2</v>
      </c>
      <c r="N218" s="19">
        <f t="shared" si="83"/>
        <v>9.9018433839524462E-4</v>
      </c>
      <c r="O218" s="20">
        <f t="shared" si="84"/>
        <v>1.3215697168332808E-2</v>
      </c>
      <c r="P218" s="21">
        <f t="shared" si="85"/>
        <v>105.62121908682849</v>
      </c>
      <c r="Q218" s="21">
        <f t="shared" si="86"/>
        <v>1.3958580460016583</v>
      </c>
      <c r="R218" s="80">
        <v>104.54</v>
      </c>
      <c r="S218" s="80">
        <v>106.7</v>
      </c>
      <c r="T218" s="80">
        <v>191</v>
      </c>
      <c r="U218" s="80">
        <v>601187</v>
      </c>
      <c r="V218" s="80">
        <v>559632</v>
      </c>
    </row>
    <row r="219" spans="1:22" ht="15" customHeight="1">
      <c r="A219" s="110" t="s">
        <v>51</v>
      </c>
      <c r="B219" s="110"/>
      <c r="C219" s="110"/>
      <c r="D219" s="110"/>
      <c r="E219" s="110"/>
      <c r="F219" s="110"/>
      <c r="G219" s="110"/>
      <c r="H219" s="110"/>
      <c r="I219" s="36">
        <f>SUM(I197:I213)</f>
        <v>57090082795.411453</v>
      </c>
      <c r="J219" s="34">
        <f>(I219/$I$229)</f>
        <v>1.0048389044595752E-2</v>
      </c>
      <c r="K219" s="36">
        <f>SUM(K197:K213)</f>
        <v>59061049481.108002</v>
      </c>
      <c r="L219" s="34">
        <f>(K219/$K$229)</f>
        <v>1.007643258466865E-2</v>
      </c>
      <c r="M219" s="34">
        <f>((K219-I219)/I219)</f>
        <v>3.4523801493855297E-2</v>
      </c>
      <c r="N219" s="19">
        <f t="shared" ref="N219" si="87">(G219/K219)</f>
        <v>0</v>
      </c>
      <c r="O219" s="20">
        <f t="shared" ref="O219" si="88">H219/K219</f>
        <v>0</v>
      </c>
      <c r="P219" s="21" t="e">
        <f t="shared" ref="P219" si="89">K219/V219</f>
        <v>#DIV/0!</v>
      </c>
      <c r="Q219" s="21" t="e">
        <f t="shared" ref="Q219" si="90">H219/V219</f>
        <v>#DIV/0!</v>
      </c>
      <c r="R219" s="36"/>
      <c r="S219" s="36"/>
      <c r="T219" s="36">
        <f>SUM(T197:T213)</f>
        <v>30487</v>
      </c>
      <c r="U219" s="36"/>
      <c r="V219" s="36"/>
    </row>
    <row r="220" spans="1:22" ht="15" customHeight="1">
      <c r="A220" s="120" t="s">
        <v>197</v>
      </c>
      <c r="B220" s="120"/>
      <c r="C220" s="120"/>
      <c r="D220" s="120"/>
      <c r="E220" s="120"/>
      <c r="F220" s="120"/>
      <c r="G220" s="120"/>
      <c r="H220" s="120"/>
      <c r="I220" s="121">
        <f>SUM(I24,I68,I108,I148,I157,I188,I193,I219)</f>
        <v>5664527308123.9707</v>
      </c>
      <c r="J220" s="122"/>
      <c r="K220" s="121">
        <f>SUM(K24,K68,K108,K148,K157,K188,K193,K219)</f>
        <v>5843998594666.6338</v>
      </c>
      <c r="L220" s="123"/>
      <c r="M220" s="123"/>
      <c r="N220" s="124"/>
      <c r="O220" s="125"/>
      <c r="P220" s="126"/>
      <c r="Q220" s="126"/>
      <c r="R220" s="127"/>
      <c r="S220" s="127"/>
      <c r="T220" s="121">
        <f>SUM(T24,T68,T108,T148,T157,T188,T193,T219)</f>
        <v>873657</v>
      </c>
      <c r="U220" s="127"/>
      <c r="V220" s="127"/>
    </row>
    <row r="221" spans="1:22" ht="5.4" customHeight="1">
      <c r="A221" s="97"/>
      <c r="B221" s="97"/>
      <c r="C221" s="97"/>
      <c r="D221" s="97"/>
      <c r="E221" s="97"/>
      <c r="F221" s="97"/>
      <c r="G221" s="97"/>
      <c r="H221" s="98"/>
      <c r="I221" s="99"/>
      <c r="J221" s="100"/>
      <c r="K221" s="99"/>
      <c r="L221" s="101"/>
      <c r="M221" s="101"/>
      <c r="N221" s="102"/>
      <c r="O221" s="103"/>
      <c r="P221" s="104"/>
      <c r="Q221" s="104"/>
      <c r="R221" s="105"/>
      <c r="S221" s="105"/>
      <c r="T221" s="99"/>
      <c r="U221" s="105"/>
      <c r="V221" s="105"/>
    </row>
    <row r="222" spans="1:22" ht="15" customHeight="1">
      <c r="A222" s="109" t="s">
        <v>305</v>
      </c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</row>
    <row r="223" spans="1:22" ht="15" customHeight="1">
      <c r="A223" s="107">
        <v>1</v>
      </c>
      <c r="B223" s="108" t="s">
        <v>286</v>
      </c>
      <c r="C223" s="92" t="s">
        <v>58</v>
      </c>
      <c r="D223" s="10">
        <f>401108.19*FX_RATE</f>
        <v>613579409.87899494</v>
      </c>
      <c r="E223" s="10">
        <f>5968.94*FX_RATE</f>
        <v>9130750.1918699984</v>
      </c>
      <c r="F223" s="10">
        <v>0</v>
      </c>
      <c r="G223" s="10">
        <f>1574.33*FX_RATE</f>
        <v>2408269.1314649996</v>
      </c>
      <c r="H223" s="80">
        <f>(E223+F223)-G223</f>
        <v>6722481.0604049992</v>
      </c>
      <c r="I223" s="96">
        <v>1377543222.5044</v>
      </c>
      <c r="J223" s="13">
        <f>(I223/$I$219)</f>
        <v>2.4129291026621501E-2</v>
      </c>
      <c r="K223" s="10">
        <f>1002149*FX_RATE</f>
        <v>1532997847.8644998</v>
      </c>
      <c r="L223" s="13">
        <f>(K223/$K$228)</f>
        <v>8.8577362419327468E-2</v>
      </c>
      <c r="M223" s="13">
        <f t="shared" ref="M223:M227" si="91">((K223-I223)/I223)</f>
        <v>0.1128491816594185</v>
      </c>
      <c r="N223" s="19">
        <f t="shared" ref="N223" si="92">(G223/K223)</f>
        <v>1.5709540198114251E-3</v>
      </c>
      <c r="O223" s="20">
        <f t="shared" ref="O223" si="93">H223/K223</f>
        <v>4.3851862347814548E-3</v>
      </c>
      <c r="P223" s="21">
        <f t="shared" ref="P223" si="94">K223/V223</f>
        <v>1542.0931130452407</v>
      </c>
      <c r="Q223" s="21">
        <f t="shared" ref="Q223" si="95">H223/V223</f>
        <v>6.7623654920772713</v>
      </c>
      <c r="R223" s="10">
        <f>1.0081*FX_RATE</f>
        <v>1542.10115505</v>
      </c>
      <c r="S223" s="10">
        <f>1.0081*FX_RATE</f>
        <v>1542.10115505</v>
      </c>
      <c r="T223" s="10">
        <v>39</v>
      </c>
      <c r="U223" s="81">
        <v>865641</v>
      </c>
      <c r="V223" s="81">
        <v>994102</v>
      </c>
    </row>
    <row r="224" spans="1:22" ht="15" customHeight="1">
      <c r="A224" s="107">
        <v>2</v>
      </c>
      <c r="B224" s="108" t="s">
        <v>287</v>
      </c>
      <c r="C224" s="106" t="s">
        <v>227</v>
      </c>
      <c r="D224" s="10">
        <v>4032236178.3499999</v>
      </c>
      <c r="E224" s="10">
        <v>111401764.73</v>
      </c>
      <c r="F224" s="10"/>
      <c r="G224" s="10">
        <v>6817854.7300000004</v>
      </c>
      <c r="H224" s="80">
        <f>(E224+F224)-G224</f>
        <v>104583910</v>
      </c>
      <c r="I224" s="96">
        <v>3974990775.6199999</v>
      </c>
      <c r="J224" s="13">
        <f t="shared" ref="J224:J227" si="96">(I224/$I$219)</f>
        <v>6.9626642334095282E-2</v>
      </c>
      <c r="K224" s="10">
        <v>4014551201.8899999</v>
      </c>
      <c r="L224" s="13">
        <f t="shared" ref="L224:L227" si="97">(K224/$K$228)</f>
        <v>0.23196272405477519</v>
      </c>
      <c r="M224" s="13">
        <f t="shared" ref="M224:M227" si="98">((K224-I224)/I224)</f>
        <v>9.9523315909656514E-3</v>
      </c>
      <c r="N224" s="19">
        <f t="shared" ref="N224:N227" si="99">(G224/K224)</f>
        <v>1.6982856581304133E-3</v>
      </c>
      <c r="O224" s="20">
        <f t="shared" ref="O224:O227" si="100">H224/K224</f>
        <v>2.6051208401766859E-2</v>
      </c>
      <c r="P224" s="21">
        <f t="shared" ref="P224:P227" si="101">K224/V224</f>
        <v>120.97414515778118</v>
      </c>
      <c r="Q224" s="21">
        <f t="shared" ref="Q224:Q227" si="102">H224/V224</f>
        <v>3.1515226667309522</v>
      </c>
      <c r="R224" s="10">
        <v>103.3</v>
      </c>
      <c r="S224" s="10">
        <v>103.3</v>
      </c>
      <c r="T224" s="10">
        <v>9</v>
      </c>
      <c r="U224" s="10">
        <v>33185200</v>
      </c>
      <c r="V224" s="10">
        <v>33185200</v>
      </c>
    </row>
    <row r="225" spans="1:22" ht="15" customHeight="1">
      <c r="A225" s="107">
        <v>3</v>
      </c>
      <c r="B225" s="108" t="s">
        <v>288</v>
      </c>
      <c r="C225" s="93" t="s">
        <v>291</v>
      </c>
      <c r="D225" s="10">
        <v>568953258.42999995</v>
      </c>
      <c r="E225" s="10">
        <v>2974851.34</v>
      </c>
      <c r="F225" s="10">
        <v>0</v>
      </c>
      <c r="G225" s="10">
        <v>611166.93999999994</v>
      </c>
      <c r="H225" s="80">
        <f>(E225+F225)-G225</f>
        <v>2363684.4</v>
      </c>
      <c r="I225" s="96">
        <v>559554513.97000003</v>
      </c>
      <c r="J225" s="13">
        <f t="shared" si="96"/>
        <v>9.8012559550005336E-3</v>
      </c>
      <c r="K225" s="10">
        <v>567943109.5</v>
      </c>
      <c r="L225" s="13">
        <f t="shared" si="97"/>
        <v>3.2816029529212927E-2</v>
      </c>
      <c r="M225" s="13">
        <f t="shared" si="98"/>
        <v>1.4991560823061679E-2</v>
      </c>
      <c r="N225" s="19">
        <f t="shared" si="99"/>
        <v>1.0761059158514185E-3</v>
      </c>
      <c r="O225" s="20">
        <f t="shared" si="100"/>
        <v>4.1618330435964201E-3</v>
      </c>
      <c r="P225" s="21">
        <f t="shared" si="101"/>
        <v>157108.6646638838</v>
      </c>
      <c r="Q225" s="21">
        <f t="shared" si="102"/>
        <v>653.86003203346093</v>
      </c>
      <c r="R225" s="10">
        <f>102.55*FX_RATE</f>
        <v>156871.81177499998</v>
      </c>
      <c r="S225" s="10">
        <f>102.55*FX_RATE</f>
        <v>156871.81177499998</v>
      </c>
      <c r="T225" s="10">
        <v>4</v>
      </c>
      <c r="U225" s="10">
        <v>3473</v>
      </c>
      <c r="V225" s="10">
        <v>3614.97</v>
      </c>
    </row>
    <row r="226" spans="1:22" ht="15" customHeight="1">
      <c r="A226" s="107">
        <v>4</v>
      </c>
      <c r="B226" s="108" t="s">
        <v>289</v>
      </c>
      <c r="C226" s="92" t="s">
        <v>292</v>
      </c>
      <c r="D226" s="10">
        <v>11160374692.43</v>
      </c>
      <c r="E226" s="10">
        <v>207164563.03</v>
      </c>
      <c r="F226" s="10">
        <v>0</v>
      </c>
      <c r="G226" s="10">
        <v>21404571.620000001</v>
      </c>
      <c r="H226" s="80">
        <f>(E226+F226)-G226</f>
        <v>185759991.41</v>
      </c>
      <c r="I226" s="96">
        <v>10976384859.4</v>
      </c>
      <c r="J226" s="13">
        <f t="shared" si="96"/>
        <v>0.19226430094233832</v>
      </c>
      <c r="K226" s="10">
        <v>11078691306.110001</v>
      </c>
      <c r="L226" s="13">
        <f t="shared" si="97"/>
        <v>0.64013218043336484</v>
      </c>
      <c r="M226" s="13">
        <f t="shared" si="98"/>
        <v>9.3205958082261849E-3</v>
      </c>
      <c r="N226" s="19">
        <f t="shared" si="99"/>
        <v>1.9320487437171556E-3</v>
      </c>
      <c r="O226" s="20">
        <f t="shared" si="100"/>
        <v>1.6767322626595041E-2</v>
      </c>
      <c r="P226" s="21">
        <f t="shared" si="101"/>
        <v>1.0621947560987537</v>
      </c>
      <c r="Q226" s="21">
        <f t="shared" si="102"/>
        <v>1.7810162167785235E-2</v>
      </c>
      <c r="R226" s="10">
        <v>1.06</v>
      </c>
      <c r="S226" s="10">
        <v>1.06</v>
      </c>
      <c r="T226" s="10">
        <v>16</v>
      </c>
      <c r="U226" s="10">
        <v>10430000000</v>
      </c>
      <c r="V226" s="10">
        <v>10430000000</v>
      </c>
    </row>
    <row r="227" spans="1:22" ht="15" customHeight="1">
      <c r="A227" s="107">
        <v>5</v>
      </c>
      <c r="B227" s="92" t="s">
        <v>290</v>
      </c>
      <c r="C227" s="92" t="s">
        <v>50</v>
      </c>
      <c r="D227" s="10">
        <v>101050000.002</v>
      </c>
      <c r="E227" s="10">
        <v>1703082.19</v>
      </c>
      <c r="F227" s="10">
        <v>1682604.24</v>
      </c>
      <c r="G227" s="10">
        <v>493271.68</v>
      </c>
      <c r="H227" s="80">
        <f>(E227+F227)-G227</f>
        <v>2892414.7499999995</v>
      </c>
      <c r="I227" s="96">
        <v>100185097.78506848</v>
      </c>
      <c r="J227" s="13">
        <f t="shared" si="96"/>
        <v>1.7548599140080549E-3</v>
      </c>
      <c r="K227" s="10">
        <v>112697277</v>
      </c>
      <c r="L227" s="13">
        <f t="shared" si="97"/>
        <v>6.5117035633194672E-3</v>
      </c>
      <c r="M227" s="13">
        <f t="shared" si="98"/>
        <v>0.12489062237354351</v>
      </c>
      <c r="N227" s="19">
        <f t="shared" si="99"/>
        <v>4.3769618320059324E-3</v>
      </c>
      <c r="O227" s="20">
        <f t="shared" si="100"/>
        <v>2.5665347264779072E-2</v>
      </c>
      <c r="P227" s="21">
        <f t="shared" si="101"/>
        <v>1.0250153849113093</v>
      </c>
      <c r="Q227" s="21">
        <f t="shared" si="102"/>
        <v>2.630737580548994E-2</v>
      </c>
      <c r="R227" s="10">
        <v>1.03</v>
      </c>
      <c r="S227" s="10">
        <v>1.0249999999999999</v>
      </c>
      <c r="T227" s="10">
        <v>7</v>
      </c>
      <c r="U227" s="10">
        <v>100000000</v>
      </c>
      <c r="V227" s="10">
        <v>109946912.66</v>
      </c>
    </row>
    <row r="228" spans="1:22" ht="14.4" customHeight="1">
      <c r="A228" s="110" t="s">
        <v>51</v>
      </c>
      <c r="B228" s="110"/>
      <c r="C228" s="110"/>
      <c r="D228" s="110"/>
      <c r="E228" s="110"/>
      <c r="F228" s="110"/>
      <c r="G228" s="110"/>
      <c r="H228" s="110"/>
      <c r="I228" s="36">
        <f>SUM(I223:I227)</f>
        <v>16988658469.279469</v>
      </c>
      <c r="J228" s="34">
        <f>(I228/$I$229)</f>
        <v>2.990162936999754E-3</v>
      </c>
      <c r="K228" s="36">
        <f>SUM(K223:K227)</f>
        <v>17306880742.364502</v>
      </c>
      <c r="L228" s="34">
        <f>(K228/$K$229)</f>
        <v>2.9527348156439225E-3</v>
      </c>
      <c r="M228" s="34">
        <f>((K228-I228)/I228)</f>
        <v>1.8731453908528071E-2</v>
      </c>
      <c r="N228" s="19">
        <f t="shared" ref="N228" si="103">(G228/K228)</f>
        <v>0</v>
      </c>
      <c r="O228" s="20">
        <f t="shared" ref="O228" si="104">H228/K228</f>
        <v>0</v>
      </c>
      <c r="P228" s="21" t="e">
        <f t="shared" ref="P228" si="105">K228/V228</f>
        <v>#DIV/0!</v>
      </c>
      <c r="Q228" s="21" t="e">
        <f t="shared" ref="Q228" si="106">H228/V228</f>
        <v>#DIV/0!</v>
      </c>
      <c r="R228" s="136"/>
      <c r="S228" s="136"/>
      <c r="T228" s="36">
        <f>SUM(T223:T227)</f>
        <v>75</v>
      </c>
      <c r="U228" s="136"/>
      <c r="V228" s="136"/>
    </row>
    <row r="229" spans="1:22" ht="18.600000000000001" customHeight="1">
      <c r="A229" s="119" t="s">
        <v>197</v>
      </c>
      <c r="B229" s="119"/>
      <c r="C229" s="119"/>
      <c r="D229" s="119"/>
      <c r="E229" s="119"/>
      <c r="F229" s="119"/>
      <c r="G229" s="119"/>
      <c r="H229" s="119"/>
      <c r="I229" s="138">
        <f>I220+I228</f>
        <v>5681515966593.25</v>
      </c>
      <c r="J229" s="135"/>
      <c r="K229" s="138">
        <f>K220+K228</f>
        <v>5861305475408.998</v>
      </c>
      <c r="L229" s="135"/>
      <c r="M229" s="135"/>
      <c r="N229" s="135"/>
      <c r="O229" s="135"/>
      <c r="P229" s="135"/>
      <c r="Q229" s="135"/>
      <c r="R229" s="137"/>
      <c r="S229" s="137"/>
      <c r="T229" s="138">
        <f>T220+T228</f>
        <v>873732</v>
      </c>
      <c r="U229" s="137"/>
      <c r="V229" s="137"/>
    </row>
    <row r="230" spans="1:22">
      <c r="A230" s="72" t="s">
        <v>198</v>
      </c>
      <c r="B230" s="42" t="s">
        <v>283</v>
      </c>
      <c r="C230" s="94">
        <v>1529.7104999999999</v>
      </c>
      <c r="D230" s="6"/>
      <c r="E230" s="6"/>
      <c r="F230" s="6"/>
      <c r="G230" s="6"/>
      <c r="H230" s="7"/>
      <c r="I230" s="8"/>
      <c r="J230" s="6"/>
      <c r="K230" s="8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9"/>
    </row>
  </sheetData>
  <sheetProtection algorithmName="SHA-512" hashValue="ToP6B4FeTn8NNZ7yqnC5R7IohwAYpu8wXhKe2qvXCwxKyFQnwWlul0PQeWWY98gMxmN8Mmd0WO48I6pWTA3+7g==" saltValue="mjQQsrHWzDrLnG9Re5S0gQ==" spinCount="100000" sheet="1" objects="1" scenarios="1"/>
  <mergeCells count="36">
    <mergeCell ref="A190:V190"/>
    <mergeCell ref="A193:H193"/>
    <mergeCell ref="A219:H219"/>
    <mergeCell ref="A220:H220"/>
    <mergeCell ref="A194:V194"/>
    <mergeCell ref="A195:V195"/>
    <mergeCell ref="A196:V196"/>
    <mergeCell ref="A199:V199"/>
    <mergeCell ref="A200:V200"/>
    <mergeCell ref="A215:V215"/>
    <mergeCell ref="A157:H157"/>
    <mergeCell ref="A158:V158"/>
    <mergeCell ref="A159:V159"/>
    <mergeCell ref="A188:H188"/>
    <mergeCell ref="A189:V189"/>
    <mergeCell ref="A129:V129"/>
    <mergeCell ref="A130:V130"/>
    <mergeCell ref="A148:H148"/>
    <mergeCell ref="A149:V149"/>
    <mergeCell ref="A150:V150"/>
    <mergeCell ref="A222:V222"/>
    <mergeCell ref="A228:H228"/>
    <mergeCell ref="A229:H229"/>
    <mergeCell ref="A1:V1"/>
    <mergeCell ref="A3:V3"/>
    <mergeCell ref="A4:V4"/>
    <mergeCell ref="A24:H24"/>
    <mergeCell ref="A25:V25"/>
    <mergeCell ref="A26:V26"/>
    <mergeCell ref="A68:H68"/>
    <mergeCell ref="A69:V69"/>
    <mergeCell ref="A70:V70"/>
    <mergeCell ref="A108:H108"/>
    <mergeCell ref="A109:V109"/>
    <mergeCell ref="A110:V110"/>
    <mergeCell ref="A111:V111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4 J68 J108 J148 J157 J193 J219 J228 J188" formula="1"/>
    <ignoredError sqref="P219:Q219 P228:Q22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H8" sqref="H8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  <col min="4" max="4" width="10.5546875" bestFit="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140"/>
      <c r="B3" s="140"/>
      <c r="C3" s="140"/>
      <c r="D3" s="140"/>
      <c r="E3" s="56"/>
      <c r="F3" s="56"/>
    </row>
    <row r="4" spans="1:6" ht="33" customHeight="1">
      <c r="A4" s="141" t="s">
        <v>199</v>
      </c>
      <c r="B4" s="142" t="s">
        <v>306</v>
      </c>
      <c r="C4" s="142" t="s">
        <v>307</v>
      </c>
      <c r="D4" s="143" t="s">
        <v>308</v>
      </c>
      <c r="E4" s="56"/>
      <c r="F4" s="56"/>
    </row>
    <row r="5" spans="1:6" ht="18.899999999999999" customHeight="1">
      <c r="A5" s="144" t="s">
        <v>20</v>
      </c>
      <c r="B5" s="145">
        <v>38.4092374166</v>
      </c>
      <c r="C5" s="145">
        <f>[1]May!K24/1000000000</f>
        <v>42.132274390619997</v>
      </c>
      <c r="D5" s="146">
        <f>June!K24/1000000000</f>
        <v>47.822839795400007</v>
      </c>
      <c r="E5" s="56"/>
      <c r="F5" s="56"/>
    </row>
    <row r="6" spans="1:6">
      <c r="A6" s="141" t="s">
        <v>52</v>
      </c>
      <c r="B6" s="145">
        <v>2770.932964702899</v>
      </c>
      <c r="C6" s="145">
        <f>[1]May!K68/1000000000</f>
        <v>2990.538782123167</v>
      </c>
      <c r="D6" s="146">
        <f>June!K68/1000000000</f>
        <v>3165.3955731113892</v>
      </c>
      <c r="E6" s="56"/>
      <c r="F6" s="56"/>
    </row>
    <row r="7" spans="1:6">
      <c r="A7" s="141" t="s">
        <v>200</v>
      </c>
      <c r="B7" s="145">
        <v>204.98454964474001</v>
      </c>
      <c r="C7" s="145">
        <f>[1]May!K108/1000000000</f>
        <v>208.27970153560997</v>
      </c>
      <c r="D7" s="146">
        <f>June!K108/1000000000</f>
        <v>209.13505235314</v>
      </c>
      <c r="E7" s="56"/>
      <c r="F7" s="56"/>
    </row>
    <row r="8" spans="1:6">
      <c r="A8" s="141" t="s">
        <v>201</v>
      </c>
      <c r="B8" s="145">
        <v>1951.2396774693273</v>
      </c>
      <c r="C8" s="145">
        <f>[1]May!K147/1000000000</f>
        <v>1940.4180649409723</v>
      </c>
      <c r="D8" s="146">
        <f>June!K148/1000000000</f>
        <v>1928.6847369021568</v>
      </c>
      <c r="E8" s="56"/>
      <c r="F8" s="56"/>
    </row>
    <row r="9" spans="1:6">
      <c r="A9" s="141" t="s">
        <v>202</v>
      </c>
      <c r="B9" s="145">
        <v>355.82549393045997</v>
      </c>
      <c r="C9" s="145">
        <f>[1]May!K156/1000000000</f>
        <v>359.22122360003004</v>
      </c>
      <c r="D9" s="146">
        <f>June!K157/1000000000</f>
        <v>361.88054143226003</v>
      </c>
      <c r="E9" s="56"/>
      <c r="F9" s="56"/>
    </row>
    <row r="10" spans="1:6">
      <c r="A10" s="141" t="s">
        <v>159</v>
      </c>
      <c r="B10" s="145">
        <v>58.687519196020006</v>
      </c>
      <c r="C10" s="145">
        <f>[1]May!K187/1000000000</f>
        <v>60.953985544470001</v>
      </c>
      <c r="D10" s="146">
        <f>June!K188/1000000000</f>
        <v>65.270670122349969</v>
      </c>
      <c r="E10" s="56"/>
      <c r="F10" s="56"/>
    </row>
    <row r="11" spans="1:6">
      <c r="A11" s="141" t="s">
        <v>182</v>
      </c>
      <c r="B11" s="145">
        <v>6.8343344776499997</v>
      </c>
      <c r="C11" s="145">
        <f>[1]May!K192/1000000000</f>
        <v>6.0075058756699997</v>
      </c>
      <c r="D11" s="146">
        <f>June!K193/1000000000</f>
        <v>6.7481314688299996</v>
      </c>
      <c r="E11" s="56"/>
      <c r="F11" s="56"/>
    </row>
    <row r="12" spans="1:6">
      <c r="A12" s="141" t="s">
        <v>203</v>
      </c>
      <c r="B12" s="145">
        <v>57.934627993589999</v>
      </c>
      <c r="C12" s="145">
        <f>[1]May!K218/1000000000</f>
        <v>58.595245128711447</v>
      </c>
      <c r="D12" s="146">
        <f>June!K219/1000000000</f>
        <v>59.061049481108</v>
      </c>
      <c r="E12" s="56"/>
      <c r="F12" s="56"/>
    </row>
    <row r="13" spans="1:6">
      <c r="A13" s="140"/>
      <c r="B13" s="140"/>
      <c r="C13" s="140"/>
      <c r="D13" s="140"/>
      <c r="E13" s="56"/>
      <c r="F13" s="56"/>
    </row>
    <row r="14" spans="1:6">
      <c r="A14" s="140"/>
      <c r="B14" s="140"/>
      <c r="C14" s="140"/>
      <c r="D14" s="140"/>
      <c r="E14" s="56"/>
      <c r="F14" s="56"/>
    </row>
    <row r="15" spans="1:6">
      <c r="A15" s="140"/>
      <c r="B15" s="140"/>
      <c r="C15" s="140"/>
      <c r="D15" s="140"/>
      <c r="E15" s="56"/>
      <c r="F15" s="56"/>
    </row>
    <row r="16" spans="1:6">
      <c r="A16" s="140"/>
      <c r="B16" s="147"/>
      <c r="C16" s="140"/>
      <c r="D16" s="140"/>
      <c r="E16" s="56"/>
      <c r="F16" s="56"/>
    </row>
    <row r="17" spans="1:6">
      <c r="A17" s="148"/>
      <c r="B17" s="149"/>
      <c r="C17" s="150"/>
      <c r="D17" s="140"/>
      <c r="E17" s="56"/>
      <c r="F17" s="56"/>
    </row>
    <row r="18" spans="1:6" ht="15.6">
      <c r="A18" s="151"/>
      <c r="B18" s="68"/>
      <c r="C18" s="152"/>
      <c r="D18" s="56"/>
      <c r="E18" s="56"/>
      <c r="F18" s="56"/>
    </row>
    <row r="19" spans="1:6">
      <c r="A19" s="67"/>
      <c r="B19" s="153"/>
      <c r="C19" s="154"/>
      <c r="D19" s="56"/>
      <c r="E19" s="56"/>
      <c r="F19" s="56"/>
    </row>
    <row r="20" spans="1:6">
      <c r="A20" s="50"/>
      <c r="B20" s="48"/>
      <c r="C20" s="49"/>
      <c r="D20" s="2"/>
      <c r="E20" s="2"/>
      <c r="F20" s="2"/>
    </row>
    <row r="21" spans="1:6">
      <c r="A21" s="50"/>
      <c r="B21" s="47"/>
      <c r="C21" s="51"/>
      <c r="D21" s="2"/>
      <c r="E21" s="2"/>
      <c r="F21" s="2"/>
    </row>
    <row r="22" spans="1:6">
      <c r="A22" s="50"/>
      <c r="B22" s="52"/>
      <c r="C22" s="53"/>
      <c r="D22" s="2"/>
      <c r="E22" s="2"/>
      <c r="F22" s="2"/>
    </row>
    <row r="23" spans="1:6">
      <c r="A23" s="50"/>
      <c r="B23" s="47"/>
      <c r="C23" s="51"/>
      <c r="D23" s="2"/>
      <c r="E23" s="2"/>
      <c r="F23" s="2"/>
    </row>
    <row r="24" spans="1:6">
      <c r="A24" s="50"/>
      <c r="B24" s="47"/>
      <c r="C24" s="46"/>
      <c r="D24" s="2"/>
      <c r="E24" s="2"/>
      <c r="F24" s="2"/>
    </row>
    <row r="25" spans="1:6">
      <c r="A25" s="50"/>
      <c r="B25" s="47"/>
      <c r="C25" s="47"/>
      <c r="D25" s="2"/>
      <c r="E25" s="2"/>
      <c r="F25" s="2"/>
    </row>
    <row r="26" spans="1:6">
      <c r="A26" s="50"/>
      <c r="B26" s="47"/>
      <c r="C26" s="47"/>
      <c r="D26" s="2"/>
      <c r="E26" s="2"/>
      <c r="F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</sheetData>
  <sheetProtection algorithmName="SHA-512" hashValue="Z8dAHrIB8hK6k+b3iGLp+2gygE1G/0EinCMil5av8d5N2yTte0hD2Y2TaQZtM8opd77fWbtTAu5lUONK6eA08w==" saltValue="TS8r86hKFuDso1xEBB+Xg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I13" sqref="I13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61" t="s">
        <v>199</v>
      </c>
      <c r="B1" s="62" t="s">
        <v>308</v>
      </c>
      <c r="C1" s="2"/>
      <c r="D1" s="2"/>
      <c r="E1" s="2"/>
      <c r="F1" s="2"/>
    </row>
    <row r="2" spans="1:6">
      <c r="A2" s="61" t="s">
        <v>182</v>
      </c>
      <c r="B2" s="63">
        <f>June!K193</f>
        <v>6748131468.8299999</v>
      </c>
      <c r="C2" s="2"/>
      <c r="D2" s="2"/>
      <c r="E2" s="2"/>
      <c r="F2" s="2"/>
    </row>
    <row r="3" spans="1:6">
      <c r="A3" s="61" t="s">
        <v>20</v>
      </c>
      <c r="B3" s="64">
        <f>June!K24</f>
        <v>47822839795.400009</v>
      </c>
      <c r="C3" s="2"/>
      <c r="D3" s="2"/>
      <c r="E3" s="2"/>
      <c r="F3" s="2"/>
    </row>
    <row r="4" spans="1:6">
      <c r="A4" s="61" t="s">
        <v>203</v>
      </c>
      <c r="B4" s="65">
        <f>June!K219</f>
        <v>59061049481.108002</v>
      </c>
      <c r="C4" s="2"/>
      <c r="D4" s="2"/>
      <c r="E4" s="2"/>
      <c r="F4" s="2"/>
    </row>
    <row r="5" spans="1:6">
      <c r="A5" s="61" t="s">
        <v>159</v>
      </c>
      <c r="B5" s="65">
        <f>June!K188</f>
        <v>65270670122.349976</v>
      </c>
      <c r="C5" s="2"/>
      <c r="D5" s="2"/>
      <c r="E5" s="2"/>
      <c r="F5" s="2"/>
    </row>
    <row r="6" spans="1:6">
      <c r="A6" s="61" t="s">
        <v>202</v>
      </c>
      <c r="B6" s="66">
        <f>June!K157</f>
        <v>361880541432.26001</v>
      </c>
      <c r="C6" s="2"/>
      <c r="D6" s="2"/>
      <c r="E6" s="2"/>
      <c r="F6" s="2"/>
    </row>
    <row r="7" spans="1:6">
      <c r="A7" s="61" t="s">
        <v>200</v>
      </c>
      <c r="B7" s="66">
        <f>June!K108</f>
        <v>209135052353.13998</v>
      </c>
      <c r="C7" s="2"/>
      <c r="D7" s="2"/>
      <c r="E7" s="2"/>
      <c r="F7" s="2"/>
    </row>
    <row r="8" spans="1:6">
      <c r="A8" s="61" t="s">
        <v>201</v>
      </c>
      <c r="B8" s="65">
        <f>June!K148</f>
        <v>1928684736902.1567</v>
      </c>
      <c r="C8" s="2"/>
      <c r="D8" s="2"/>
      <c r="E8" s="2"/>
      <c r="F8" s="2"/>
    </row>
    <row r="9" spans="1:6">
      <c r="A9" s="61" t="s">
        <v>52</v>
      </c>
      <c r="B9" s="65">
        <f>June!K68</f>
        <v>3165395573111.3892</v>
      </c>
      <c r="C9" s="2"/>
      <c r="D9" s="2"/>
      <c r="E9" s="2"/>
      <c r="F9" s="2"/>
    </row>
    <row r="10" spans="1:6">
      <c r="A10" s="56"/>
      <c r="B10" s="56"/>
      <c r="C10" s="2"/>
      <c r="D10" s="2"/>
      <c r="E10" s="2"/>
      <c r="F10" s="2"/>
    </row>
    <row r="11" spans="1:6">
      <c r="A11" s="139"/>
      <c r="B11" s="56"/>
      <c r="C11" s="2"/>
      <c r="D11" s="2"/>
      <c r="E11" s="2"/>
      <c r="F11" s="2"/>
    </row>
    <row r="12" spans="1:6">
      <c r="A12" s="134"/>
      <c r="B12" s="2"/>
      <c r="C12" s="2"/>
      <c r="D12" s="2"/>
      <c r="E12" s="2"/>
      <c r="F12" s="2"/>
    </row>
    <row r="13" spans="1:6" ht="15" customHeight="1">
      <c r="A13" s="2"/>
      <c r="B13" s="129"/>
      <c r="C13" s="2"/>
      <c r="D13" s="2"/>
      <c r="E13" s="2"/>
      <c r="F13" s="2"/>
    </row>
    <row r="14" spans="1:6">
      <c r="A14" s="130"/>
      <c r="B14" s="129"/>
      <c r="C14" s="2"/>
      <c r="D14" s="2"/>
      <c r="E14" s="2"/>
      <c r="F14" s="2"/>
    </row>
    <row r="15" spans="1:6">
      <c r="A15" s="130"/>
      <c r="B15" s="129"/>
      <c r="C15" s="2"/>
      <c r="D15" s="2"/>
      <c r="E15" s="2"/>
      <c r="F15" s="2"/>
    </row>
    <row r="16" spans="1:6">
      <c r="A16" s="131"/>
      <c r="B16" s="129"/>
      <c r="C16" s="2"/>
      <c r="D16" s="2"/>
      <c r="E16" s="2"/>
      <c r="F16" s="2"/>
    </row>
    <row r="17" spans="1:17">
      <c r="A17" s="131"/>
      <c r="B17" s="129"/>
      <c r="C17" s="2"/>
      <c r="D17" s="2"/>
      <c r="E17" s="2"/>
      <c r="F17" s="2"/>
    </row>
    <row r="18" spans="1:17">
      <c r="A18" s="130"/>
      <c r="B18" s="129"/>
      <c r="C18" s="2"/>
      <c r="D18" s="2"/>
      <c r="E18" s="2"/>
      <c r="F18" s="2"/>
    </row>
    <row r="19" spans="1:17">
      <c r="A19" s="22"/>
      <c r="B19" s="129"/>
      <c r="C19" s="2"/>
      <c r="D19" s="2"/>
      <c r="E19" s="2"/>
      <c r="F19" s="2"/>
    </row>
    <row r="20" spans="1:17">
      <c r="A20" s="132"/>
      <c r="B20" s="129"/>
      <c r="C20" s="2"/>
      <c r="D20" s="2"/>
      <c r="E20" s="2"/>
      <c r="F20" s="2"/>
    </row>
    <row r="21" spans="1:17">
      <c r="A21" s="50"/>
      <c r="B21" s="133"/>
      <c r="C21" s="2"/>
      <c r="D21" s="2"/>
      <c r="E21" s="2"/>
      <c r="F21" s="2"/>
    </row>
    <row r="22" spans="1:17">
      <c r="A22" s="2"/>
      <c r="B22" s="48"/>
      <c r="C22" s="2"/>
      <c r="D22" s="2"/>
      <c r="E22" s="2"/>
      <c r="F22" s="2"/>
    </row>
    <row r="23" spans="1:17">
      <c r="A23" s="2"/>
      <c r="B23" s="2"/>
      <c r="C23" s="2"/>
      <c r="D23" s="2"/>
      <c r="E23" s="2"/>
      <c r="F23" s="2"/>
    </row>
    <row r="24" spans="1:17">
      <c r="A24" s="2"/>
      <c r="B24" s="2"/>
      <c r="C24" s="2"/>
      <c r="D24" s="2"/>
      <c r="E24" s="2"/>
      <c r="F24" s="2"/>
    </row>
    <row r="25" spans="1:17">
      <c r="A25" s="2"/>
      <c r="B25" s="2"/>
      <c r="C25" s="2"/>
      <c r="D25" s="2"/>
      <c r="E25" s="2"/>
      <c r="F25" s="2"/>
    </row>
    <row r="26" spans="1:17">
      <c r="A26" s="2"/>
      <c r="B26" s="2"/>
      <c r="C26" s="2"/>
      <c r="D26" s="2"/>
      <c r="E26" s="2"/>
      <c r="F26" s="2"/>
    </row>
    <row r="27" spans="1:17">
      <c r="A27" s="2"/>
      <c r="B27" s="2"/>
      <c r="C27" s="2"/>
      <c r="D27" s="2"/>
      <c r="E27" s="2"/>
      <c r="F27" s="2"/>
    </row>
    <row r="28" spans="1:17">
      <c r="A28" s="2"/>
      <c r="B28" s="2"/>
      <c r="C28" s="2"/>
      <c r="D28" s="2"/>
      <c r="E28" s="2"/>
      <c r="F28" s="2"/>
    </row>
    <row r="32" spans="1:17" ht="15.9" customHeight="1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"/>
    </row>
    <row r="33" spans="1:17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"/>
    </row>
  </sheetData>
  <sheetProtection algorithmName="SHA-512" hashValue="Ch9GrgzcIxIBtky8hphEE8KJDVXZr7XskqYtdXzlbRzaZnB7ANptNlhZDMaHnltLVNjXNcfbSWP+DkUD7/EMmg==" saltValue="4QFVkaWlOCACd+3iKozzZg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H8" sqref="H8"/>
    </sheetView>
  </sheetViews>
  <sheetFormatPr defaultColWidth="9" defaultRowHeight="14.4"/>
  <cols>
    <col min="1" max="1" width="34.6640625" customWidth="1"/>
    <col min="2" max="2" width="1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56"/>
      <c r="B4" s="56"/>
      <c r="C4" s="56"/>
      <c r="D4" s="2"/>
      <c r="E4" s="2"/>
    </row>
    <row r="5" spans="1:5" ht="15.6">
      <c r="A5" s="57" t="s">
        <v>199</v>
      </c>
      <c r="B5" s="58" t="s">
        <v>204</v>
      </c>
      <c r="C5" s="56"/>
      <c r="D5" s="2"/>
      <c r="E5" s="2"/>
    </row>
    <row r="6" spans="1:5">
      <c r="A6" s="59" t="s">
        <v>20</v>
      </c>
      <c r="B6" s="60">
        <f>June!T24</f>
        <v>51827</v>
      </c>
      <c r="C6" s="56"/>
      <c r="D6" s="2"/>
      <c r="E6" s="2"/>
    </row>
    <row r="7" spans="1:5">
      <c r="A7" s="59" t="s">
        <v>52</v>
      </c>
      <c r="B7" s="60">
        <f>June!T68</f>
        <v>424589</v>
      </c>
      <c r="C7" s="56"/>
      <c r="D7" s="2"/>
      <c r="E7" s="2"/>
    </row>
    <row r="8" spans="1:5">
      <c r="A8" s="59" t="s">
        <v>200</v>
      </c>
      <c r="B8" s="60">
        <f>June!T108</f>
        <v>45621</v>
      </c>
      <c r="C8" s="56"/>
      <c r="D8" s="2"/>
      <c r="E8" s="2"/>
    </row>
    <row r="9" spans="1:5">
      <c r="A9" s="59" t="s">
        <v>201</v>
      </c>
      <c r="B9" s="60">
        <f>June!T148</f>
        <v>22272</v>
      </c>
      <c r="C9" s="56"/>
      <c r="D9" s="2"/>
      <c r="E9" s="2"/>
    </row>
    <row r="10" spans="1:5">
      <c r="A10" s="59" t="s">
        <v>202</v>
      </c>
      <c r="B10" s="60">
        <f>June!T157</f>
        <v>218195</v>
      </c>
      <c r="C10" s="56"/>
      <c r="D10" s="2"/>
      <c r="E10" s="2"/>
    </row>
    <row r="11" spans="1:5">
      <c r="A11" s="59" t="s">
        <v>159</v>
      </c>
      <c r="B11" s="60">
        <f>June!T188</f>
        <v>68625</v>
      </c>
      <c r="C11" s="56"/>
      <c r="D11" s="2"/>
      <c r="E11" s="2"/>
    </row>
    <row r="12" spans="1:5">
      <c r="A12" s="59" t="s">
        <v>182</v>
      </c>
      <c r="B12" s="60">
        <f>June!T193</f>
        <v>12041</v>
      </c>
      <c r="C12" s="56"/>
      <c r="D12" s="2"/>
      <c r="E12" s="2"/>
    </row>
    <row r="13" spans="1:5">
      <c r="A13" s="59" t="s">
        <v>203</v>
      </c>
      <c r="B13" s="60">
        <f>June!T219</f>
        <v>30487</v>
      </c>
      <c r="C13" s="56"/>
      <c r="D13" s="2"/>
      <c r="E13" s="2"/>
    </row>
    <row r="14" spans="1:5">
      <c r="A14" s="56"/>
      <c r="B14" s="56"/>
      <c r="C14" s="56"/>
      <c r="D14" s="2"/>
      <c r="E14" s="2"/>
    </row>
    <row r="15" spans="1:5">
      <c r="A15" s="56"/>
      <c r="B15" s="56"/>
      <c r="C15" s="56"/>
      <c r="D15" s="2"/>
      <c r="E15" s="2"/>
    </row>
    <row r="16" spans="1:5">
      <c r="A16" s="56"/>
      <c r="B16" s="56"/>
      <c r="C16" s="56"/>
      <c r="D16" s="2"/>
      <c r="E16" s="2"/>
    </row>
    <row r="17" spans="1:5">
      <c r="A17" s="56"/>
      <c r="B17" s="56"/>
      <c r="C17" s="56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</row>
    <row r="26" spans="1:5">
      <c r="A26" s="2"/>
      <c r="B26" s="2"/>
      <c r="C26" s="2"/>
      <c r="D26" s="2"/>
    </row>
  </sheetData>
  <sheetProtection algorithmName="SHA-512" hashValue="VC6PHwrksVIYKPKVFs5c2D0XjD4iZDHTXufPt/YXK3ZsWTDK1iy7OOOSB8I/Ssd/TpCO5D0UfG4xtFdlcCi3nQ==" saltValue="0/irv5cSF6Il5EHl8dDQx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June</vt:lpstr>
      <vt:lpstr>NAV Comparison</vt:lpstr>
      <vt:lpstr>Market Share</vt:lpstr>
      <vt:lpstr>Unitholders</vt:lpstr>
      <vt:lpstr>June!_Hlk34300669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2024-12-20T14:59:31Z</cp:lastPrinted>
  <dcterms:created xsi:type="dcterms:W3CDTF">2023-10-09T09:40:00Z</dcterms:created>
  <dcterms:modified xsi:type="dcterms:W3CDTF">2025-10-31T10:30:26Z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