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20496" windowHeight="7752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Valuation'!$W$136</definedName>
    <definedName name="NFEM_RATE" localSheetId="0">'Weekly Valuation'!$W$136</definedName>
  </definedNames>
  <calcPr calcId="162913"/>
</workbook>
</file>

<file path=xl/calcChain.xml><?xml version="1.0" encoding="utf-8"?>
<calcChain xmlns="http://schemas.openxmlformats.org/spreadsheetml/2006/main">
  <c r="L47" i="1" l="1"/>
  <c r="L48" i="1"/>
  <c r="L49" i="1"/>
  <c r="V47" i="1"/>
  <c r="U47" i="1"/>
  <c r="T47" i="1"/>
  <c r="S47" i="1"/>
  <c r="E47" i="1"/>
  <c r="R47" i="1"/>
  <c r="N124" i="1" l="1"/>
  <c r="M124" i="1"/>
  <c r="K124" i="1"/>
  <c r="N136" i="1" l="1"/>
  <c r="M136" i="1"/>
  <c r="K136" i="1"/>
  <c r="N123" i="1"/>
  <c r="M123" i="1"/>
  <c r="K123" i="1"/>
  <c r="N122" i="1" l="1"/>
  <c r="M122" i="1"/>
  <c r="K122" i="1"/>
  <c r="K128" i="1" l="1"/>
  <c r="N144" i="1"/>
  <c r="M144" i="1"/>
  <c r="K144" i="1"/>
  <c r="N154" i="1"/>
  <c r="M154" i="1"/>
  <c r="K154" i="1"/>
  <c r="N121" i="1"/>
  <c r="M121" i="1"/>
  <c r="K121" i="1"/>
  <c r="K138" i="1"/>
  <c r="N148" i="1"/>
  <c r="M148" i="1"/>
  <c r="K148" i="1"/>
  <c r="N137" i="1"/>
  <c r="M137" i="1"/>
  <c r="K137" i="1"/>
  <c r="J10" i="4"/>
  <c r="I4" i="5" s="1"/>
  <c r="I3" i="5" s="1"/>
  <c r="I10" i="4"/>
  <c r="H10" i="4"/>
  <c r="G10" i="4"/>
  <c r="H12" i="4" s="1"/>
  <c r="F10" i="4"/>
  <c r="E4" i="5" s="1"/>
  <c r="E3" i="5" s="1"/>
  <c r="E10" i="4"/>
  <c r="F12" i="4" s="1"/>
  <c r="D10" i="4"/>
  <c r="C4" i="5" s="1"/>
  <c r="C3" i="5" s="1"/>
  <c r="C10" i="4"/>
  <c r="B10" i="4"/>
  <c r="I4" i="6"/>
  <c r="H4" i="6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I3" i="6"/>
  <c r="H3" i="6"/>
  <c r="G4" i="5"/>
  <c r="G3" i="5"/>
  <c r="V257" i="1"/>
  <c r="U257" i="1"/>
  <c r="S257" i="1"/>
  <c r="O257" i="1"/>
  <c r="K257" i="1"/>
  <c r="L254" i="1" s="1"/>
  <c r="H257" i="1"/>
  <c r="D257" i="1"/>
  <c r="E256" i="1" s="1"/>
  <c r="V256" i="1"/>
  <c r="U256" i="1"/>
  <c r="T256" i="1"/>
  <c r="S256" i="1"/>
  <c r="R256" i="1"/>
  <c r="L256" i="1"/>
  <c r="V255" i="1"/>
  <c r="U255" i="1"/>
  <c r="T255" i="1"/>
  <c r="S255" i="1"/>
  <c r="R255" i="1"/>
  <c r="V254" i="1"/>
  <c r="U254" i="1"/>
  <c r="T254" i="1"/>
  <c r="S254" i="1"/>
  <c r="R254" i="1"/>
  <c r="E254" i="1"/>
  <c r="V253" i="1"/>
  <c r="U253" i="1"/>
  <c r="T253" i="1"/>
  <c r="S253" i="1"/>
  <c r="R253" i="1"/>
  <c r="L253" i="1"/>
  <c r="V252" i="1"/>
  <c r="U252" i="1"/>
  <c r="T252" i="1"/>
  <c r="S252" i="1"/>
  <c r="R252" i="1"/>
  <c r="E252" i="1"/>
  <c r="V251" i="1"/>
  <c r="U251" i="1"/>
  <c r="T251" i="1"/>
  <c r="S251" i="1"/>
  <c r="R251" i="1"/>
  <c r="L251" i="1"/>
  <c r="V250" i="1"/>
  <c r="U250" i="1"/>
  <c r="T250" i="1"/>
  <c r="S250" i="1"/>
  <c r="R250" i="1"/>
  <c r="L250" i="1"/>
  <c r="E250" i="1"/>
  <c r="V249" i="1"/>
  <c r="U249" i="1"/>
  <c r="T249" i="1"/>
  <c r="S249" i="1"/>
  <c r="R249" i="1"/>
  <c r="L249" i="1"/>
  <c r="E249" i="1"/>
  <c r="V248" i="1"/>
  <c r="U248" i="1"/>
  <c r="T248" i="1"/>
  <c r="S248" i="1"/>
  <c r="R248" i="1"/>
  <c r="L248" i="1"/>
  <c r="E248" i="1"/>
  <c r="V247" i="1"/>
  <c r="U247" i="1"/>
  <c r="T247" i="1"/>
  <c r="S247" i="1"/>
  <c r="R247" i="1"/>
  <c r="L247" i="1"/>
  <c r="E247" i="1"/>
  <c r="V246" i="1"/>
  <c r="U246" i="1"/>
  <c r="T246" i="1"/>
  <c r="S246" i="1"/>
  <c r="R246" i="1"/>
  <c r="L246" i="1"/>
  <c r="E246" i="1"/>
  <c r="V245" i="1"/>
  <c r="U245" i="1"/>
  <c r="T245" i="1"/>
  <c r="S245" i="1"/>
  <c r="R245" i="1"/>
  <c r="L245" i="1"/>
  <c r="E245" i="1"/>
  <c r="O242" i="1"/>
  <c r="K242" i="1"/>
  <c r="H242" i="1"/>
  <c r="D242" i="1"/>
  <c r="E241" i="1" s="1"/>
  <c r="V241" i="1"/>
  <c r="U241" i="1"/>
  <c r="T241" i="1"/>
  <c r="S241" i="1"/>
  <c r="R241" i="1"/>
  <c r="L241" i="1"/>
  <c r="V240" i="1"/>
  <c r="U240" i="1"/>
  <c r="T240" i="1"/>
  <c r="S240" i="1"/>
  <c r="R240" i="1"/>
  <c r="E240" i="1"/>
  <c r="O237" i="1"/>
  <c r="H237" i="1"/>
  <c r="D237" i="1"/>
  <c r="V236" i="1"/>
  <c r="U236" i="1"/>
  <c r="T236" i="1"/>
  <c r="S236" i="1"/>
  <c r="R236" i="1"/>
  <c r="V235" i="1"/>
  <c r="U235" i="1"/>
  <c r="T235" i="1"/>
  <c r="S235" i="1"/>
  <c r="R235" i="1"/>
  <c r="V234" i="1"/>
  <c r="U234" i="1"/>
  <c r="T234" i="1"/>
  <c r="N234" i="1"/>
  <c r="S234" i="1" s="1"/>
  <c r="M234" i="1"/>
  <c r="K234" i="1"/>
  <c r="R234" i="1" s="1"/>
  <c r="V233" i="1"/>
  <c r="U233" i="1"/>
  <c r="T233" i="1"/>
  <c r="S233" i="1"/>
  <c r="R233" i="1"/>
  <c r="V232" i="1"/>
  <c r="U232" i="1"/>
  <c r="T232" i="1"/>
  <c r="N232" i="1"/>
  <c r="S232" i="1" s="1"/>
  <c r="M232" i="1"/>
  <c r="K232" i="1"/>
  <c r="K237" i="1" s="1"/>
  <c r="V228" i="1"/>
  <c r="U228" i="1"/>
  <c r="S228" i="1"/>
  <c r="O228" i="1"/>
  <c r="K228" i="1"/>
  <c r="B4" i="3" s="1"/>
  <c r="H228" i="1"/>
  <c r="V227" i="1"/>
  <c r="U227" i="1"/>
  <c r="T227" i="1"/>
  <c r="S227" i="1"/>
  <c r="R227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R224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R212" i="1"/>
  <c r="V211" i="1"/>
  <c r="U211" i="1"/>
  <c r="T211" i="1"/>
  <c r="S211" i="1"/>
  <c r="L211" i="1"/>
  <c r="D228" i="1"/>
  <c r="V210" i="1"/>
  <c r="U210" i="1"/>
  <c r="T210" i="1"/>
  <c r="S210" i="1"/>
  <c r="R210" i="1"/>
  <c r="V209" i="1"/>
  <c r="U209" i="1"/>
  <c r="T209" i="1"/>
  <c r="S209" i="1"/>
  <c r="R209" i="1"/>
  <c r="V208" i="1"/>
  <c r="U208" i="1"/>
  <c r="T208" i="1"/>
  <c r="S208" i="1"/>
  <c r="R208" i="1"/>
  <c r="V205" i="1"/>
  <c r="U205" i="1"/>
  <c r="T205" i="1"/>
  <c r="S205" i="1"/>
  <c r="R205" i="1"/>
  <c r="V204" i="1"/>
  <c r="U204" i="1"/>
  <c r="T204" i="1"/>
  <c r="S204" i="1"/>
  <c r="R204" i="1"/>
  <c r="V200" i="1"/>
  <c r="U200" i="1"/>
  <c r="S200" i="1"/>
  <c r="O200" i="1"/>
  <c r="K200" i="1"/>
  <c r="B2" i="3" s="1"/>
  <c r="H200" i="1"/>
  <c r="D200" i="1"/>
  <c r="B19" i="2" s="1"/>
  <c r="B9" i="2" s="1"/>
  <c r="V199" i="1"/>
  <c r="U199" i="1"/>
  <c r="T199" i="1"/>
  <c r="S199" i="1"/>
  <c r="R199" i="1"/>
  <c r="L199" i="1"/>
  <c r="E199" i="1"/>
  <c r="V198" i="1"/>
  <c r="U198" i="1"/>
  <c r="T198" i="1"/>
  <c r="S198" i="1"/>
  <c r="R198" i="1"/>
  <c r="L198" i="1"/>
  <c r="E198" i="1"/>
  <c r="V195" i="1"/>
  <c r="U195" i="1"/>
  <c r="S195" i="1"/>
  <c r="O195" i="1"/>
  <c r="K195" i="1"/>
  <c r="B5" i="3" s="1"/>
  <c r="H195" i="1"/>
  <c r="D195" i="1"/>
  <c r="B18" i="2" s="1"/>
  <c r="B8" i="2" s="1"/>
  <c r="V194" i="1"/>
  <c r="U194" i="1"/>
  <c r="T194" i="1"/>
  <c r="S194" i="1"/>
  <c r="R194" i="1"/>
  <c r="L194" i="1"/>
  <c r="E194" i="1"/>
  <c r="V193" i="1"/>
  <c r="U193" i="1"/>
  <c r="T193" i="1"/>
  <c r="S193" i="1"/>
  <c r="R193" i="1"/>
  <c r="E193" i="1"/>
  <c r="V192" i="1"/>
  <c r="U192" i="1"/>
  <c r="T192" i="1"/>
  <c r="S192" i="1"/>
  <c r="R192" i="1"/>
  <c r="E192" i="1"/>
  <c r="V191" i="1"/>
  <c r="U191" i="1"/>
  <c r="T191" i="1"/>
  <c r="S191" i="1"/>
  <c r="R191" i="1"/>
  <c r="E191" i="1"/>
  <c r="V190" i="1"/>
  <c r="U190" i="1"/>
  <c r="T190" i="1"/>
  <c r="S190" i="1"/>
  <c r="R190" i="1"/>
  <c r="E190" i="1"/>
  <c r="V189" i="1"/>
  <c r="U189" i="1"/>
  <c r="T189" i="1"/>
  <c r="S189" i="1"/>
  <c r="R189" i="1"/>
  <c r="E189" i="1"/>
  <c r="V188" i="1"/>
  <c r="U188" i="1"/>
  <c r="T188" i="1"/>
  <c r="S188" i="1"/>
  <c r="R188" i="1"/>
  <c r="E188" i="1"/>
  <c r="V187" i="1"/>
  <c r="U187" i="1"/>
  <c r="T187" i="1"/>
  <c r="S187" i="1"/>
  <c r="R187" i="1"/>
  <c r="E187" i="1"/>
  <c r="V186" i="1"/>
  <c r="U186" i="1"/>
  <c r="T186" i="1"/>
  <c r="S186" i="1"/>
  <c r="R186" i="1"/>
  <c r="E186" i="1"/>
  <c r="V185" i="1"/>
  <c r="U185" i="1"/>
  <c r="T185" i="1"/>
  <c r="S185" i="1"/>
  <c r="R185" i="1"/>
  <c r="E185" i="1"/>
  <c r="V184" i="1"/>
  <c r="U184" i="1"/>
  <c r="T184" i="1"/>
  <c r="S184" i="1"/>
  <c r="R184" i="1"/>
  <c r="E184" i="1"/>
  <c r="V183" i="1"/>
  <c r="U183" i="1"/>
  <c r="T183" i="1"/>
  <c r="S183" i="1"/>
  <c r="R183" i="1"/>
  <c r="E183" i="1"/>
  <c r="V182" i="1"/>
  <c r="U182" i="1"/>
  <c r="T182" i="1"/>
  <c r="S182" i="1"/>
  <c r="R182" i="1"/>
  <c r="E182" i="1"/>
  <c r="V181" i="1"/>
  <c r="U181" i="1"/>
  <c r="T181" i="1"/>
  <c r="S181" i="1"/>
  <c r="R181" i="1"/>
  <c r="E181" i="1"/>
  <c r="V180" i="1"/>
  <c r="U180" i="1"/>
  <c r="T180" i="1"/>
  <c r="S180" i="1"/>
  <c r="R180" i="1"/>
  <c r="E180" i="1"/>
  <c r="V179" i="1"/>
  <c r="U179" i="1"/>
  <c r="T179" i="1"/>
  <c r="S179" i="1"/>
  <c r="R179" i="1"/>
  <c r="E179" i="1"/>
  <c r="V178" i="1"/>
  <c r="U178" i="1"/>
  <c r="T178" i="1"/>
  <c r="S178" i="1"/>
  <c r="R178" i="1"/>
  <c r="L178" i="1"/>
  <c r="E178" i="1"/>
  <c r="V177" i="1"/>
  <c r="U177" i="1"/>
  <c r="T177" i="1"/>
  <c r="S177" i="1"/>
  <c r="R177" i="1"/>
  <c r="E177" i="1"/>
  <c r="V176" i="1"/>
  <c r="U176" i="1"/>
  <c r="T176" i="1"/>
  <c r="S176" i="1"/>
  <c r="R176" i="1"/>
  <c r="E176" i="1"/>
  <c r="V175" i="1"/>
  <c r="U175" i="1"/>
  <c r="T175" i="1"/>
  <c r="S175" i="1"/>
  <c r="R175" i="1"/>
  <c r="E175" i="1"/>
  <c r="V174" i="1"/>
  <c r="U174" i="1"/>
  <c r="T174" i="1"/>
  <c r="S174" i="1"/>
  <c r="R174" i="1"/>
  <c r="E174" i="1"/>
  <c r="V173" i="1"/>
  <c r="U173" i="1"/>
  <c r="T173" i="1"/>
  <c r="S173" i="1"/>
  <c r="R173" i="1"/>
  <c r="E173" i="1"/>
  <c r="V172" i="1"/>
  <c r="U172" i="1"/>
  <c r="T172" i="1"/>
  <c r="S172" i="1"/>
  <c r="R172" i="1"/>
  <c r="E172" i="1"/>
  <c r="V171" i="1"/>
  <c r="U171" i="1"/>
  <c r="T171" i="1"/>
  <c r="S171" i="1"/>
  <c r="R171" i="1"/>
  <c r="E171" i="1"/>
  <c r="V170" i="1"/>
  <c r="U170" i="1"/>
  <c r="T170" i="1"/>
  <c r="S170" i="1"/>
  <c r="R170" i="1"/>
  <c r="E170" i="1"/>
  <c r="V169" i="1"/>
  <c r="U169" i="1"/>
  <c r="T169" i="1"/>
  <c r="S169" i="1"/>
  <c r="R169" i="1"/>
  <c r="E169" i="1"/>
  <c r="V168" i="1"/>
  <c r="U168" i="1"/>
  <c r="T168" i="1"/>
  <c r="S168" i="1"/>
  <c r="R168" i="1"/>
  <c r="E168" i="1"/>
  <c r="V167" i="1"/>
  <c r="U167" i="1"/>
  <c r="T167" i="1"/>
  <c r="S167" i="1"/>
  <c r="R167" i="1"/>
  <c r="E167" i="1"/>
  <c r="V164" i="1"/>
  <c r="U164" i="1"/>
  <c r="S164" i="1"/>
  <c r="O164" i="1"/>
  <c r="K164" i="1"/>
  <c r="B6" i="3" s="1"/>
  <c r="H164" i="1"/>
  <c r="D164" i="1"/>
  <c r="B17" i="2" s="1"/>
  <c r="B7" i="2" s="1"/>
  <c r="V163" i="1"/>
  <c r="U163" i="1"/>
  <c r="T163" i="1"/>
  <c r="S163" i="1"/>
  <c r="R163" i="1"/>
  <c r="L163" i="1"/>
  <c r="V162" i="1"/>
  <c r="U162" i="1"/>
  <c r="T162" i="1"/>
  <c r="S162" i="1"/>
  <c r="R162" i="1"/>
  <c r="L162" i="1"/>
  <c r="E162" i="1"/>
  <c r="V161" i="1"/>
  <c r="U161" i="1"/>
  <c r="T161" i="1"/>
  <c r="S161" i="1"/>
  <c r="R161" i="1"/>
  <c r="E161" i="1"/>
  <c r="V160" i="1"/>
  <c r="U160" i="1"/>
  <c r="T160" i="1"/>
  <c r="S160" i="1"/>
  <c r="R160" i="1"/>
  <c r="E160" i="1"/>
  <c r="V159" i="1"/>
  <c r="U159" i="1"/>
  <c r="T159" i="1"/>
  <c r="S159" i="1"/>
  <c r="R159" i="1"/>
  <c r="V158" i="1"/>
  <c r="U158" i="1"/>
  <c r="T158" i="1"/>
  <c r="S158" i="1"/>
  <c r="R158" i="1"/>
  <c r="E158" i="1"/>
  <c r="V155" i="1"/>
  <c r="U155" i="1"/>
  <c r="S155" i="1"/>
  <c r="O155" i="1"/>
  <c r="H155" i="1"/>
  <c r="D155" i="1"/>
  <c r="B16" i="2" s="1"/>
  <c r="B6" i="2" s="1"/>
  <c r="V154" i="1"/>
  <c r="U154" i="1"/>
  <c r="T154" i="1"/>
  <c r="S154" i="1"/>
  <c r="R154" i="1"/>
  <c r="E154" i="1"/>
  <c r="V153" i="1"/>
  <c r="U153" i="1"/>
  <c r="T153" i="1"/>
  <c r="N153" i="1"/>
  <c r="S153" i="1" s="1"/>
  <c r="M153" i="1"/>
  <c r="K153" i="1"/>
  <c r="R153" i="1" s="1"/>
  <c r="E153" i="1"/>
  <c r="V152" i="1"/>
  <c r="U152" i="1"/>
  <c r="T152" i="1"/>
  <c r="N152" i="1"/>
  <c r="S152" i="1" s="1"/>
  <c r="M152" i="1"/>
  <c r="K152" i="1"/>
  <c r="R152" i="1" s="1"/>
  <c r="E152" i="1"/>
  <c r="V151" i="1"/>
  <c r="U151" i="1"/>
  <c r="T151" i="1"/>
  <c r="N151" i="1"/>
  <c r="S151" i="1" s="1"/>
  <c r="M151" i="1"/>
  <c r="K151" i="1"/>
  <c r="R151" i="1" s="1"/>
  <c r="E151" i="1"/>
  <c r="V150" i="1"/>
  <c r="U150" i="1"/>
  <c r="T150" i="1"/>
  <c r="N150" i="1"/>
  <c r="S150" i="1" s="1"/>
  <c r="M150" i="1"/>
  <c r="K150" i="1"/>
  <c r="R150" i="1" s="1"/>
  <c r="E150" i="1"/>
  <c r="V149" i="1"/>
  <c r="U149" i="1"/>
  <c r="T149" i="1"/>
  <c r="S149" i="1"/>
  <c r="R149" i="1"/>
  <c r="E149" i="1"/>
  <c r="V148" i="1"/>
  <c r="U148" i="1"/>
  <c r="T148" i="1"/>
  <c r="S148" i="1"/>
  <c r="R148" i="1"/>
  <c r="E148" i="1"/>
  <c r="V147" i="1"/>
  <c r="U147" i="1"/>
  <c r="T147" i="1"/>
  <c r="N147" i="1"/>
  <c r="S147" i="1" s="1"/>
  <c r="M147" i="1"/>
  <c r="K147" i="1"/>
  <c r="R147" i="1" s="1"/>
  <c r="E147" i="1"/>
  <c r="V146" i="1"/>
  <c r="U146" i="1"/>
  <c r="T146" i="1"/>
  <c r="R146" i="1"/>
  <c r="N146" i="1"/>
  <c r="S146" i="1" s="1"/>
  <c r="M146" i="1"/>
  <c r="E146" i="1"/>
  <c r="V145" i="1"/>
  <c r="U145" i="1"/>
  <c r="T145" i="1"/>
  <c r="N145" i="1"/>
  <c r="S145" i="1" s="1"/>
  <c r="M145" i="1"/>
  <c r="K145" i="1"/>
  <c r="E145" i="1"/>
  <c r="V144" i="1"/>
  <c r="U144" i="1"/>
  <c r="T144" i="1"/>
  <c r="S144" i="1"/>
  <c r="E144" i="1"/>
  <c r="V143" i="1"/>
  <c r="U143" i="1"/>
  <c r="T143" i="1"/>
  <c r="R143" i="1"/>
  <c r="N143" i="1"/>
  <c r="S143" i="1" s="1"/>
  <c r="M143" i="1"/>
  <c r="E143" i="1"/>
  <c r="V142" i="1"/>
  <c r="U142" i="1"/>
  <c r="T142" i="1"/>
  <c r="N142" i="1"/>
  <c r="S142" i="1" s="1"/>
  <c r="M142" i="1"/>
  <c r="K142" i="1"/>
  <c r="R142" i="1" s="1"/>
  <c r="E142" i="1"/>
  <c r="V141" i="1"/>
  <c r="U141" i="1"/>
  <c r="T141" i="1"/>
  <c r="S141" i="1"/>
  <c r="R141" i="1"/>
  <c r="E141" i="1"/>
  <c r="V140" i="1"/>
  <c r="U140" i="1"/>
  <c r="T140" i="1"/>
  <c r="N140" i="1"/>
  <c r="S140" i="1" s="1"/>
  <c r="M140" i="1"/>
  <c r="K140" i="1"/>
  <c r="V139" i="1"/>
  <c r="U139" i="1"/>
  <c r="T139" i="1"/>
  <c r="S139" i="1"/>
  <c r="R139" i="1"/>
  <c r="E139" i="1"/>
  <c r="V138" i="1"/>
  <c r="U138" i="1"/>
  <c r="T138" i="1"/>
  <c r="S138" i="1"/>
  <c r="N138" i="1"/>
  <c r="M138" i="1"/>
  <c r="E138" i="1"/>
  <c r="V137" i="1"/>
  <c r="U137" i="1"/>
  <c r="T137" i="1"/>
  <c r="S137" i="1"/>
  <c r="E137" i="1"/>
  <c r="V136" i="1"/>
  <c r="U136" i="1"/>
  <c r="T136" i="1"/>
  <c r="S136" i="1"/>
  <c r="E136" i="1"/>
  <c r="V133" i="1"/>
  <c r="U133" i="1"/>
  <c r="T133" i="1"/>
  <c r="N133" i="1"/>
  <c r="S133" i="1" s="1"/>
  <c r="M133" i="1"/>
  <c r="K133" i="1"/>
  <c r="E133" i="1"/>
  <c r="V132" i="1"/>
  <c r="U132" i="1"/>
  <c r="T132" i="1"/>
  <c r="N132" i="1"/>
  <c r="S132" i="1" s="1"/>
  <c r="M132" i="1"/>
  <c r="K132" i="1"/>
  <c r="E132" i="1"/>
  <c r="V131" i="1"/>
  <c r="U131" i="1"/>
  <c r="T131" i="1"/>
  <c r="N131" i="1"/>
  <c r="S131" i="1" s="1"/>
  <c r="M131" i="1"/>
  <c r="K131" i="1"/>
  <c r="E131" i="1"/>
  <c r="V130" i="1"/>
  <c r="U130" i="1"/>
  <c r="T130" i="1"/>
  <c r="N130" i="1"/>
  <c r="S130" i="1" s="1"/>
  <c r="M130" i="1"/>
  <c r="K130" i="1"/>
  <c r="E130" i="1"/>
  <c r="V129" i="1"/>
  <c r="U129" i="1"/>
  <c r="T129" i="1"/>
  <c r="N129" i="1"/>
  <c r="S129" i="1" s="1"/>
  <c r="M129" i="1"/>
  <c r="K129" i="1"/>
  <c r="E129" i="1"/>
  <c r="V128" i="1"/>
  <c r="U128" i="1"/>
  <c r="T128" i="1"/>
  <c r="N128" i="1"/>
  <c r="S128" i="1" s="1"/>
  <c r="M128" i="1"/>
  <c r="E128" i="1"/>
  <c r="V127" i="1"/>
  <c r="U127" i="1"/>
  <c r="T127" i="1"/>
  <c r="N127" i="1"/>
  <c r="S127" i="1" s="1"/>
  <c r="M127" i="1"/>
  <c r="K127" i="1"/>
  <c r="E127" i="1"/>
  <c r="V126" i="1"/>
  <c r="U126" i="1"/>
  <c r="T126" i="1"/>
  <c r="N126" i="1"/>
  <c r="S126" i="1" s="1"/>
  <c r="M126" i="1"/>
  <c r="K126" i="1"/>
  <c r="E126" i="1"/>
  <c r="V125" i="1"/>
  <c r="U125" i="1"/>
  <c r="T125" i="1"/>
  <c r="S125" i="1"/>
  <c r="R125" i="1"/>
  <c r="E125" i="1"/>
  <c r="V124" i="1"/>
  <c r="U124" i="1"/>
  <c r="T124" i="1"/>
  <c r="S124" i="1"/>
  <c r="R124" i="1"/>
  <c r="E124" i="1"/>
  <c r="V123" i="1"/>
  <c r="U123" i="1"/>
  <c r="T123" i="1"/>
  <c r="S123" i="1"/>
  <c r="R123" i="1"/>
  <c r="V122" i="1"/>
  <c r="U122" i="1"/>
  <c r="T122" i="1"/>
  <c r="S122" i="1"/>
  <c r="E122" i="1"/>
  <c r="V121" i="1"/>
  <c r="U121" i="1"/>
  <c r="T121" i="1"/>
  <c r="S121" i="1"/>
  <c r="E121" i="1"/>
  <c r="V120" i="1"/>
  <c r="U120" i="1"/>
  <c r="T120" i="1"/>
  <c r="N120" i="1"/>
  <c r="S120" i="1" s="1"/>
  <c r="M120" i="1"/>
  <c r="K120" i="1"/>
  <c r="E120" i="1"/>
  <c r="V119" i="1"/>
  <c r="U119" i="1"/>
  <c r="T119" i="1"/>
  <c r="N119" i="1"/>
  <c r="S119" i="1" s="1"/>
  <c r="M119" i="1"/>
  <c r="K119" i="1"/>
  <c r="E119" i="1"/>
  <c r="V118" i="1"/>
  <c r="U118" i="1"/>
  <c r="T118" i="1"/>
  <c r="N118" i="1"/>
  <c r="S118" i="1" s="1"/>
  <c r="M118" i="1"/>
  <c r="K118" i="1"/>
  <c r="E118" i="1"/>
  <c r="V117" i="1"/>
  <c r="U117" i="1"/>
  <c r="T117" i="1"/>
  <c r="N117" i="1"/>
  <c r="S117" i="1" s="1"/>
  <c r="M117" i="1"/>
  <c r="K117" i="1"/>
  <c r="E117" i="1"/>
  <c r="V113" i="1"/>
  <c r="U113" i="1"/>
  <c r="S113" i="1"/>
  <c r="O113" i="1"/>
  <c r="K113" i="1"/>
  <c r="H113" i="1"/>
  <c r="T113" i="1" s="1"/>
  <c r="D113" i="1"/>
  <c r="B15" i="2" s="1"/>
  <c r="B5" i="2" s="1"/>
  <c r="V112" i="1"/>
  <c r="U112" i="1"/>
  <c r="T112" i="1"/>
  <c r="S112" i="1"/>
  <c r="R112" i="1"/>
  <c r="L112" i="1"/>
  <c r="V111" i="1"/>
  <c r="U111" i="1"/>
  <c r="T111" i="1"/>
  <c r="S111" i="1"/>
  <c r="R111" i="1"/>
  <c r="L111" i="1"/>
  <c r="E111" i="1"/>
  <c r="V110" i="1"/>
  <c r="U110" i="1"/>
  <c r="T110" i="1"/>
  <c r="S110" i="1"/>
  <c r="R110" i="1"/>
  <c r="V109" i="1"/>
  <c r="U109" i="1"/>
  <c r="T109" i="1"/>
  <c r="S109" i="1"/>
  <c r="R109" i="1"/>
  <c r="E109" i="1"/>
  <c r="V108" i="1"/>
  <c r="U108" i="1"/>
  <c r="T108" i="1"/>
  <c r="S108" i="1"/>
  <c r="R108" i="1"/>
  <c r="L108" i="1"/>
  <c r="V107" i="1"/>
  <c r="U107" i="1"/>
  <c r="T107" i="1"/>
  <c r="S107" i="1"/>
  <c r="R107" i="1"/>
  <c r="L107" i="1"/>
  <c r="E107" i="1"/>
  <c r="V106" i="1"/>
  <c r="U106" i="1"/>
  <c r="T106" i="1"/>
  <c r="S106" i="1"/>
  <c r="R106" i="1"/>
  <c r="V105" i="1"/>
  <c r="U105" i="1"/>
  <c r="T105" i="1"/>
  <c r="S105" i="1"/>
  <c r="R105" i="1"/>
  <c r="E105" i="1"/>
  <c r="V104" i="1"/>
  <c r="U104" i="1"/>
  <c r="T104" i="1"/>
  <c r="S104" i="1"/>
  <c r="R104" i="1"/>
  <c r="L104" i="1"/>
  <c r="V103" i="1"/>
  <c r="U103" i="1"/>
  <c r="T103" i="1"/>
  <c r="S103" i="1"/>
  <c r="R103" i="1"/>
  <c r="L103" i="1"/>
  <c r="E103" i="1"/>
  <c r="V102" i="1"/>
  <c r="U102" i="1"/>
  <c r="T102" i="1"/>
  <c r="S102" i="1"/>
  <c r="R102" i="1"/>
  <c r="V101" i="1"/>
  <c r="U101" i="1"/>
  <c r="T101" i="1"/>
  <c r="S101" i="1"/>
  <c r="R101" i="1"/>
  <c r="E101" i="1"/>
  <c r="V100" i="1"/>
  <c r="U100" i="1"/>
  <c r="T100" i="1"/>
  <c r="S100" i="1"/>
  <c r="R100" i="1"/>
  <c r="L100" i="1"/>
  <c r="V99" i="1"/>
  <c r="U99" i="1"/>
  <c r="T99" i="1"/>
  <c r="S99" i="1"/>
  <c r="R99" i="1"/>
  <c r="L99" i="1"/>
  <c r="E99" i="1"/>
  <c r="V98" i="1"/>
  <c r="U98" i="1"/>
  <c r="T98" i="1"/>
  <c r="S98" i="1"/>
  <c r="R98" i="1"/>
  <c r="V97" i="1"/>
  <c r="U97" i="1"/>
  <c r="T97" i="1"/>
  <c r="S97" i="1"/>
  <c r="R97" i="1"/>
  <c r="L97" i="1"/>
  <c r="E97" i="1"/>
  <c r="V96" i="1"/>
  <c r="U96" i="1"/>
  <c r="T96" i="1"/>
  <c r="S96" i="1"/>
  <c r="R96" i="1"/>
  <c r="V95" i="1"/>
  <c r="U95" i="1"/>
  <c r="T95" i="1"/>
  <c r="S95" i="1"/>
  <c r="R95" i="1"/>
  <c r="E95" i="1"/>
  <c r="V94" i="1"/>
  <c r="U94" i="1"/>
  <c r="T94" i="1"/>
  <c r="S94" i="1"/>
  <c r="R94" i="1"/>
  <c r="L94" i="1"/>
  <c r="V93" i="1"/>
  <c r="U93" i="1"/>
  <c r="T93" i="1"/>
  <c r="S93" i="1"/>
  <c r="R93" i="1"/>
  <c r="L93" i="1"/>
  <c r="E93" i="1"/>
  <c r="V92" i="1"/>
  <c r="U92" i="1"/>
  <c r="T92" i="1"/>
  <c r="S92" i="1"/>
  <c r="R92" i="1"/>
  <c r="V91" i="1"/>
  <c r="U91" i="1"/>
  <c r="T91" i="1"/>
  <c r="S91" i="1"/>
  <c r="R91" i="1"/>
  <c r="E91" i="1"/>
  <c r="V90" i="1"/>
  <c r="U90" i="1"/>
  <c r="T90" i="1"/>
  <c r="S90" i="1"/>
  <c r="R90" i="1"/>
  <c r="L90" i="1"/>
  <c r="V89" i="1"/>
  <c r="U89" i="1"/>
  <c r="T89" i="1"/>
  <c r="S89" i="1"/>
  <c r="R89" i="1"/>
  <c r="L89" i="1"/>
  <c r="E89" i="1"/>
  <c r="V88" i="1"/>
  <c r="U88" i="1"/>
  <c r="T88" i="1"/>
  <c r="S88" i="1"/>
  <c r="R88" i="1"/>
  <c r="V87" i="1"/>
  <c r="U87" i="1"/>
  <c r="T87" i="1"/>
  <c r="S87" i="1"/>
  <c r="R87" i="1"/>
  <c r="E87" i="1"/>
  <c r="V86" i="1"/>
  <c r="U86" i="1"/>
  <c r="T86" i="1"/>
  <c r="S86" i="1"/>
  <c r="R86" i="1"/>
  <c r="L86" i="1"/>
  <c r="V85" i="1"/>
  <c r="U85" i="1"/>
  <c r="T85" i="1"/>
  <c r="S85" i="1"/>
  <c r="R85" i="1"/>
  <c r="L85" i="1"/>
  <c r="E85" i="1"/>
  <c r="V84" i="1"/>
  <c r="U84" i="1"/>
  <c r="T84" i="1"/>
  <c r="S84" i="1"/>
  <c r="R84" i="1"/>
  <c r="V83" i="1"/>
  <c r="U83" i="1"/>
  <c r="T83" i="1"/>
  <c r="S83" i="1"/>
  <c r="R83" i="1"/>
  <c r="E83" i="1"/>
  <c r="V82" i="1"/>
  <c r="U82" i="1"/>
  <c r="T82" i="1"/>
  <c r="S82" i="1"/>
  <c r="R82" i="1"/>
  <c r="L82" i="1"/>
  <c r="V81" i="1"/>
  <c r="U81" i="1"/>
  <c r="T81" i="1"/>
  <c r="S81" i="1"/>
  <c r="R81" i="1"/>
  <c r="L81" i="1"/>
  <c r="E81" i="1"/>
  <c r="V80" i="1"/>
  <c r="U80" i="1"/>
  <c r="T80" i="1"/>
  <c r="S80" i="1"/>
  <c r="R80" i="1"/>
  <c r="V79" i="1"/>
  <c r="U79" i="1"/>
  <c r="T79" i="1"/>
  <c r="S79" i="1"/>
  <c r="R79" i="1"/>
  <c r="E79" i="1"/>
  <c r="V78" i="1"/>
  <c r="U78" i="1"/>
  <c r="T78" i="1"/>
  <c r="S78" i="1"/>
  <c r="R78" i="1"/>
  <c r="L78" i="1"/>
  <c r="V77" i="1"/>
  <c r="U77" i="1"/>
  <c r="T77" i="1"/>
  <c r="S77" i="1"/>
  <c r="R77" i="1"/>
  <c r="E77" i="1"/>
  <c r="V76" i="1"/>
  <c r="U76" i="1"/>
  <c r="T76" i="1"/>
  <c r="S76" i="1"/>
  <c r="R76" i="1"/>
  <c r="L76" i="1"/>
  <c r="V75" i="1"/>
  <c r="U75" i="1"/>
  <c r="T75" i="1"/>
  <c r="S75" i="1"/>
  <c r="R75" i="1"/>
  <c r="L75" i="1"/>
  <c r="E75" i="1"/>
  <c r="V74" i="1"/>
  <c r="U74" i="1"/>
  <c r="T74" i="1"/>
  <c r="S74" i="1"/>
  <c r="R74" i="1"/>
  <c r="V71" i="1"/>
  <c r="U71" i="1"/>
  <c r="S71" i="1"/>
  <c r="O71" i="1"/>
  <c r="K71" i="1"/>
  <c r="E70" i="1" s="1"/>
  <c r="H71" i="1"/>
  <c r="T71" i="1" s="1"/>
  <c r="D71" i="1"/>
  <c r="B14" i="2" s="1"/>
  <c r="B4" i="2" s="1"/>
  <c r="V70" i="1"/>
  <c r="U70" i="1"/>
  <c r="T70" i="1"/>
  <c r="S70" i="1"/>
  <c r="R70" i="1"/>
  <c r="L70" i="1"/>
  <c r="V69" i="1"/>
  <c r="U69" i="1"/>
  <c r="T69" i="1"/>
  <c r="S69" i="1"/>
  <c r="R69" i="1"/>
  <c r="E69" i="1"/>
  <c r="V68" i="1"/>
  <c r="U68" i="1"/>
  <c r="T68" i="1"/>
  <c r="S68" i="1"/>
  <c r="R68" i="1"/>
  <c r="L68" i="1"/>
  <c r="V67" i="1"/>
  <c r="U67" i="1"/>
  <c r="T67" i="1"/>
  <c r="S67" i="1"/>
  <c r="R67" i="1"/>
  <c r="E67" i="1"/>
  <c r="V66" i="1"/>
  <c r="U66" i="1"/>
  <c r="T66" i="1"/>
  <c r="S66" i="1"/>
  <c r="R66" i="1"/>
  <c r="L66" i="1"/>
  <c r="V65" i="1"/>
  <c r="U65" i="1"/>
  <c r="T65" i="1"/>
  <c r="S65" i="1"/>
  <c r="R65" i="1"/>
  <c r="E65" i="1"/>
  <c r="V64" i="1"/>
  <c r="U64" i="1"/>
  <c r="T64" i="1"/>
  <c r="S64" i="1"/>
  <c r="R64" i="1"/>
  <c r="L64" i="1"/>
  <c r="V63" i="1"/>
  <c r="U63" i="1"/>
  <c r="T63" i="1"/>
  <c r="S63" i="1"/>
  <c r="R63" i="1"/>
  <c r="E63" i="1"/>
  <c r="V62" i="1"/>
  <c r="U62" i="1"/>
  <c r="T62" i="1"/>
  <c r="S62" i="1"/>
  <c r="R62" i="1"/>
  <c r="L62" i="1"/>
  <c r="V61" i="1"/>
  <c r="U61" i="1"/>
  <c r="T61" i="1"/>
  <c r="S61" i="1"/>
  <c r="R61" i="1"/>
  <c r="E61" i="1"/>
  <c r="V60" i="1"/>
  <c r="U60" i="1"/>
  <c r="T60" i="1"/>
  <c r="S60" i="1"/>
  <c r="R60" i="1"/>
  <c r="L60" i="1"/>
  <c r="V59" i="1"/>
  <c r="U59" i="1"/>
  <c r="T59" i="1"/>
  <c r="S59" i="1"/>
  <c r="R59" i="1"/>
  <c r="E59" i="1"/>
  <c r="V58" i="1"/>
  <c r="U58" i="1"/>
  <c r="T58" i="1"/>
  <c r="S58" i="1"/>
  <c r="R58" i="1"/>
  <c r="L58" i="1"/>
  <c r="V57" i="1"/>
  <c r="U57" i="1"/>
  <c r="T57" i="1"/>
  <c r="S57" i="1"/>
  <c r="R57" i="1"/>
  <c r="E57" i="1"/>
  <c r="V56" i="1"/>
  <c r="U56" i="1"/>
  <c r="T56" i="1"/>
  <c r="S56" i="1"/>
  <c r="R56" i="1"/>
  <c r="L56" i="1"/>
  <c r="V55" i="1"/>
  <c r="U55" i="1"/>
  <c r="T55" i="1"/>
  <c r="S55" i="1"/>
  <c r="R55" i="1"/>
  <c r="E55" i="1"/>
  <c r="V54" i="1"/>
  <c r="U54" i="1"/>
  <c r="T54" i="1"/>
  <c r="S54" i="1"/>
  <c r="R54" i="1"/>
  <c r="L54" i="1"/>
  <c r="V53" i="1"/>
  <c r="U53" i="1"/>
  <c r="T53" i="1"/>
  <c r="S53" i="1"/>
  <c r="R53" i="1"/>
  <c r="E53" i="1"/>
  <c r="V52" i="1"/>
  <c r="U52" i="1"/>
  <c r="T52" i="1"/>
  <c r="S52" i="1"/>
  <c r="R52" i="1"/>
  <c r="L52" i="1"/>
  <c r="V51" i="1"/>
  <c r="U51" i="1"/>
  <c r="T51" i="1"/>
  <c r="S51" i="1"/>
  <c r="R51" i="1"/>
  <c r="E51" i="1"/>
  <c r="V50" i="1"/>
  <c r="U50" i="1"/>
  <c r="T50" i="1"/>
  <c r="S50" i="1"/>
  <c r="R50" i="1"/>
  <c r="E50" i="1"/>
  <c r="V49" i="1"/>
  <c r="U49" i="1"/>
  <c r="T49" i="1"/>
  <c r="S49" i="1"/>
  <c r="R49" i="1"/>
  <c r="V48" i="1"/>
  <c r="U48" i="1"/>
  <c r="T48" i="1"/>
  <c r="S48" i="1"/>
  <c r="R48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L34" i="1" s="1"/>
  <c r="H25" i="1"/>
  <c r="D25" i="1"/>
  <c r="V24" i="1"/>
  <c r="U24" i="1"/>
  <c r="T24" i="1"/>
  <c r="S24" i="1"/>
  <c r="R24" i="1"/>
  <c r="L24" i="1"/>
  <c r="V23" i="1"/>
  <c r="U23" i="1"/>
  <c r="T23" i="1"/>
  <c r="S23" i="1"/>
  <c r="R23" i="1"/>
  <c r="L23" i="1"/>
  <c r="E23" i="1"/>
  <c r="V22" i="1"/>
  <c r="U22" i="1"/>
  <c r="T22" i="1"/>
  <c r="S22" i="1"/>
  <c r="R22" i="1"/>
  <c r="V21" i="1"/>
  <c r="U21" i="1"/>
  <c r="T21" i="1"/>
  <c r="S21" i="1"/>
  <c r="R21" i="1"/>
  <c r="E21" i="1"/>
  <c r="V20" i="1"/>
  <c r="U20" i="1"/>
  <c r="T20" i="1"/>
  <c r="S20" i="1"/>
  <c r="R20" i="1"/>
  <c r="L20" i="1"/>
  <c r="V19" i="1"/>
  <c r="U19" i="1"/>
  <c r="T19" i="1"/>
  <c r="S19" i="1"/>
  <c r="R19" i="1"/>
  <c r="L19" i="1"/>
  <c r="E19" i="1"/>
  <c r="V18" i="1"/>
  <c r="U18" i="1"/>
  <c r="T18" i="1"/>
  <c r="S18" i="1"/>
  <c r="R18" i="1"/>
  <c r="V17" i="1"/>
  <c r="U17" i="1"/>
  <c r="T17" i="1"/>
  <c r="S17" i="1"/>
  <c r="R17" i="1"/>
  <c r="E17" i="1"/>
  <c r="V16" i="1"/>
  <c r="U16" i="1"/>
  <c r="T16" i="1"/>
  <c r="S16" i="1"/>
  <c r="R16" i="1"/>
  <c r="L16" i="1"/>
  <c r="V15" i="1"/>
  <c r="U15" i="1"/>
  <c r="T15" i="1"/>
  <c r="S15" i="1"/>
  <c r="R15" i="1"/>
  <c r="L15" i="1"/>
  <c r="E15" i="1"/>
  <c r="V14" i="1"/>
  <c r="U14" i="1"/>
  <c r="T14" i="1"/>
  <c r="S14" i="1"/>
  <c r="R14" i="1"/>
  <c r="V13" i="1"/>
  <c r="U13" i="1"/>
  <c r="T13" i="1"/>
  <c r="S13" i="1"/>
  <c r="R13" i="1"/>
  <c r="E13" i="1"/>
  <c r="V12" i="1"/>
  <c r="U12" i="1"/>
  <c r="T12" i="1"/>
  <c r="S12" i="1"/>
  <c r="R12" i="1"/>
  <c r="L12" i="1"/>
  <c r="V11" i="1"/>
  <c r="U11" i="1"/>
  <c r="T11" i="1"/>
  <c r="S11" i="1"/>
  <c r="R11" i="1"/>
  <c r="L11" i="1"/>
  <c r="E11" i="1"/>
  <c r="V10" i="1"/>
  <c r="U10" i="1"/>
  <c r="T10" i="1"/>
  <c r="S10" i="1"/>
  <c r="R10" i="1"/>
  <c r="V9" i="1"/>
  <c r="U9" i="1"/>
  <c r="T9" i="1"/>
  <c r="S9" i="1"/>
  <c r="R9" i="1"/>
  <c r="E9" i="1"/>
  <c r="V8" i="1"/>
  <c r="U8" i="1"/>
  <c r="T8" i="1"/>
  <c r="S8" i="1"/>
  <c r="R8" i="1"/>
  <c r="L8" i="1"/>
  <c r="V7" i="1"/>
  <c r="U7" i="1"/>
  <c r="T7" i="1"/>
  <c r="S7" i="1"/>
  <c r="R7" i="1"/>
  <c r="L7" i="1"/>
  <c r="E7" i="1"/>
  <c r="V6" i="1"/>
  <c r="U6" i="1"/>
  <c r="T6" i="1"/>
  <c r="S6" i="1"/>
  <c r="R6" i="1"/>
  <c r="J12" i="4" l="1"/>
  <c r="H229" i="1"/>
  <c r="H258" i="1" s="1"/>
  <c r="D12" i="4"/>
  <c r="L170" i="1"/>
  <c r="L186" i="1"/>
  <c r="T155" i="1"/>
  <c r="T195" i="1"/>
  <c r="T228" i="1"/>
  <c r="R242" i="1"/>
  <c r="E251" i="1"/>
  <c r="L252" i="1"/>
  <c r="E253" i="1"/>
  <c r="E255" i="1"/>
  <c r="T257" i="1"/>
  <c r="K155" i="1"/>
  <c r="L137" i="1" s="1"/>
  <c r="T164" i="1"/>
  <c r="T200" i="1"/>
  <c r="R257" i="1"/>
  <c r="L110" i="1"/>
  <c r="L77" i="1"/>
  <c r="L160" i="1"/>
  <c r="L174" i="1"/>
  <c r="L182" i="1"/>
  <c r="L190" i="1"/>
  <c r="L255" i="1"/>
  <c r="L158" i="1"/>
  <c r="L159" i="1"/>
  <c r="L161" i="1"/>
  <c r="E35" i="1"/>
  <c r="L36" i="1"/>
  <c r="E37" i="1"/>
  <c r="L38" i="1"/>
  <c r="E39" i="1"/>
  <c r="L168" i="1"/>
  <c r="L172" i="1"/>
  <c r="L176" i="1"/>
  <c r="L180" i="1"/>
  <c r="L184" i="1"/>
  <c r="L188" i="1"/>
  <c r="L192" i="1"/>
  <c r="L50" i="1"/>
  <c r="L167" i="1"/>
  <c r="L169" i="1"/>
  <c r="L171" i="1"/>
  <c r="L173" i="1"/>
  <c r="L175" i="1"/>
  <c r="L177" i="1"/>
  <c r="L179" i="1"/>
  <c r="L181" i="1"/>
  <c r="L183" i="1"/>
  <c r="L185" i="1"/>
  <c r="L187" i="1"/>
  <c r="L189" i="1"/>
  <c r="L191" i="1"/>
  <c r="L193" i="1"/>
  <c r="L74" i="1"/>
  <c r="E78" i="1"/>
  <c r="L79" i="1"/>
  <c r="L80" i="1"/>
  <c r="L83" i="1"/>
  <c r="L84" i="1"/>
  <c r="L87" i="1"/>
  <c r="L88" i="1"/>
  <c r="L91" i="1"/>
  <c r="L92" i="1"/>
  <c r="L95" i="1"/>
  <c r="L96" i="1"/>
  <c r="L101" i="1"/>
  <c r="L102" i="1"/>
  <c r="L105" i="1"/>
  <c r="L106" i="1"/>
  <c r="L109" i="1"/>
  <c r="L28" i="1"/>
  <c r="E29" i="1"/>
  <c r="L30" i="1"/>
  <c r="E31" i="1"/>
  <c r="L32" i="1"/>
  <c r="E33" i="1"/>
  <c r="L41" i="1"/>
  <c r="E42" i="1"/>
  <c r="L43" i="1"/>
  <c r="E44" i="1"/>
  <c r="L45" i="1"/>
  <c r="E46" i="1"/>
  <c r="E49" i="1"/>
  <c r="L6" i="1"/>
  <c r="L9" i="1"/>
  <c r="L10" i="1"/>
  <c r="L13" i="1"/>
  <c r="L14" i="1"/>
  <c r="L17" i="1"/>
  <c r="L18" i="1"/>
  <c r="L21" i="1"/>
  <c r="L22" i="1"/>
  <c r="L204" i="1"/>
  <c r="L205" i="1"/>
  <c r="L208" i="1"/>
  <c r="L209" i="1"/>
  <c r="L210" i="1"/>
  <c r="L212" i="1"/>
  <c r="L213" i="1"/>
  <c r="L214" i="1"/>
  <c r="L215" i="1"/>
  <c r="L216" i="1"/>
  <c r="L217" i="1"/>
  <c r="L218" i="1"/>
  <c r="L219" i="1"/>
  <c r="L220" i="1"/>
  <c r="L221" i="1"/>
  <c r="L226" i="1"/>
  <c r="L227" i="1"/>
  <c r="O229" i="1"/>
  <c r="O258" i="1" s="1"/>
  <c r="L119" i="1"/>
  <c r="L127" i="1"/>
  <c r="L131" i="1"/>
  <c r="L118" i="1"/>
  <c r="L122" i="1"/>
  <c r="L128" i="1"/>
  <c r="L132" i="1"/>
  <c r="L138" i="1"/>
  <c r="L98" i="1"/>
  <c r="E28" i="1"/>
  <c r="L29" i="1"/>
  <c r="E30" i="1"/>
  <c r="L31" i="1"/>
  <c r="E32" i="1"/>
  <c r="L33" i="1"/>
  <c r="L35" i="1"/>
  <c r="E36" i="1"/>
  <c r="L37" i="1"/>
  <c r="E38" i="1"/>
  <c r="L39" i="1"/>
  <c r="L40" i="1"/>
  <c r="E41" i="1"/>
  <c r="L42" i="1"/>
  <c r="E43" i="1"/>
  <c r="L44" i="1"/>
  <c r="E45" i="1"/>
  <c r="L46" i="1"/>
  <c r="E48" i="1"/>
  <c r="L51" i="1"/>
  <c r="E52" i="1"/>
  <c r="L53" i="1"/>
  <c r="E54" i="1"/>
  <c r="L55" i="1"/>
  <c r="E56" i="1"/>
  <c r="L57" i="1"/>
  <c r="E58" i="1"/>
  <c r="L59" i="1"/>
  <c r="E60" i="1"/>
  <c r="L61" i="1"/>
  <c r="E62" i="1"/>
  <c r="L63" i="1"/>
  <c r="E64" i="1"/>
  <c r="L65" i="1"/>
  <c r="E66" i="1"/>
  <c r="L67" i="1"/>
  <c r="E68" i="1"/>
  <c r="L69" i="1"/>
  <c r="L140" i="1"/>
  <c r="B13" i="2"/>
  <c r="B3" i="2" s="1"/>
  <c r="D229" i="1"/>
  <c r="E228" i="1" s="1"/>
  <c r="B8" i="3"/>
  <c r="L154" i="1"/>
  <c r="L152" i="1"/>
  <c r="L150" i="1"/>
  <c r="C16" i="2"/>
  <c r="C6" i="2" s="1"/>
  <c r="R118" i="1"/>
  <c r="R120" i="1"/>
  <c r="R122" i="1"/>
  <c r="R127" i="1"/>
  <c r="R128" i="1"/>
  <c r="R130" i="1"/>
  <c r="R131" i="1"/>
  <c r="R132" i="1"/>
  <c r="R133" i="1"/>
  <c r="R136" i="1"/>
  <c r="R25" i="1"/>
  <c r="T25" i="1"/>
  <c r="R71" i="1"/>
  <c r="R113" i="1"/>
  <c r="R117" i="1"/>
  <c r="R119" i="1"/>
  <c r="R121" i="1"/>
  <c r="L123" i="1"/>
  <c r="R126" i="1"/>
  <c r="R129" i="1"/>
  <c r="R137" i="1"/>
  <c r="R140" i="1"/>
  <c r="L142" i="1"/>
  <c r="B20" i="2"/>
  <c r="B10" i="2" s="1"/>
  <c r="E236" i="1"/>
  <c r="E233" i="1"/>
  <c r="E232" i="1"/>
  <c r="E226" i="1"/>
  <c r="E220" i="1"/>
  <c r="E218" i="1"/>
  <c r="E216" i="1"/>
  <c r="E214" i="1"/>
  <c r="E209" i="1"/>
  <c r="E205" i="1"/>
  <c r="E235" i="1"/>
  <c r="E234" i="1"/>
  <c r="E227" i="1"/>
  <c r="E221" i="1"/>
  <c r="E219" i="1"/>
  <c r="E217" i="1"/>
  <c r="E215" i="1"/>
  <c r="E212" i="1"/>
  <c r="E210" i="1"/>
  <c r="E208" i="1"/>
  <c r="E204" i="1"/>
  <c r="L235" i="1"/>
  <c r="L232" i="1"/>
  <c r="R237" i="1"/>
  <c r="L236" i="1"/>
  <c r="L233" i="1"/>
  <c r="E6" i="1"/>
  <c r="E8" i="1"/>
  <c r="E10" i="1"/>
  <c r="E12" i="1"/>
  <c r="E14" i="1"/>
  <c r="E16" i="1"/>
  <c r="E18" i="1"/>
  <c r="E20" i="1"/>
  <c r="E22" i="1"/>
  <c r="E24" i="1"/>
  <c r="B3" i="3"/>
  <c r="C13" i="2"/>
  <c r="C3" i="2" s="1"/>
  <c r="E34" i="1"/>
  <c r="B9" i="3"/>
  <c r="C14" i="2"/>
  <c r="C4" i="2" s="1"/>
  <c r="E74" i="1"/>
  <c r="E76" i="1"/>
  <c r="E80" i="1"/>
  <c r="E82" i="1"/>
  <c r="E84" i="1"/>
  <c r="E86" i="1"/>
  <c r="E88" i="1"/>
  <c r="E90" i="1"/>
  <c r="E92" i="1"/>
  <c r="E94" i="1"/>
  <c r="E96" i="1"/>
  <c r="E98" i="1"/>
  <c r="E100" i="1"/>
  <c r="E102" i="1"/>
  <c r="E104" i="1"/>
  <c r="E106" i="1"/>
  <c r="E108" i="1"/>
  <c r="E110" i="1"/>
  <c r="E112" i="1"/>
  <c r="B7" i="3"/>
  <c r="C15" i="2"/>
  <c r="C5" i="2" s="1"/>
  <c r="L117" i="1"/>
  <c r="L125" i="1"/>
  <c r="L139" i="1"/>
  <c r="E140" i="1"/>
  <c r="L143" i="1"/>
  <c r="L145" i="1"/>
  <c r="R144" i="1"/>
  <c r="R145" i="1"/>
  <c r="L147" i="1"/>
  <c r="L148" i="1"/>
  <c r="E163" i="1"/>
  <c r="E164" i="1"/>
  <c r="R195" i="1"/>
  <c r="L224" i="1"/>
  <c r="E225" i="1"/>
  <c r="R232" i="1"/>
  <c r="L234" i="1"/>
  <c r="L240" i="1"/>
  <c r="C17" i="2"/>
  <c r="C7" i="2" s="1"/>
  <c r="C18" i="2"/>
  <c r="C8" i="2" s="1"/>
  <c r="C19" i="2"/>
  <c r="C9" i="2" s="1"/>
  <c r="C20" i="2"/>
  <c r="C10" i="2" s="1"/>
  <c r="C12" i="4"/>
  <c r="E12" i="4"/>
  <c r="G12" i="4"/>
  <c r="I12" i="4"/>
  <c r="R164" i="1"/>
  <c r="R200" i="1"/>
  <c r="R211" i="1"/>
  <c r="E224" i="1"/>
  <c r="L225" i="1"/>
  <c r="R228" i="1"/>
  <c r="B4" i="5"/>
  <c r="B3" i="5" s="1"/>
  <c r="D4" i="5"/>
  <c r="D3" i="5" s="1"/>
  <c r="F4" i="5"/>
  <c r="F3" i="5" s="1"/>
  <c r="H4" i="5"/>
  <c r="H3" i="5" s="1"/>
  <c r="E200" i="1" l="1"/>
  <c r="E71" i="1"/>
  <c r="E155" i="1"/>
  <c r="E113" i="1"/>
  <c r="E25" i="1"/>
  <c r="K229" i="1"/>
  <c r="L228" i="1" s="1"/>
  <c r="L144" i="1"/>
  <c r="L141" i="1"/>
  <c r="L124" i="1"/>
  <c r="L146" i="1"/>
  <c r="L149" i="1"/>
  <c r="L151" i="1"/>
  <c r="L153" i="1"/>
  <c r="R155" i="1"/>
  <c r="L136" i="1"/>
  <c r="L130" i="1"/>
  <c r="L126" i="1"/>
  <c r="L120" i="1"/>
  <c r="L133" i="1"/>
  <c r="L129" i="1"/>
  <c r="L121" i="1"/>
  <c r="L200" i="1"/>
  <c r="L195" i="1"/>
  <c r="D258" i="1"/>
  <c r="E195" i="1"/>
  <c r="R229" i="1"/>
  <c r="L71" i="1"/>
  <c r="L155" i="1"/>
  <c r="L25" i="1" l="1"/>
  <c r="L113" i="1"/>
  <c r="K258" i="1"/>
  <c r="L164" i="1"/>
</calcChain>
</file>

<file path=xl/sharedStrings.xml><?xml version="1.0" encoding="utf-8"?>
<sst xmlns="http://schemas.openxmlformats.org/spreadsheetml/2006/main" count="527" uniqueCount="334">
  <si>
    <t>WEEKLY VALUATION REPORT OF COLLECTIVE INVESTMENT SCHEMES AS AT WEEK ENDED FRIDAY, OCTOBER 17, 2025</t>
  </si>
  <si>
    <t>NAV, Unit Price and Yield as at Week Ended October 10, 2025</t>
  </si>
  <si>
    <t>NAV, Unit Price and Yield as at Week Ended October 17, 2025</t>
  </si>
  <si>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</si>
  <si>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</si>
  <si>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</si>
  <si>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</si>
  <si>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</si>
  <si>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</si>
  <si>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</si>
  <si>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</si>
  <si>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</si>
  <si>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</si>
  <si>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</si>
  <si>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</si>
  <si>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</si>
  <si>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</si>
  <si>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</si>
  <si>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</si>
  <si>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</si>
  <si>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</si>
  <si>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</si>
  <si>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</si>
  <si>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</si>
  <si>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</si>
  <si>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</si>
  <si>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</si>
  <si>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</si>
  <si>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</si>
  <si>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</si>
  <si>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</si>
  <si>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</si>
  <si>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</si>
  <si>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</si>
  <si>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</si>
  <si>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</si>
  <si>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</si>
  <si>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</si>
  <si>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</si>
  <si>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</si>
  <si>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</si>
  <si>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</si>
  <si>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</si>
  <si>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</si>
  <si>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</si>
  <si>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</si>
  <si>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</si>
  <si>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</si>
  <si>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</si>
  <si>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</si>
  <si>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</si>
  <si>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</si>
  <si>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</si>
  <si>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</si>
  <si>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</si>
  <si>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</si>
  <si>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</si>
  <si>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</si>
  <si>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</si>
  <si>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</si>
  <si>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</si>
  <si>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</si>
  <si>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</si>
  <si>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</si>
  <si>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</si>
  <si>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</si>
  <si>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</si>
  <si>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</si>
  <si>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</si>
  <si>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</si>
  <si>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</si>
  <si>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</si>
  <si>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</si>
  <si>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</si>
  <si>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</si>
  <si>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</si>
  <si>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</si>
  <si>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</si>
  <si>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</si>
  <si>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</si>
  <si>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</si>
  <si>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</si>
  <si>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</si>
  <si>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</si>
  <si>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</si>
  <si>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</si>
  <si>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</si>
  <si>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</si>
  <si>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</si>
  <si>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</si>
  <si>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</si>
  <si>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</si>
  <si>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</si>
  <si>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</si>
  <si>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</si>
  <si>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</si>
  <si>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</si>
  <si>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</si>
  <si>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</si>
  <si>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</si>
  <si>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</si>
  <si>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</si>
  <si>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</si>
  <si>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</si>
  <si>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</si>
  <si>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</si>
  <si>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</si>
  <si>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</si>
  <si>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</si>
  <si>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</si>
  <si>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</si>
  <si>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</si>
  <si>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</si>
  <si>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</si>
  <si>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</si>
  <si>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RT Briscoe Savings &amp; Investment Fund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</si>
  <si>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</si>
  <si>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</si>
  <si>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</si>
  <si>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</si>
  <si>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</si>
  <si>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</si>
  <si>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</si>
  <si>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</si>
  <si>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</si>
  <si>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</si>
  <si>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</si>
  <si>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</si>
  <si>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</si>
  <si>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</si>
  <si>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</si>
  <si>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</si>
  <si>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</si>
  <si>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</si>
  <si>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</si>
  <si>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</si>
  <si>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</si>
  <si>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</si>
  <si>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</si>
  <si>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</si>
  <si>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</si>
  <si>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</si>
  <si>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</si>
  <si>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</si>
  <si>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</si>
  <si>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</si>
  <si>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</si>
  <si>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</si>
  <si>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</si>
  <si>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</si>
  <si>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</si>
  <si>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</si>
  <si>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</si>
  <si>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</si>
  <si>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</si>
  <si>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</si>
  <si>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</si>
  <si>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</si>
  <si>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</si>
  <si>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</si>
  <si>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</si>
  <si>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</si>
  <si>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</si>
  <si>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</si>
  <si>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</si>
  <si>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</si>
  <si>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</si>
  <si>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</si>
  <si>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</si>
  <si>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</si>
  <si>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</si>
  <si>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</si>
  <si>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</si>
  <si>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</si>
  <si>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</si>
  <si>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</si>
  <si>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</si>
  <si>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</si>
  <si>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</si>
  <si>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</si>
  <si>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</si>
  <si>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</si>
  <si>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</si>
  <si>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</si>
  <si>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</si>
  <si>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</si>
  <si>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</si>
  <si>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</si>
  <si>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</si>
  <si>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</si>
  <si>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</si>
  <si>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</si>
  <si>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</si>
  <si>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</si>
  <si>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</si>
  <si>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</si>
  <si>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</si>
  <si>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</si>
  <si>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</si>
  <si>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</si>
  <si>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</si>
  <si>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</si>
  <si>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</si>
  <si>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</si>
  <si>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</si>
  <si>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Meristem Dollar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</si>
  <si>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</si>
  <si>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</si>
  <si>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</si>
  <si>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</si>
  <si>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</si>
  <si>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</si>
  <si>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</si>
  <si>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</si>
  <si>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</si>
  <si>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</si>
  <si>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</si>
  <si>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</si>
  <si>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</si>
  <si>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</si>
  <si>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</si>
  <si>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</si>
  <si>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</si>
  <si>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</si>
  <si>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</si>
  <si>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</si>
  <si>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</si>
  <si>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</si>
  <si>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</si>
  <si>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</si>
  <si>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</si>
  <si>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</si>
  <si>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</si>
  <si>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</si>
  <si>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</si>
  <si>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</si>
  <si>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</si>
  <si>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</si>
  <si>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</si>
  <si>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</si>
  <si>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</si>
  <si>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</si>
  <si>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</si>
  <si>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</si>
  <si>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</si>
  <si>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</si>
  <si>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</si>
  <si>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</si>
  <si>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</si>
  <si>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</si>
  <si>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</si>
  <si>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</si>
  <si>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</si>
  <si>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</si>
  <si>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</si>
  <si>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</si>
  <si>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</si>
  <si>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</si>
  <si>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</si>
  <si>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</si>
  <si>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</si>
  <si>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</si>
  <si>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</si>
  <si>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</si>
  <si>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</si>
  <si>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</si>
  <si>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</si>
  <si>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</si>
  <si>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</si>
  <si>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</si>
  <si>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</si>
  <si>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</si>
  <si>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</si>
  <si>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</si>
  <si>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</si>
  <si>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</si>
  <si>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</si>
  <si>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</si>
  <si>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</si>
  <si>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</si>
  <si>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</si>
  <si>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</si>
  <si>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</si>
  <si>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</si>
  <si>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</si>
  <si>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</si>
  <si>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</si>
  <si>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</si>
  <si>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</si>
  <si>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</si>
  <si>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</si>
  <si>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</si>
  <si>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</si>
  <si>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</si>
  <si>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</si>
  <si>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</si>
  <si>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</si>
  <si>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</si>
  <si>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</si>
  <si>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</si>
  <si>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</si>
  <si>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</si>
  <si>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</si>
  <si>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</si>
  <si>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</si>
  <si>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</si>
  <si>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</si>
  <si>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</si>
  <si>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</si>
  <si>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</si>
  <si>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</si>
  <si>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</si>
  <si>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</si>
  <si>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</si>
  <si>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</si>
  <si>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</si>
  <si>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</si>
  <si>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</si>
  <si>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NFEM RATE NG₦/US$ as at 17th October, 2025 = N1475.3516</t>
  </si>
  <si>
    <t>FUNDS</t>
  </si>
  <si>
    <t>Week Ended October 10, 2025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</si>
  <si>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</si>
  <si>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</si>
  <si>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</si>
  <si>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</si>
  <si>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</si>
  <si>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</si>
  <si>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</si>
  <si>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</si>
  <si>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</si>
  <si>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</si>
  <si>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Fundvine Money Market Fund</t>
  </si>
  <si>
    <t>Fundvine Berkshire Asset Management Limited</t>
  </si>
  <si>
    <t>Week Ended October 17,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</si>
</sst>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1">
    <font>
      <sz val="11"/>
      <color theme="1"/>
      <name val="Calibri"/>
      <charset val="134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8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3" tint="0.799829096346934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43" fontId="4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46" fillId="21" borderId="0" applyNumberFormat="0" applyBorder="0" applyAlignment="0" applyProtection="0"/>
    <xf numFmtId="0" fontId="47" fillId="0" borderId="0"/>
    <xf numFmtId="0" fontId="12" fillId="0" borderId="0"/>
    <xf numFmtId="0" fontId="12" fillId="0" borderId="0"/>
    <xf numFmtId="0" fontId="4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9" fillId="0" borderId="0" applyNumberFormat="0" applyFill="0" applyBorder="0" applyAlignment="0" applyProtection="0"/>
  </cellStyleXfs>
  <cellXfs count="196">
    <xf numFmtId="0" fontId="0" fillId="0" borderId="0" xfId="0"/>
    <xf numFmtId="0" fontId="1" fillId="0" borderId="1" xfId="0" applyFont="1" applyBorder="1" applyAlignment="1">
      <alignment horizontal="right"/>
    </xf>
    <xf numFmtId="16" fontId="2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4" fillId="2" borderId="1" xfId="0" applyNumberFormat="1" applyFont="1" applyFill="1" applyBorder="1"/>
    <xf numFmtId="164" fontId="3" fillId="2" borderId="1" xfId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/>
    </xf>
    <xf numFmtId="43" fontId="5" fillId="3" borderId="1" xfId="0" applyNumberFormat="1" applyFont="1" applyFill="1" applyBorder="1"/>
    <xf numFmtId="0" fontId="4" fillId="0" borderId="0" xfId="0" applyFont="1"/>
    <xf numFmtId="164" fontId="4" fillId="0" borderId="0" xfId="1" applyFont="1"/>
    <xf numFmtId="0" fontId="1" fillId="4" borderId="1" xfId="0" applyFont="1" applyFill="1" applyBorder="1" applyAlignment="1">
      <alignment horizontal="right"/>
    </xf>
    <xf numFmtId="43" fontId="1" fillId="4" borderId="1" xfId="0" applyNumberFormat="1" applyFont="1" applyFill="1" applyBorder="1"/>
    <xf numFmtId="164" fontId="1" fillId="4" borderId="1" xfId="1" applyFont="1" applyFill="1" applyBorder="1"/>
    <xf numFmtId="0" fontId="6" fillId="0" borderId="0" xfId="0" applyFont="1"/>
    <xf numFmtId="0" fontId="7" fillId="0" borderId="1" xfId="0" applyFont="1" applyBorder="1" applyAlignment="1">
      <alignment horizontal="right"/>
    </xf>
    <xf numFmtId="164" fontId="3" fillId="0" borderId="1" xfId="1" applyFont="1" applyBorder="1"/>
    <xf numFmtId="164" fontId="6" fillId="0" borderId="0" xfId="1" applyFont="1"/>
    <xf numFmtId="43" fontId="6" fillId="0" borderId="0" xfId="0" applyNumberFormat="1" applyFont="1"/>
    <xf numFmtId="0" fontId="8" fillId="0" borderId="0" xfId="0" applyFont="1"/>
    <xf numFmtId="0" fontId="9" fillId="0" borderId="0" xfId="0" applyFont="1"/>
    <xf numFmtId="16" fontId="10" fillId="2" borderId="0" xfId="0" applyNumberFormat="1" applyFont="1" applyFill="1"/>
    <xf numFmtId="164" fontId="11" fillId="0" borderId="0" xfId="1" applyFont="1"/>
    <xf numFmtId="43" fontId="11" fillId="0" borderId="0" xfId="0" applyNumberFormat="1" applyFont="1"/>
    <xf numFmtId="4" fontId="11" fillId="0" borderId="0" xfId="0" applyNumberFormat="1" applyFont="1"/>
    <xf numFmtId="16" fontId="14" fillId="2" borderId="0" xfId="0" applyNumberFormat="1" applyFont="1" applyFill="1"/>
    <xf numFmtId="0" fontId="14" fillId="0" borderId="0" xfId="0" applyFont="1" applyAlignment="1">
      <alignment horizontal="right"/>
    </xf>
    <xf numFmtId="4" fontId="15" fillId="2" borderId="0" xfId="0" applyNumberFormat="1" applyFont="1" applyFill="1"/>
    <xf numFmtId="164" fontId="15" fillId="2" borderId="0" xfId="1" applyFont="1" applyFill="1" applyBorder="1" applyAlignment="1">
      <alignment horizontal="right" vertical="top" wrapText="1"/>
    </xf>
    <xf numFmtId="4" fontId="15" fillId="2" borderId="0" xfId="0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164" fontId="3" fillId="2" borderId="0" xfId="1" applyFont="1" applyFill="1" applyBorder="1" applyAlignment="1">
      <alignment horizontal="right" vertical="top" wrapText="1"/>
    </xf>
    <xf numFmtId="4" fontId="3" fillId="2" borderId="0" xfId="0" applyNumberFormat="1" applyFont="1" applyFill="1"/>
    <xf numFmtId="4" fontId="3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wrapText="1"/>
    </xf>
    <xf numFmtId="0" fontId="17" fillId="0" borderId="0" xfId="0" applyFont="1" applyAlignment="1">
      <alignment horizontal="right"/>
    </xf>
    <xf numFmtId="16" fontId="17" fillId="2" borderId="0" xfId="0" applyNumberFormat="1" applyFont="1" applyFill="1" applyAlignment="1">
      <alignment horizontal="center" wrapText="1"/>
    </xf>
    <xf numFmtId="0" fontId="18" fillId="0" borderId="0" xfId="0" applyFont="1"/>
    <xf numFmtId="0" fontId="17" fillId="0" borderId="0" xfId="0" applyFont="1" applyAlignment="1">
      <alignment horizontal="right" wrapText="1"/>
    </xf>
    <xf numFmtId="4" fontId="19" fillId="2" borderId="0" xfId="0" applyNumberFormat="1" applyFont="1" applyFill="1"/>
    <xf numFmtId="4" fontId="19" fillId="2" borderId="0" xfId="0" applyNumberFormat="1" applyFont="1" applyFill="1" applyAlignment="1">
      <alignment horizontal="right"/>
    </xf>
    <xf numFmtId="164" fontId="19" fillId="2" borderId="0" xfId="1" applyFont="1" applyFill="1" applyBorder="1" applyAlignment="1">
      <alignment horizontal="right" vertical="top" wrapText="1"/>
    </xf>
    <xf numFmtId="0" fontId="20" fillId="0" borderId="0" xfId="0" applyFont="1" applyAlignment="1">
      <alignment horizontal="right" wrapText="1"/>
    </xf>
    <xf numFmtId="164" fontId="21" fillId="0" borderId="0" xfId="1" applyFont="1" applyBorder="1"/>
    <xf numFmtId="4" fontId="21" fillId="2" borderId="0" xfId="0" applyNumberFormat="1" applyFont="1" applyFill="1"/>
    <xf numFmtId="0" fontId="20" fillId="0" borderId="0" xfId="0" applyFont="1" applyAlignment="1">
      <alignment horizontal="right"/>
    </xf>
    <xf numFmtId="4" fontId="21" fillId="2" borderId="0" xfId="0" applyNumberFormat="1" applyFont="1" applyFill="1" applyAlignment="1">
      <alignment horizontal="right"/>
    </xf>
    <xf numFmtId="164" fontId="21" fillId="2" borderId="0" xfId="1" applyFont="1" applyFill="1" applyBorder="1" applyAlignment="1">
      <alignment horizontal="right" vertical="top" wrapText="1"/>
    </xf>
    <xf numFmtId="0" fontId="4" fillId="6" borderId="1" xfId="0" applyFont="1" applyFill="1" applyBorder="1"/>
    <xf numFmtId="0" fontId="23" fillId="7" borderId="1" xfId="0" applyFont="1" applyFill="1" applyBorder="1"/>
    <xf numFmtId="0" fontId="24" fillId="7" borderId="1" xfId="0" applyFont="1" applyFill="1" applyBorder="1"/>
    <xf numFmtId="0" fontId="25" fillId="3" borderId="1" xfId="0" applyFont="1" applyFill="1" applyBorder="1" applyAlignment="1">
      <alignment horizontal="center" vertical="top" wrapText="1"/>
    </xf>
    <xf numFmtId="0" fontId="25" fillId="3" borderId="1" xfId="0" applyFont="1" applyFill="1" applyBorder="1" applyAlignment="1">
      <alignment vertical="top" wrapText="1"/>
    </xf>
    <xf numFmtId="0" fontId="23" fillId="3" borderId="1" xfId="0" applyFont="1" applyFill="1" applyBorder="1" applyAlignment="1">
      <alignment vertical="top" wrapText="1"/>
    </xf>
    <xf numFmtId="0" fontId="23" fillId="3" borderId="1" xfId="0" applyFont="1" applyFill="1" applyBorder="1" applyAlignment="1">
      <alignment horizontal="center" vertical="top"/>
    </xf>
    <xf numFmtId="0" fontId="23" fillId="3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28" fillId="0" borderId="1" xfId="0" applyFont="1" applyBorder="1" applyAlignment="1">
      <alignment horizontal="center" vertical="center"/>
    </xf>
    <xf numFmtId="4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wrapText="1"/>
    </xf>
    <xf numFmtId="4" fontId="28" fillId="2" borderId="1" xfId="0" applyNumberFormat="1" applyFont="1" applyFill="1" applyBorder="1"/>
    <xf numFmtId="10" fontId="28" fillId="7" borderId="1" xfId="2" applyNumberFormat="1" applyFont="1" applyFill="1" applyBorder="1" applyAlignment="1">
      <alignment horizontal="center"/>
    </xf>
    <xf numFmtId="164" fontId="28" fillId="9" borderId="1" xfId="1" applyFont="1" applyFill="1" applyBorder="1" applyAlignment="1">
      <alignment horizontal="center"/>
    </xf>
    <xf numFmtId="0" fontId="29" fillId="0" borderId="0" xfId="0" applyFont="1"/>
    <xf numFmtId="164" fontId="26" fillId="9" borderId="1" xfId="1" applyFont="1" applyFill="1" applyBorder="1" applyAlignment="1">
      <alignment horizontal="center"/>
    </xf>
    <xf numFmtId="164" fontId="28" fillId="2" borderId="1" xfId="1" applyFont="1" applyFill="1" applyBorder="1"/>
    <xf numFmtId="164" fontId="28" fillId="2" borderId="1" xfId="10" applyFont="1" applyFill="1" applyBorder="1"/>
    <xf numFmtId="0" fontId="28" fillId="2" borderId="1" xfId="0" applyFont="1" applyFill="1" applyBorder="1" applyAlignment="1">
      <alignment horizontal="center" vertical="center"/>
    </xf>
    <xf numFmtId="4" fontId="29" fillId="0" borderId="0" xfId="0" applyNumberFormat="1" applyFont="1"/>
    <xf numFmtId="4" fontId="28" fillId="2" borderId="1" xfId="0" applyNumberFormat="1" applyFont="1" applyFill="1" applyBorder="1" applyAlignment="1">
      <alignment horizontal="right"/>
    </xf>
    <xf numFmtId="0" fontId="26" fillId="0" borderId="1" xfId="0" applyFont="1" applyBorder="1"/>
    <xf numFmtId="0" fontId="26" fillId="2" borderId="1" xfId="0" applyFont="1" applyFill="1" applyBorder="1"/>
    <xf numFmtId="0" fontId="25" fillId="2" borderId="1" xfId="0" applyFont="1" applyFill="1" applyBorder="1" applyAlignment="1">
      <alignment horizontal="right"/>
    </xf>
    <xf numFmtId="164" fontId="25" fillId="2" borderId="1" xfId="1" applyFont="1" applyFill="1" applyBorder="1" applyAlignment="1">
      <alignment horizontal="right" vertical="top" wrapText="1"/>
    </xf>
    <xf numFmtId="10" fontId="31" fillId="7" borderId="1" xfId="2" applyNumberFormat="1" applyFont="1" applyFill="1" applyBorder="1" applyAlignment="1">
      <alignment horizontal="center" vertical="top" wrapText="1"/>
    </xf>
    <xf numFmtId="10" fontId="28" fillId="2" borderId="1" xfId="2" applyNumberFormat="1" applyFont="1" applyFill="1" applyBorder="1" applyAlignment="1">
      <alignment horizontal="center" vertical="top" wrapText="1"/>
    </xf>
    <xf numFmtId="4" fontId="28" fillId="2" borderId="1" xfId="1" applyNumberFormat="1" applyFont="1" applyFill="1" applyBorder="1" applyAlignment="1">
      <alignment vertical="top" wrapText="1"/>
    </xf>
    <xf numFmtId="164" fontId="25" fillId="9" borderId="1" xfId="1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164" fontId="28" fillId="2" borderId="1" xfId="10" applyFont="1" applyFill="1" applyBorder="1" applyAlignment="1">
      <alignment horizontal="right"/>
    </xf>
    <xf numFmtId="0" fontId="28" fillId="2" borderId="1" xfId="0" applyFont="1" applyFill="1" applyBorder="1" applyAlignment="1">
      <alignment horizontal="center"/>
    </xf>
    <xf numFmtId="4" fontId="28" fillId="2" borderId="1" xfId="1" applyNumberFormat="1" applyFont="1" applyFill="1" applyBorder="1" applyAlignment="1">
      <alignment horizontal="right"/>
    </xf>
    <xf numFmtId="164" fontId="28" fillId="9" borderId="1" xfId="1" applyFont="1" applyFill="1" applyBorder="1" applyAlignment="1">
      <alignment horizontal="center" wrapText="1"/>
    </xf>
    <xf numFmtId="164" fontId="28" fillId="2" borderId="1" xfId="1" applyFont="1" applyFill="1" applyBorder="1" applyAlignment="1">
      <alignment horizontal="right"/>
    </xf>
    <xf numFmtId="164" fontId="28" fillId="2" borderId="1" xfId="10" applyFont="1" applyFill="1" applyBorder="1" applyAlignment="1">
      <alignment horizontal="right" wrapText="1"/>
    </xf>
    <xf numFmtId="4" fontId="28" fillId="2" borderId="1" xfId="44" applyNumberFormat="1" applyFont="1" applyFill="1" applyBorder="1" applyAlignment="1">
      <alignment wrapText="1"/>
    </xf>
    <xf numFmtId="164" fontId="23" fillId="3" borderId="1" xfId="1" applyFont="1" applyFill="1" applyBorder="1" applyAlignment="1">
      <alignment horizontal="center" vertical="top"/>
    </xf>
    <xf numFmtId="10" fontId="28" fillId="9" borderId="1" xfId="2" applyNumberFormat="1" applyFont="1" applyFill="1" applyBorder="1" applyAlignment="1">
      <alignment horizontal="center"/>
    </xf>
    <xf numFmtId="10" fontId="26" fillId="9" borderId="1" xfId="2" applyNumberFormat="1" applyFont="1" applyFill="1" applyBorder="1" applyAlignment="1">
      <alignment horizontal="center"/>
    </xf>
    <xf numFmtId="10" fontId="28" fillId="9" borderId="1" xfId="2" applyNumberFormat="1" applyFont="1" applyFill="1" applyBorder="1" applyAlignment="1">
      <alignment horizontal="center" vertical="top" wrapText="1"/>
    </xf>
    <xf numFmtId="10" fontId="28" fillId="9" borderId="1" xfId="2" applyNumberFormat="1" applyFont="1" applyFill="1" applyBorder="1" applyAlignment="1">
      <alignment horizontal="center" wrapText="1"/>
    </xf>
    <xf numFmtId="10" fontId="28" fillId="7" borderId="1" xfId="2" applyNumberFormat="1" applyFont="1" applyFill="1" applyBorder="1" applyAlignment="1">
      <alignment horizontal="center" wrapText="1"/>
    </xf>
    <xf numFmtId="10" fontId="28" fillId="3" borderId="1" xfId="2" applyNumberFormat="1" applyFont="1" applyFill="1" applyBorder="1" applyAlignment="1">
      <alignment horizontal="center" vertical="top" wrapText="1"/>
    </xf>
    <xf numFmtId="10" fontId="26" fillId="3" borderId="1" xfId="2" applyNumberFormat="1" applyFont="1" applyFill="1" applyBorder="1" applyAlignment="1">
      <alignment horizontal="center" vertical="top" wrapText="1"/>
    </xf>
    <xf numFmtId="10" fontId="26" fillId="3" borderId="1" xfId="1" applyNumberFormat="1" applyFont="1" applyFill="1" applyBorder="1" applyAlignment="1">
      <alignment horizontal="center" vertical="top" wrapText="1"/>
    </xf>
    <xf numFmtId="10" fontId="32" fillId="10" borderId="0" xfId="0" applyNumberFormat="1" applyFont="1" applyFill="1" applyAlignment="1">
      <alignment horizontal="right" vertical="center" wrapText="1"/>
    </xf>
    <xf numFmtId="164" fontId="25" fillId="2" borderId="1" xfId="1" applyFont="1" applyFill="1" applyBorder="1" applyAlignment="1">
      <alignment horizontal="right"/>
    </xf>
    <xf numFmtId="2" fontId="28" fillId="2" borderId="1" xfId="0" applyNumberFormat="1" applyFont="1" applyFill="1" applyBorder="1"/>
    <xf numFmtId="164" fontId="28" fillId="2" borderId="1" xfId="10" applyFont="1" applyFill="1" applyBorder="1" applyAlignment="1">
      <alignment wrapText="1"/>
    </xf>
    <xf numFmtId="164" fontId="28" fillId="11" borderId="1" xfId="1" applyFont="1" applyFill="1" applyBorder="1" applyAlignment="1">
      <alignment horizontal="center"/>
    </xf>
    <xf numFmtId="49" fontId="28" fillId="2" borderId="1" xfId="0" applyNumberFormat="1" applyFont="1" applyFill="1" applyBorder="1" applyAlignment="1">
      <alignment wrapText="1"/>
    </xf>
    <xf numFmtId="10" fontId="28" fillId="9" borderId="1" xfId="1" applyNumberFormat="1" applyFont="1" applyFill="1" applyBorder="1" applyAlignment="1">
      <alignment horizontal="center"/>
    </xf>
    <xf numFmtId="10" fontId="28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9" fillId="0" borderId="0" xfId="1" applyFont="1"/>
    <xf numFmtId="2" fontId="0" fillId="0" borderId="0" xfId="0" applyNumberFormat="1"/>
    <xf numFmtId="165" fontId="0" fillId="0" borderId="0" xfId="0" applyNumberFormat="1"/>
    <xf numFmtId="4" fontId="34" fillId="10" borderId="0" xfId="0" applyNumberFormat="1" applyFont="1" applyFill="1" applyAlignment="1">
      <alignment horizontal="right" vertical="center" wrapText="1"/>
    </xf>
    <xf numFmtId="0" fontId="28" fillId="0" borderId="1" xfId="0" applyFont="1" applyBorder="1"/>
    <xf numFmtId="0" fontId="25" fillId="0" borderId="1" xfId="0" applyFont="1" applyBorder="1" applyAlignment="1">
      <alignment horizontal="right"/>
    </xf>
    <xf numFmtId="4" fontId="36" fillId="0" borderId="1" xfId="0" applyNumberFormat="1" applyFont="1" applyBorder="1"/>
    <xf numFmtId="0" fontId="30" fillId="2" borderId="1" xfId="0" applyFont="1" applyFill="1" applyBorder="1"/>
    <xf numFmtId="4" fontId="28" fillId="2" borderId="1" xfId="1" applyNumberFormat="1" applyFont="1" applyFill="1" applyBorder="1" applyAlignment="1">
      <alignment horizontal="right" vertical="top" wrapText="1"/>
    </xf>
    <xf numFmtId="4" fontId="28" fillId="9" borderId="1" xfId="1" applyNumberFormat="1" applyFont="1" applyFill="1" applyBorder="1" applyAlignment="1">
      <alignment horizontal="center"/>
    </xf>
    <xf numFmtId="4" fontId="28" fillId="9" borderId="1" xfId="1" applyNumberFormat="1" applyFont="1" applyFill="1" applyBorder="1" applyAlignment="1">
      <alignment horizontal="center" vertical="top" wrapText="1"/>
    </xf>
    <xf numFmtId="166" fontId="21" fillId="0" borderId="0" xfId="1" applyNumberFormat="1" applyFont="1"/>
    <xf numFmtId="4" fontId="37" fillId="0" borderId="0" xfId="0" applyNumberFormat="1" applyFont="1"/>
    <xf numFmtId="164" fontId="25" fillId="2" borderId="1" xfId="1" applyFont="1" applyFill="1" applyBorder="1"/>
    <xf numFmtId="43" fontId="28" fillId="2" borderId="1" xfId="0" applyNumberFormat="1" applyFont="1" applyFill="1" applyBorder="1"/>
    <xf numFmtId="4" fontId="28" fillId="2" borderId="1" xfId="0" applyNumberFormat="1" applyFont="1" applyFill="1" applyBorder="1" applyAlignment="1">
      <alignment horizontal="right" wrapText="1"/>
    </xf>
    <xf numFmtId="4" fontId="28" fillId="2" borderId="1" xfId="10" applyNumberFormat="1" applyFont="1" applyFill="1" applyBorder="1" applyAlignment="1">
      <alignment horizontal="right"/>
    </xf>
    <xf numFmtId="4" fontId="28" fillId="2" borderId="1" xfId="10" applyNumberFormat="1" applyFont="1" applyFill="1" applyBorder="1" applyAlignment="1">
      <alignment horizontal="right" wrapText="1"/>
    </xf>
    <xf numFmtId="4" fontId="28" fillId="0" borderId="1" xfId="0" applyNumberFormat="1" applyFont="1" applyBorder="1" applyAlignment="1">
      <alignment wrapText="1"/>
    </xf>
    <xf numFmtId="4" fontId="25" fillId="9" borderId="1" xfId="1" applyNumberFormat="1" applyFont="1" applyFill="1" applyBorder="1" applyAlignment="1">
      <alignment horizontal="right" vertical="top" wrapText="1"/>
    </xf>
    <xf numFmtId="0" fontId="28" fillId="14" borderId="1" xfId="0" applyFont="1" applyFill="1" applyBorder="1" applyAlignment="1">
      <alignment horizontal="right" vertical="center"/>
    </xf>
    <xf numFmtId="0" fontId="25" fillId="14" borderId="1" xfId="0" applyFont="1" applyFill="1" applyBorder="1" applyAlignment="1">
      <alignment horizontal="right" vertical="center"/>
    </xf>
    <xf numFmtId="164" fontId="25" fillId="14" borderId="1" xfId="1" applyFont="1" applyFill="1" applyBorder="1" applyAlignment="1">
      <alignment horizontal="right" vertical="center" wrapText="1"/>
    </xf>
    <xf numFmtId="10" fontId="28" fillId="14" borderId="1" xfId="1" applyNumberFormat="1" applyFont="1" applyFill="1" applyBorder="1" applyAlignment="1">
      <alignment horizontal="right" vertical="center" wrapText="1"/>
    </xf>
    <xf numFmtId="4" fontId="28" fillId="14" borderId="1" xfId="1" applyNumberFormat="1" applyFont="1" applyFill="1" applyBorder="1" applyAlignment="1">
      <alignment horizontal="right" vertical="center" wrapText="1"/>
    </xf>
    <xf numFmtId="164" fontId="25" fillId="14" borderId="1" xfId="1" applyFont="1" applyFill="1" applyBorder="1" applyAlignment="1">
      <alignment horizontal="right" vertical="top" wrapText="1"/>
    </xf>
    <xf numFmtId="4" fontId="28" fillId="2" borderId="1" xfId="10" applyNumberFormat="1" applyFont="1" applyFill="1" applyBorder="1" applyAlignment="1">
      <alignment horizontal="right" vertical="top" wrapText="1"/>
    </xf>
    <xf numFmtId="164" fontId="38" fillId="14" borderId="1" xfId="1" applyFont="1" applyFill="1" applyBorder="1" applyAlignment="1">
      <alignment horizontal="right" vertical="top" wrapText="1"/>
    </xf>
    <xf numFmtId="4" fontId="28" fillId="14" borderId="1" xfId="1" applyNumberFormat="1" applyFont="1" applyFill="1" applyBorder="1" applyAlignment="1">
      <alignment horizontal="right" vertical="top" wrapText="1"/>
    </xf>
    <xf numFmtId="164" fontId="28" fillId="2" borderId="1" xfId="10" applyFont="1" applyFill="1" applyBorder="1" applyAlignment="1">
      <alignment horizontal="right" vertical="top" wrapText="1"/>
    </xf>
    <xf numFmtId="10" fontId="28" fillId="7" borderId="1" xfId="2" applyNumberFormat="1" applyFont="1" applyFill="1" applyBorder="1" applyAlignment="1">
      <alignment horizontal="center" vertical="top" wrapText="1"/>
    </xf>
    <xf numFmtId="164" fontId="28" fillId="9" borderId="1" xfId="1" applyFont="1" applyFill="1" applyBorder="1" applyAlignment="1">
      <alignment horizontal="center" vertical="top" wrapText="1"/>
    </xf>
    <xf numFmtId="164" fontId="28" fillId="2" borderId="1" xfId="1" applyFont="1" applyFill="1" applyBorder="1" applyAlignment="1">
      <alignment horizontal="right" vertical="top" wrapText="1"/>
    </xf>
    <xf numFmtId="0" fontId="28" fillId="14" borderId="1" xfId="0" applyFont="1" applyFill="1" applyBorder="1" applyAlignment="1">
      <alignment horizontal="right"/>
    </xf>
    <xf numFmtId="0" fontId="25" fillId="14" borderId="1" xfId="0" applyFont="1" applyFill="1" applyBorder="1" applyAlignment="1">
      <alignment horizontal="right"/>
    </xf>
    <xf numFmtId="43" fontId="28" fillId="9" borderId="1" xfId="0" applyNumberFormat="1" applyFont="1" applyFill="1" applyBorder="1" applyAlignment="1">
      <alignment horizontal="center"/>
    </xf>
    <xf numFmtId="9" fontId="28" fillId="14" borderId="1" xfId="2" applyFont="1" applyFill="1" applyBorder="1" applyAlignment="1">
      <alignment horizontal="center" vertical="center" wrapText="1"/>
    </xf>
    <xf numFmtId="4" fontId="28" fillId="14" borderId="1" xfId="1" applyNumberFormat="1" applyFont="1" applyFill="1" applyBorder="1" applyAlignment="1">
      <alignment horizontal="center" vertical="center" wrapText="1"/>
    </xf>
    <xf numFmtId="4" fontId="28" fillId="14" borderId="1" xfId="1" applyNumberFormat="1" applyFont="1" applyFill="1" applyBorder="1" applyAlignment="1">
      <alignment horizontal="center" vertical="top" wrapText="1"/>
    </xf>
    <xf numFmtId="10" fontId="28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26" fillId="14" borderId="1" xfId="2" applyNumberFormat="1" applyFont="1" applyFill="1" applyBorder="1" applyAlignment="1">
      <alignment horizontal="center" vertical="top" wrapText="1"/>
    </xf>
    <xf numFmtId="167" fontId="26" fillId="14" borderId="1" xfId="2" applyNumberFormat="1" applyFont="1" applyFill="1" applyBorder="1" applyAlignment="1">
      <alignment horizontal="center" vertical="top" wrapText="1"/>
    </xf>
    <xf numFmtId="10" fontId="26" fillId="14" borderId="1" xfId="1" applyNumberFormat="1" applyFont="1" applyFill="1" applyBorder="1" applyAlignment="1">
      <alignment horizontal="center" vertical="top" wrapText="1"/>
    </xf>
    <xf numFmtId="0" fontId="28" fillId="15" borderId="1" xfId="0" applyFont="1" applyFill="1" applyBorder="1" applyAlignment="1">
      <alignment horizontal="right" vertical="top" wrapText="1"/>
    </xf>
    <xf numFmtId="0" fontId="35" fillId="15" borderId="1" xfId="0" applyFont="1" applyFill="1" applyBorder="1" applyAlignment="1">
      <alignment horizontal="right" vertical="top" wrapText="1"/>
    </xf>
    <xf numFmtId="164" fontId="35" fillId="15" borderId="1" xfId="1" applyFont="1" applyFill="1" applyBorder="1" applyAlignment="1">
      <alignment horizontal="right" vertical="top" wrapText="1"/>
    </xf>
    <xf numFmtId="164" fontId="16" fillId="15" borderId="1" xfId="1" applyFont="1" applyFill="1" applyBorder="1" applyAlignment="1">
      <alignment horizontal="right" vertical="top" wrapText="1"/>
    </xf>
    <xf numFmtId="4" fontId="16" fillId="15" borderId="1" xfId="0" applyNumberFormat="1" applyFont="1" applyFill="1" applyBorder="1" applyAlignment="1">
      <alignment horizontal="right"/>
    </xf>
    <xf numFmtId="0" fontId="39" fillId="5" borderId="1" xfId="0" applyFont="1" applyFill="1" applyBorder="1" applyAlignment="1">
      <alignment horizontal="right" vertical="center"/>
    </xf>
    <xf numFmtId="0" fontId="39" fillId="5" borderId="1" xfId="0" applyFont="1" applyFill="1" applyBorder="1" applyAlignment="1">
      <alignment horizontal="left" vertical="center"/>
    </xf>
    <xf numFmtId="0" fontId="8" fillId="5" borderId="1" xfId="0" applyFont="1" applyFill="1" applyBorder="1"/>
    <xf numFmtId="0" fontId="40" fillId="0" borderId="0" xfId="0" applyFont="1"/>
    <xf numFmtId="0" fontId="41" fillId="0" borderId="0" xfId="0" applyFont="1"/>
    <xf numFmtId="43" fontId="0" fillId="0" borderId="0" xfId="0" applyNumberFormat="1"/>
    <xf numFmtId="0" fontId="42" fillId="0" borderId="0" xfId="0" applyFont="1"/>
    <xf numFmtId="0" fontId="30" fillId="2" borderId="0" xfId="0" applyFont="1" applyFill="1" applyAlignment="1">
      <alignment wrapText="1"/>
    </xf>
    <xf numFmtId="43" fontId="42" fillId="0" borderId="0" xfId="16" applyFont="1" applyBorder="1"/>
    <xf numFmtId="2" fontId="42" fillId="0" borderId="0" xfId="0" applyNumberFormat="1" applyFont="1"/>
    <xf numFmtId="9" fontId="16" fillId="15" borderId="1" xfId="2" applyFont="1" applyFill="1" applyBorder="1" applyAlignment="1">
      <alignment horizontal="center"/>
    </xf>
    <xf numFmtId="4" fontId="16" fillId="15" borderId="1" xfId="0" applyNumberFormat="1" applyFont="1" applyFill="1" applyBorder="1" applyAlignment="1">
      <alignment horizontal="center"/>
    </xf>
    <xf numFmtId="10" fontId="42" fillId="0" borderId="0" xfId="2" applyNumberFormat="1" applyFont="1" applyBorder="1"/>
    <xf numFmtId="10" fontId="43" fillId="0" borderId="0" xfId="2" applyNumberFormat="1" applyFont="1" applyBorder="1"/>
    <xf numFmtId="10" fontId="0" fillId="0" borderId="0" xfId="2" applyNumberFormat="1" applyFont="1"/>
    <xf numFmtId="10" fontId="16" fillId="15" borderId="1" xfId="2" applyNumberFormat="1" applyFont="1" applyFill="1" applyBorder="1" applyAlignment="1">
      <alignment horizontal="center" vertical="top" wrapText="1"/>
    </xf>
    <xf numFmtId="167" fontId="16" fillId="15" borderId="1" xfId="2" applyNumberFormat="1" applyFont="1" applyFill="1" applyBorder="1" applyAlignment="1">
      <alignment horizontal="center" vertical="top" wrapText="1"/>
    </xf>
    <xf numFmtId="167" fontId="28" fillId="15" borderId="1" xfId="2" applyNumberFormat="1" applyFont="1" applyFill="1" applyBorder="1" applyAlignment="1">
      <alignment horizontal="center" vertical="top" wrapText="1"/>
    </xf>
    <xf numFmtId="43" fontId="1" fillId="4" borderId="1" xfId="0" quotePrefix="1" applyNumberFormat="1" applyFont="1" applyFill="1" applyBorder="1" applyAlignment="1">
      <alignment horizontal="center"/>
    </xf>
    <xf numFmtId="0" fontId="50" fillId="0" borderId="1" xfId="0" applyFont="1" applyBorder="1" applyAlignment="1">
      <alignment horizontal="center"/>
    </xf>
    <xf numFmtId="4" fontId="50" fillId="2" borderId="1" xfId="0" applyNumberFormat="1" applyFont="1" applyFill="1" applyBorder="1" applyAlignment="1">
      <alignment wrapText="1"/>
    </xf>
    <xf numFmtId="0" fontId="50" fillId="0" borderId="1" xfId="0" applyFont="1" applyBorder="1" applyAlignment="1">
      <alignment horizontal="center" vertical="center"/>
    </xf>
    <xf numFmtId="0" fontId="50" fillId="2" borderId="1" xfId="0" applyFont="1" applyFill="1" applyBorder="1" applyAlignment="1">
      <alignment wrapText="1"/>
    </xf>
    <xf numFmtId="0" fontId="50" fillId="2" borderId="1" xfId="0" applyFont="1" applyFill="1" applyBorder="1" applyAlignment="1">
      <alignment horizontal="center"/>
    </xf>
    <xf numFmtId="0" fontId="50" fillId="2" borderId="1" xfId="0" applyFont="1" applyFill="1" applyBorder="1" applyAlignment="1">
      <alignment horizontal="left" wrapText="1"/>
    </xf>
    <xf numFmtId="4" fontId="50" fillId="0" borderId="1" xfId="0" applyNumberFormat="1" applyFont="1" applyBorder="1" applyAlignment="1">
      <alignment wrapText="1"/>
    </xf>
    <xf numFmtId="0" fontId="22" fillId="5" borderId="1" xfId="0" applyFont="1" applyFill="1" applyBorder="1" applyAlignment="1">
      <alignment horizontal="center"/>
    </xf>
    <xf numFmtId="0" fontId="23" fillId="7" borderId="1" xfId="0" applyFont="1" applyFill="1" applyBorder="1" applyAlignment="1">
      <alignment horizontal="center" vertical="top" wrapText="1"/>
    </xf>
    <xf numFmtId="0" fontId="26" fillId="2" borderId="1" xfId="0" applyFont="1" applyFill="1" applyBorder="1" applyAlignment="1">
      <alignment horizontal="center" vertical="top" wrapText="1"/>
    </xf>
    <xf numFmtId="0" fontId="27" fillId="8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wrapText="1"/>
    </xf>
    <xf numFmtId="0" fontId="33" fillId="12" borderId="1" xfId="0" applyFont="1" applyFill="1" applyBorder="1" applyAlignment="1">
      <alignment horizontal="center"/>
    </xf>
    <xf numFmtId="0" fontId="35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35" fillId="13" borderId="1" xfId="0" applyFont="1" applyFill="1" applyBorder="1" applyAlignment="1">
      <alignment horizontal="center" wrapText="1"/>
    </xf>
    <xf numFmtId="0" fontId="26" fillId="2" borderId="1" xfId="0" applyFont="1" applyFill="1" applyBorder="1" applyAlignment="1">
      <alignment horizontal="center"/>
    </xf>
    <xf numFmtId="0" fontId="16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right"/>
    </xf>
    <xf numFmtId="0" fontId="8" fillId="2" borderId="0" xfId="0" applyFont="1" applyFill="1"/>
    <xf numFmtId="0" fontId="14" fillId="2" borderId="0" xfId="0" applyFont="1" applyFill="1" applyAlignment="1">
      <alignment horizontal="right"/>
    </xf>
    <xf numFmtId="164" fontId="8" fillId="2" borderId="0" xfId="1" applyFont="1" applyFill="1" applyBorder="1"/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October 10,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73.550112013645503</c:v>
                </c:pt>
                <c:pt idx="1">
                  <c:v>4172.7591221779403</c:v>
                </c:pt>
                <c:pt idx="2">
                  <c:v>239.78026597400003</c:v>
                </c:pt>
                <c:pt idx="3">
                  <c:v>1916.7479723695219</c:v>
                </c:pt>
                <c:pt idx="4">
                  <c:v>367.96901960186682</c:v>
                </c:pt>
                <c:pt idx="5" formatCode="_-* #,##0.00_-;\-* #,##0.00_-;_-* &quot;-&quot;??_-;_-@_-">
                  <c:v>77.988718310700833</c:v>
                </c:pt>
                <c:pt idx="6">
                  <c:v>8.3003962871100008</c:v>
                </c:pt>
                <c:pt idx="7">
                  <c:v>68.565919306979978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87-42DE-874E-F155198C85AD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October 17,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75.813884318519101</c:v>
                </c:pt>
                <c:pt idx="1">
                  <c:v>4226.3819701039401</c:v>
                </c:pt>
                <c:pt idx="2">
                  <c:v>240.26748459951139</c:v>
                </c:pt>
                <c:pt idx="3">
                  <c:v>1951.3357294346147</c:v>
                </c:pt>
                <c:pt idx="4">
                  <c:v>368.37514477214171</c:v>
                </c:pt>
                <c:pt idx="5" formatCode="_-* #,##0.00_-;\-* #,##0.00_-;_-* &quot;-&quot;??_-;_-@_-">
                  <c:v>79.052496329947786</c:v>
                </c:pt>
                <c:pt idx="6">
                  <c:v>8.4243767475200002</c:v>
                </c:pt>
                <c:pt idx="7">
                  <c:v>70.560901828968014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87-42DE-874E-F155198C85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20834504"/>
        <c:axId val="320832936"/>
      </c:barChart>
      <c:catAx>
        <c:axId val="320834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20832936"/>
        <c:crosses val="autoZero"/>
        <c:auto val="1"/>
        <c:lblAlgn val="ctr"/>
        <c:lblOffset val="100"/>
        <c:noMultiLvlLbl val="0"/>
      </c:catAx>
      <c:valAx>
        <c:axId val="320832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20834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17TH OCTOBER,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162904588071094"/>
          <c:y val="1.43638007281234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17-Oct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F36-4BE0-84D5-62D52E4AE4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F36-4BE0-84D5-62D52E4AE465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F36-4BE0-84D5-62D52E4AE465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F36-4BE0-84D5-62D52E4AE465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F36-4BE0-84D5-62D52E4AE465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F36-4BE0-84D5-62D52E4AE465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F36-4BE0-84D5-62D52E4AE465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F36-4BE0-84D5-62D52E4AE465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F36-4BE0-84D5-62D52E4AE465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F36-4BE0-84D5-62D52E4AE465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F36-4BE0-84D5-62D52E4AE465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F36-4BE0-84D5-62D52E4AE465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F36-4BE0-84D5-62D52E4AE465}"/>
                </c:ext>
              </c:extLst>
            </c:dLbl>
            <c:dLbl>
              <c:idx val="5"/>
              <c:layout>
                <c:manualLayout>
                  <c:x val="0.118609777194861"/>
                  <c:y val="-0.134291330027987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F36-4BE0-84D5-62D52E4AE465}"/>
                </c:ext>
              </c:extLst>
            </c:dLbl>
            <c:dLbl>
              <c:idx val="6"/>
              <c:layout>
                <c:manualLayout>
                  <c:x val="2.4747124087697199E-2"/>
                  <c:y val="0.1181680341758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F36-4BE0-84D5-62D52E4AE465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F36-4BE0-84D5-62D52E4AE465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8424376747.5200005</c:v>
                </c:pt>
                <c:pt idx="1">
                  <c:v>75813884318.519104</c:v>
                </c:pt>
                <c:pt idx="2" formatCode="_-* #,##0.00_-;\-* #,##0.00_-;_-* &quot;-&quot;??_-;_-@_-">
                  <c:v>70560901828.968018</c:v>
                </c:pt>
                <c:pt idx="3">
                  <c:v>79052496329.947784</c:v>
                </c:pt>
                <c:pt idx="4">
                  <c:v>368375144772.14172</c:v>
                </c:pt>
                <c:pt idx="5">
                  <c:v>240267484599.51138</c:v>
                </c:pt>
                <c:pt idx="6">
                  <c:v>1951335729434.6147</c:v>
                </c:pt>
                <c:pt idx="7">
                  <c:v>4226381970103.9404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F36-4BE0-84D5-62D52E4AE465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45898</c:v>
                </c:pt>
                <c:pt idx="1">
                  <c:v>45904</c:v>
                </c:pt>
                <c:pt idx="2">
                  <c:v>45912</c:v>
                </c:pt>
                <c:pt idx="3">
                  <c:v>45919</c:v>
                </c:pt>
                <c:pt idx="4">
                  <c:v>45926</c:v>
                </c:pt>
                <c:pt idx="5">
                  <c:v>45933</c:v>
                </c:pt>
                <c:pt idx="6">
                  <c:v>45940</c:v>
                </c:pt>
                <c:pt idx="7">
                  <c:v>45947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6560.9507360896259</c:v>
                </c:pt>
                <c:pt idx="1">
                  <c:v>6542.8543765579316</c:v>
                </c:pt>
                <c:pt idx="2">
                  <c:v>6621.1686110231039</c:v>
                </c:pt>
                <c:pt idx="3">
                  <c:v>6693.7872553133047</c:v>
                </c:pt>
                <c:pt idx="4">
                  <c:v>6745.4768805021858</c:v>
                </c:pt>
                <c:pt idx="5">
                  <c:v>6812.2098133156469</c:v>
                </c:pt>
                <c:pt idx="6">
                  <c:v>6925.6615260417648</c:v>
                </c:pt>
                <c:pt idx="7">
                  <c:v>7020.2119881351628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C-44E6-A2C9-3400AD0F65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0834896"/>
        <c:axId val="320835288"/>
      </c:lineChart>
      <c:dateAx>
        <c:axId val="32083489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835288"/>
        <c:crosses val="autoZero"/>
        <c:auto val="1"/>
        <c:lblOffset val="100"/>
        <c:baseTimeUnit val="days"/>
      </c:dateAx>
      <c:valAx>
        <c:axId val="320835288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834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45898</c:v>
                </c:pt>
                <c:pt idx="1">
                  <c:v>45904</c:v>
                </c:pt>
                <c:pt idx="2">
                  <c:v>45912</c:v>
                </c:pt>
                <c:pt idx="3">
                  <c:v>45919</c:v>
                </c:pt>
                <c:pt idx="4">
                  <c:v>45926</c:v>
                </c:pt>
                <c:pt idx="5">
                  <c:v>45933</c:v>
                </c:pt>
                <c:pt idx="6">
                  <c:v>45940</c:v>
                </c:pt>
                <c:pt idx="7">
                  <c:v>45947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16.769372316030001</c:v>
                </c:pt>
                <c:pt idx="1">
                  <c:v>16.688373226208999</c:v>
                </c:pt>
                <c:pt idx="2">
                  <c:v>16.922657208431001</c:v>
                </c:pt>
                <c:pt idx="3">
                  <c:v>16.933585980109999</c:v>
                </c:pt>
                <c:pt idx="4">
                  <c:v>17.03010698616</c:v>
                </c:pt>
                <c:pt idx="5">
                  <c:v>17.235315862970001</c:v>
                </c:pt>
                <c:pt idx="6">
                  <c:v>17.54959499956</c:v>
                </c:pt>
                <c:pt idx="7">
                  <c:v>17.680301749159998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E-49DA-B246-BAC6DF9598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24735184"/>
        <c:axId val="324736360"/>
      </c:lineChart>
      <c:dateAx>
        <c:axId val="32473518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736360"/>
        <c:crosses val="autoZero"/>
        <c:auto val="1"/>
        <c:lblOffset val="100"/>
        <c:baseTimeUnit val="days"/>
      </c:dateAx>
      <c:valAx>
        <c:axId val="324736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735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66"/>
  <sheetViews>
    <sheetView tabSelected="1" zoomScale="130" zoomScaleNormal="13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0.44140625" customWidth="1"/>
    <col min="11" max="11" width="20.5546875" customWidth="1"/>
    <col min="13" max="14" width="10.109375" customWidth="1"/>
    <col min="15" max="15" width="10.554687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</row>
    <row r="2" spans="1:25" ht="14.4" customHeight="1">
      <c r="A2" s="49"/>
      <c r="B2" s="50"/>
      <c r="C2" s="51"/>
      <c r="D2" s="182" t="s">
        <v>1</v>
      </c>
      <c r="E2" s="182"/>
      <c r="F2" s="182"/>
      <c r="G2" s="182"/>
      <c r="H2" s="182"/>
      <c r="I2" s="182"/>
      <c r="J2" s="182"/>
      <c r="K2" s="182" t="s">
        <v>2</v>
      </c>
      <c r="L2" s="182"/>
      <c r="M2" s="182"/>
      <c r="N2" s="182"/>
      <c r="O2" s="182"/>
      <c r="P2" s="182"/>
      <c r="Q2" s="182"/>
      <c r="R2" s="182" t="s">
        <v>3</v>
      </c>
      <c r="S2" s="182"/>
      <c r="T2" s="182"/>
      <c r="U2" s="182" t="s">
        <v>4</v>
      </c>
      <c r="V2" s="182"/>
    </row>
    <row r="3" spans="1:25" ht="20.399999999999999">
      <c r="A3" s="52" t="s">
        <v>5</v>
      </c>
      <c r="B3" s="53" t="s">
        <v>6</v>
      </c>
      <c r="C3" s="54" t="s">
        <v>7</v>
      </c>
      <c r="D3" s="55" t="s">
        <v>8</v>
      </c>
      <c r="E3" s="56" t="s">
        <v>9</v>
      </c>
      <c r="F3" s="56" t="s">
        <v>10</v>
      </c>
      <c r="G3" s="56" t="s">
        <v>11</v>
      </c>
      <c r="H3" s="56" t="s">
        <v>12</v>
      </c>
      <c r="I3" s="56" t="s">
        <v>13</v>
      </c>
      <c r="J3" s="56" t="s">
        <v>14</v>
      </c>
      <c r="K3" s="88" t="s">
        <v>8</v>
      </c>
      <c r="L3" s="56" t="s">
        <v>9</v>
      </c>
      <c r="M3" s="56" t="s">
        <v>15</v>
      </c>
      <c r="N3" s="56" t="s">
        <v>11</v>
      </c>
      <c r="O3" s="56" t="s">
        <v>12</v>
      </c>
      <c r="P3" s="56" t="s">
        <v>13</v>
      </c>
      <c r="Q3" s="56" t="s">
        <v>14</v>
      </c>
      <c r="R3" s="55" t="s">
        <v>16</v>
      </c>
      <c r="S3" s="56" t="s">
        <v>17</v>
      </c>
      <c r="T3" s="56" t="s">
        <v>18</v>
      </c>
      <c r="U3" s="56" t="s">
        <v>19</v>
      </c>
      <c r="V3" s="56" t="s">
        <v>20</v>
      </c>
    </row>
    <row r="4" spans="1:25" ht="5.25" customHeight="1">
      <c r="A4" s="57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</row>
    <row r="5" spans="1:25" ht="15" customHeight="1">
      <c r="A5" s="184" t="s">
        <v>21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</row>
    <row r="6" spans="1:25">
      <c r="A6" s="58">
        <v>1</v>
      </c>
      <c r="B6" s="59" t="s">
        <v>22</v>
      </c>
      <c r="C6" s="60" t="s">
        <v>23</v>
      </c>
      <c r="D6" s="61">
        <v>3645632476.3600001</v>
      </c>
      <c r="E6" s="62">
        <f t="shared" ref="E6:E22" si="0">(D6/$D$25)</f>
        <v>4.9566647508077731E-2</v>
      </c>
      <c r="F6" s="61">
        <v>592.92780000000005</v>
      </c>
      <c r="G6" s="61">
        <v>596.77800000000002</v>
      </c>
      <c r="H6" s="63">
        <v>1695</v>
      </c>
      <c r="I6" s="89">
        <v>1.0999999999999999E-2</v>
      </c>
      <c r="J6" s="89">
        <v>0.49159999999999998</v>
      </c>
      <c r="K6" s="61">
        <v>3878919566.4200001</v>
      </c>
      <c r="L6" s="62">
        <f t="shared" ref="L6:L21" si="1">(K6/$K$25)</f>
        <v>5.1163709672536778E-2</v>
      </c>
      <c r="M6" s="61">
        <v>597.58180000000004</v>
      </c>
      <c r="N6" s="61">
        <v>601.46100000000001</v>
      </c>
      <c r="O6" s="63">
        <v>1696</v>
      </c>
      <c r="P6" s="89">
        <v>7.7999999999999996E-3</v>
      </c>
      <c r="Q6" s="89">
        <v>0.50329999999999997</v>
      </c>
      <c r="R6" s="94">
        <f>((K6-D6)/D6)</f>
        <v>6.3990841526880018E-2</v>
      </c>
      <c r="S6" s="94">
        <f>((N6-G6)/G6)</f>
        <v>7.8471391371665727E-3</v>
      </c>
      <c r="T6" s="94">
        <f>((O6-H6)/H6)</f>
        <v>5.8997050147492625E-4</v>
      </c>
      <c r="U6" s="95">
        <f>P6-I6</f>
        <v>-3.1999999999999997E-3</v>
      </c>
      <c r="V6" s="96">
        <f>Q6-J6</f>
        <v>1.1699999999999988E-2</v>
      </c>
    </row>
    <row r="7" spans="1:25">
      <c r="A7" s="58">
        <v>2</v>
      </c>
      <c r="B7" s="59" t="s">
        <v>24</v>
      </c>
      <c r="C7" s="60" t="s">
        <v>25</v>
      </c>
      <c r="D7" s="61">
        <v>1158031460.8800001</v>
      </c>
      <c r="E7" s="62">
        <f t="shared" si="0"/>
        <v>1.5744795339878673E-2</v>
      </c>
      <c r="F7" s="61">
        <v>401.11090000000002</v>
      </c>
      <c r="G7" s="61">
        <v>405.8886</v>
      </c>
      <c r="H7" s="63">
        <v>599</v>
      </c>
      <c r="I7" s="89">
        <v>3.5850000000000001E-3</v>
      </c>
      <c r="J7" s="89">
        <v>0.55759999999999998</v>
      </c>
      <c r="K7" s="61">
        <v>1168586615.9300001</v>
      </c>
      <c r="L7" s="62">
        <f t="shared" si="1"/>
        <v>1.5413886604469212E-2</v>
      </c>
      <c r="M7" s="61">
        <v>404.57080000000002</v>
      </c>
      <c r="N7" s="61">
        <v>409.38619999999997</v>
      </c>
      <c r="O7" s="63">
        <v>602</v>
      </c>
      <c r="P7" s="89">
        <v>2.875E-3</v>
      </c>
      <c r="Q7" s="89">
        <v>0.57110000000000005</v>
      </c>
      <c r="R7" s="94">
        <f t="shared" ref="R7:R25" si="2">((K7-D7)/D7)</f>
        <v>9.1147394579236905E-3</v>
      </c>
      <c r="S7" s="94">
        <f t="shared" ref="S7:S25" si="3">((N7-G7)/G7)</f>
        <v>8.6171427332523681E-3</v>
      </c>
      <c r="T7" s="94">
        <f t="shared" ref="T7:T25" si="4">((O7-H7)/H7)</f>
        <v>5.008347245409015E-3</v>
      </c>
      <c r="U7" s="95">
        <f t="shared" ref="U7:U25" si="5">P7-I7</f>
        <v>-7.1000000000000013E-4</v>
      </c>
      <c r="V7" s="96">
        <f t="shared" ref="V7:V25" si="6">Q7-J7</f>
        <v>1.3500000000000068E-2</v>
      </c>
    </row>
    <row r="8" spans="1:25">
      <c r="A8" s="58">
        <v>3</v>
      </c>
      <c r="B8" s="59" t="s">
        <v>26</v>
      </c>
      <c r="C8" s="60" t="s">
        <v>27</v>
      </c>
      <c r="D8" s="61">
        <v>6465484588.6300001</v>
      </c>
      <c r="E8" s="62">
        <f t="shared" si="0"/>
        <v>8.7905842854875335E-2</v>
      </c>
      <c r="F8" s="61">
        <v>49.888500000000001</v>
      </c>
      <c r="G8" s="64">
        <v>51.392699999999998</v>
      </c>
      <c r="H8" s="65">
        <v>7719</v>
      </c>
      <c r="I8" s="90">
        <v>0.89100000000000001</v>
      </c>
      <c r="J8" s="90">
        <v>0.52500000000000002</v>
      </c>
      <c r="K8" s="61">
        <v>6505421579.0100002</v>
      </c>
      <c r="L8" s="62">
        <f t="shared" si="1"/>
        <v>8.5807786231854061E-2</v>
      </c>
      <c r="M8" s="61">
        <v>50.273499999999999</v>
      </c>
      <c r="N8" s="64">
        <v>51.789299999999997</v>
      </c>
      <c r="O8" s="65">
        <v>7840</v>
      </c>
      <c r="P8" s="90">
        <v>0.40239999999999998</v>
      </c>
      <c r="Q8" s="90">
        <v>0.52600000000000002</v>
      </c>
      <c r="R8" s="94">
        <f t="shared" si="2"/>
        <v>6.1769523741858519E-3</v>
      </c>
      <c r="S8" s="94">
        <f t="shared" si="3"/>
        <v>7.7170493085593752E-3</v>
      </c>
      <c r="T8" s="94">
        <f t="shared" si="4"/>
        <v>1.5675605648400051E-2</v>
      </c>
      <c r="U8" s="95">
        <f t="shared" si="5"/>
        <v>-0.48860000000000003</v>
      </c>
      <c r="V8" s="96">
        <f t="shared" si="6"/>
        <v>1.0000000000000009E-3</v>
      </c>
      <c r="X8" s="97"/>
      <c r="Y8" s="97"/>
    </row>
    <row r="9" spans="1:25">
      <c r="A9" s="176">
        <v>4</v>
      </c>
      <c r="B9" s="175" t="s">
        <v>28</v>
      </c>
      <c r="C9" s="177" t="s">
        <v>29</v>
      </c>
      <c r="D9" s="61">
        <v>1117953886.79</v>
      </c>
      <c r="E9" s="62">
        <f t="shared" si="0"/>
        <v>1.5199893734799338E-2</v>
      </c>
      <c r="F9" s="61">
        <v>250.541</v>
      </c>
      <c r="G9" s="61">
        <v>250.541</v>
      </c>
      <c r="H9" s="63">
        <v>2207</v>
      </c>
      <c r="I9" s="89">
        <v>2.5700000000000001E-2</v>
      </c>
      <c r="J9" s="89">
        <v>0.29859999999999998</v>
      </c>
      <c r="K9" s="61">
        <v>1196947180.04</v>
      </c>
      <c r="L9" s="62">
        <f t="shared" si="1"/>
        <v>1.57879680061139E-2</v>
      </c>
      <c r="M9" s="61">
        <v>252.66569999999999</v>
      </c>
      <c r="N9" s="61">
        <v>252.66569999999999</v>
      </c>
      <c r="O9" s="63">
        <v>2228</v>
      </c>
      <c r="P9" s="89">
        <v>8.5000000000000006E-3</v>
      </c>
      <c r="Q9" s="89">
        <v>0.30830000000000002</v>
      </c>
      <c r="R9" s="94">
        <f t="shared" si="2"/>
        <v>7.0658811766212276E-2</v>
      </c>
      <c r="S9" s="94">
        <f t="shared" si="3"/>
        <v>8.4804483098574295E-3</v>
      </c>
      <c r="T9" s="94">
        <f t="shared" si="4"/>
        <v>9.5151789759854999E-3</v>
      </c>
      <c r="U9" s="95">
        <f t="shared" si="5"/>
        <v>-1.72E-2</v>
      </c>
      <c r="V9" s="96">
        <f t="shared" si="6"/>
        <v>9.7000000000000419E-3</v>
      </c>
    </row>
    <row r="10" spans="1:25">
      <c r="A10" s="176">
        <v>5</v>
      </c>
      <c r="B10" s="175" t="s">
        <v>30</v>
      </c>
      <c r="C10" s="177" t="s">
        <v>31</v>
      </c>
      <c r="D10" s="61">
        <v>1809088863.6199999</v>
      </c>
      <c r="E10" s="62">
        <f t="shared" si="0"/>
        <v>2.4596684003477327E-2</v>
      </c>
      <c r="F10" s="61">
        <v>1.6283000000000001</v>
      </c>
      <c r="G10" s="61">
        <v>1.6484000000000001</v>
      </c>
      <c r="H10" s="63">
        <v>816</v>
      </c>
      <c r="I10" s="89">
        <v>1.3299999999999999E-2</v>
      </c>
      <c r="J10" s="89">
        <v>0.38080000000000003</v>
      </c>
      <c r="K10" s="61">
        <v>1815204874.2</v>
      </c>
      <c r="L10" s="62">
        <f t="shared" si="1"/>
        <v>2.394290822211043E-2</v>
      </c>
      <c r="M10" s="61">
        <v>1.6317999999999999</v>
      </c>
      <c r="N10" s="61">
        <v>1.6519999999999999</v>
      </c>
      <c r="O10" s="63">
        <v>835</v>
      </c>
      <c r="P10" s="89">
        <v>2.2000000000000001E-3</v>
      </c>
      <c r="Q10" s="89">
        <v>0.38369999999999999</v>
      </c>
      <c r="R10" s="94">
        <f t="shared" si="2"/>
        <v>3.3807131882742239E-3</v>
      </c>
      <c r="S10" s="94">
        <f t="shared" si="3"/>
        <v>2.1839359378790497E-3</v>
      </c>
      <c r="T10" s="94">
        <f t="shared" si="4"/>
        <v>2.3284313725490197E-2</v>
      </c>
      <c r="U10" s="95">
        <f t="shared" si="5"/>
        <v>-1.1099999999999999E-2</v>
      </c>
      <c r="V10" s="96">
        <f t="shared" si="6"/>
        <v>2.8999999999999582E-3</v>
      </c>
    </row>
    <row r="11" spans="1:25">
      <c r="A11" s="176">
        <v>6</v>
      </c>
      <c r="B11" s="175" t="s">
        <v>32</v>
      </c>
      <c r="C11" s="177" t="s">
        <v>33</v>
      </c>
      <c r="D11" s="66">
        <v>205902456.15000001</v>
      </c>
      <c r="E11" s="62">
        <f t="shared" si="0"/>
        <v>2.7994852830652331E-3</v>
      </c>
      <c r="F11" s="61">
        <v>210.95930000000001</v>
      </c>
      <c r="G11" s="61">
        <v>212.7801</v>
      </c>
      <c r="H11" s="65">
        <v>99</v>
      </c>
      <c r="I11" s="90">
        <v>6.3150000000000003E-3</v>
      </c>
      <c r="J11" s="90">
        <v>0.26350000000000001</v>
      </c>
      <c r="K11" s="66">
        <v>207203304.46000001</v>
      </c>
      <c r="L11" s="62">
        <f t="shared" si="1"/>
        <v>2.7330522149408764E-3</v>
      </c>
      <c r="M11" s="61">
        <v>212.6952</v>
      </c>
      <c r="N11" s="61">
        <v>214.5324</v>
      </c>
      <c r="O11" s="65">
        <v>100</v>
      </c>
      <c r="P11" s="90">
        <v>2.5839999999999999E-3</v>
      </c>
      <c r="Q11" s="90">
        <v>0.26850000000000002</v>
      </c>
      <c r="R11" s="94">
        <f t="shared" si="2"/>
        <v>6.3177891819431913E-3</v>
      </c>
      <c r="S11" s="94">
        <f t="shared" si="3"/>
        <v>8.235262602094796E-3</v>
      </c>
      <c r="T11" s="94">
        <f t="shared" si="4"/>
        <v>1.0101010101010102E-2</v>
      </c>
      <c r="U11" s="95">
        <f t="shared" si="5"/>
        <v>-3.7310000000000004E-3</v>
      </c>
      <c r="V11" s="96">
        <f t="shared" si="6"/>
        <v>5.0000000000000044E-3</v>
      </c>
    </row>
    <row r="12" spans="1:25">
      <c r="A12" s="58">
        <v>7</v>
      </c>
      <c r="B12" s="59" t="s">
        <v>34</v>
      </c>
      <c r="C12" s="60" t="s">
        <v>35</v>
      </c>
      <c r="D12" s="61">
        <v>2758189867.8000002</v>
      </c>
      <c r="E12" s="62">
        <f t="shared" si="0"/>
        <v>3.7500824842908224E-2</v>
      </c>
      <c r="F12" s="61">
        <v>494.69</v>
      </c>
      <c r="G12" s="61">
        <v>501.73</v>
      </c>
      <c r="H12" s="65">
        <v>1817</v>
      </c>
      <c r="I12" s="90">
        <v>4.7999999999999996E-3</v>
      </c>
      <c r="J12" s="90">
        <v>0.52769999999999995</v>
      </c>
      <c r="K12" s="61">
        <v>2767026110.4499998</v>
      </c>
      <c r="L12" s="62">
        <f t="shared" si="1"/>
        <v>3.649761696452343E-2</v>
      </c>
      <c r="M12" s="61">
        <v>497</v>
      </c>
      <c r="N12" s="61">
        <v>504.09</v>
      </c>
      <c r="O12" s="65">
        <v>1826</v>
      </c>
      <c r="P12" s="90">
        <v>4.7000000000000002E-3</v>
      </c>
      <c r="Q12" s="90">
        <v>0.53480000000000005</v>
      </c>
      <c r="R12" s="94">
        <f t="shared" si="2"/>
        <v>3.2036382821780222E-3</v>
      </c>
      <c r="S12" s="94">
        <f t="shared" si="3"/>
        <v>4.7037251111154543E-3</v>
      </c>
      <c r="T12" s="94">
        <f t="shared" si="4"/>
        <v>4.9532195927352776E-3</v>
      </c>
      <c r="U12" s="95">
        <f t="shared" si="5"/>
        <v>-9.9999999999999395E-5</v>
      </c>
      <c r="V12" s="96">
        <f t="shared" si="6"/>
        <v>7.1000000000001062E-3</v>
      </c>
    </row>
    <row r="13" spans="1:25">
      <c r="A13" s="58">
        <v>8</v>
      </c>
      <c r="B13" s="59" t="s">
        <v>36</v>
      </c>
      <c r="C13" s="60" t="s">
        <v>37</v>
      </c>
      <c r="D13" s="67">
        <v>494341732.07999998</v>
      </c>
      <c r="E13" s="62">
        <f t="shared" si="0"/>
        <v>6.7211553938665161E-3</v>
      </c>
      <c r="F13" s="61">
        <v>246.35</v>
      </c>
      <c r="G13" s="61">
        <v>257.17</v>
      </c>
      <c r="H13" s="63">
        <v>2469</v>
      </c>
      <c r="I13" s="89">
        <v>3.8999999999999998E-3</v>
      </c>
      <c r="J13" s="89">
        <v>0.16320000000000001</v>
      </c>
      <c r="K13" s="67">
        <v>494341732.07999998</v>
      </c>
      <c r="L13" s="62">
        <f t="shared" si="1"/>
        <v>6.5204643783071123E-3</v>
      </c>
      <c r="M13" s="61">
        <v>246.35</v>
      </c>
      <c r="N13" s="61">
        <v>257.17</v>
      </c>
      <c r="O13" s="63">
        <v>2469</v>
      </c>
      <c r="P13" s="89">
        <v>3.8999999999999998E-3</v>
      </c>
      <c r="Q13" s="89">
        <v>0.16320000000000001</v>
      </c>
      <c r="R13" s="94">
        <f t="shared" si="2"/>
        <v>0</v>
      </c>
      <c r="S13" s="94">
        <f t="shared" si="3"/>
        <v>0</v>
      </c>
      <c r="T13" s="94">
        <f t="shared" si="4"/>
        <v>0</v>
      </c>
      <c r="U13" s="95">
        <f t="shared" si="5"/>
        <v>0</v>
      </c>
      <c r="V13" s="96">
        <f t="shared" si="6"/>
        <v>0</v>
      </c>
    </row>
    <row r="14" spans="1:25">
      <c r="A14" s="58">
        <v>9</v>
      </c>
      <c r="B14" s="59" t="s">
        <v>38</v>
      </c>
      <c r="C14" s="60" t="s">
        <v>39</v>
      </c>
      <c r="D14" s="66">
        <v>88902432.125499994</v>
      </c>
      <c r="E14" s="62">
        <f t="shared" si="0"/>
        <v>1.2087327903593976E-3</v>
      </c>
      <c r="F14" s="61">
        <v>318.33999999999997</v>
      </c>
      <c r="G14" s="61">
        <v>326.79000000000002</v>
      </c>
      <c r="H14" s="63">
        <v>21</v>
      </c>
      <c r="I14" s="89">
        <v>6.3E-3</v>
      </c>
      <c r="J14" s="89">
        <v>0.437</v>
      </c>
      <c r="K14" s="66">
        <v>89709757.069100007</v>
      </c>
      <c r="L14" s="62">
        <f t="shared" si="1"/>
        <v>1.1832892863291341E-3</v>
      </c>
      <c r="M14" s="61">
        <v>321.20999999999998</v>
      </c>
      <c r="N14" s="61">
        <v>329.78</v>
      </c>
      <c r="O14" s="63">
        <v>21</v>
      </c>
      <c r="P14" s="89">
        <v>9.1000000000000004E-3</v>
      </c>
      <c r="Q14" s="89">
        <v>0.45</v>
      </c>
      <c r="R14" s="94">
        <f t="shared" si="2"/>
        <v>9.0810220181642004E-3</v>
      </c>
      <c r="S14" s="94">
        <f t="shared" si="3"/>
        <v>9.1496067811131059E-3</v>
      </c>
      <c r="T14" s="94">
        <f t="shared" si="4"/>
        <v>0</v>
      </c>
      <c r="U14" s="95">
        <f t="shared" si="5"/>
        <v>2.8000000000000004E-3</v>
      </c>
      <c r="V14" s="96">
        <f t="shared" si="6"/>
        <v>1.3000000000000012E-2</v>
      </c>
    </row>
    <row r="15" spans="1:25" ht="14.25" customHeight="1">
      <c r="A15" s="58">
        <v>10</v>
      </c>
      <c r="B15" s="59" t="s">
        <v>40</v>
      </c>
      <c r="C15" s="60" t="s">
        <v>41</v>
      </c>
      <c r="D15" s="67">
        <v>2153908994.1300001</v>
      </c>
      <c r="E15" s="62">
        <f t="shared" si="0"/>
        <v>2.9284917930925688E-2</v>
      </c>
      <c r="F15" s="61">
        <v>3.8346749999999998</v>
      </c>
      <c r="G15" s="61">
        <v>3.872662</v>
      </c>
      <c r="H15" s="63">
        <v>1775</v>
      </c>
      <c r="I15" s="89">
        <v>-4.3E-3</v>
      </c>
      <c r="J15" s="89">
        <v>0.83069999999999999</v>
      </c>
      <c r="K15" s="67">
        <v>2297930169.0799999</v>
      </c>
      <c r="L15" s="62">
        <f t="shared" si="1"/>
        <v>3.0310149515959877E-2</v>
      </c>
      <c r="M15" s="61">
        <v>3.8596780000000002</v>
      </c>
      <c r="N15" s="61">
        <v>3.8596780000000002</v>
      </c>
      <c r="O15" s="63">
        <v>1932</v>
      </c>
      <c r="P15" s="89">
        <v>6.4999999999999997E-3</v>
      </c>
      <c r="Q15" s="89">
        <v>0.84260000000000002</v>
      </c>
      <c r="R15" s="94">
        <f t="shared" si="2"/>
        <v>6.6865023240302857E-2</v>
      </c>
      <c r="S15" s="94">
        <f t="shared" si="3"/>
        <v>-3.3527325648352179E-3</v>
      </c>
      <c r="T15" s="94">
        <f t="shared" si="4"/>
        <v>8.8450704225352117E-2</v>
      </c>
      <c r="U15" s="95">
        <f t="shared" si="5"/>
        <v>1.0800000000000001E-2</v>
      </c>
      <c r="V15" s="96">
        <f t="shared" si="6"/>
        <v>1.1900000000000022E-2</v>
      </c>
    </row>
    <row r="16" spans="1:25" ht="14.25" customHeight="1">
      <c r="A16" s="68">
        <v>11</v>
      </c>
      <c r="B16" s="59" t="s">
        <v>42</v>
      </c>
      <c r="C16" s="60" t="s">
        <v>43</v>
      </c>
      <c r="D16" s="67">
        <v>78900786.260000005</v>
      </c>
      <c r="E16" s="62">
        <f t="shared" si="0"/>
        <v>1.0727486892931149E-3</v>
      </c>
      <c r="F16" s="61">
        <v>23.54</v>
      </c>
      <c r="G16" s="61">
        <v>23.76</v>
      </c>
      <c r="H16" s="63">
        <v>56</v>
      </c>
      <c r="I16" s="89">
        <v>2.2499999999999999E-2</v>
      </c>
      <c r="J16" s="89">
        <v>1.33</v>
      </c>
      <c r="K16" s="67">
        <v>83095445.969999999</v>
      </c>
      <c r="L16" s="62">
        <f t="shared" si="1"/>
        <v>1.0960452259758733E-3</v>
      </c>
      <c r="M16" s="61">
        <v>24.02</v>
      </c>
      <c r="N16" s="61">
        <v>24.49</v>
      </c>
      <c r="O16" s="63">
        <v>56</v>
      </c>
      <c r="P16" s="89">
        <v>3.5900000000000001E-2</v>
      </c>
      <c r="Q16" s="89">
        <v>1.4</v>
      </c>
      <c r="R16" s="94">
        <f t="shared" ref="R16" si="7">((K16-D16)/D16)</f>
        <v>5.3163725088586883E-2</v>
      </c>
      <c r="S16" s="94">
        <f t="shared" ref="S16" si="8">((N16-G16)/G16)</f>
        <v>3.0723905723905591E-2</v>
      </c>
      <c r="T16" s="94">
        <f t="shared" ref="T16" si="9">((O16-H16)/H16)</f>
        <v>0</v>
      </c>
      <c r="U16" s="95">
        <f t="shared" ref="U16" si="10">P16-I16</f>
        <v>1.3400000000000002E-2</v>
      </c>
      <c r="V16" s="96">
        <f t="shared" ref="V16" si="11">Q16-J16</f>
        <v>6.999999999999984E-2</v>
      </c>
    </row>
    <row r="17" spans="1:22">
      <c r="A17" s="58">
        <v>12</v>
      </c>
      <c r="B17" s="59" t="s">
        <v>44</v>
      </c>
      <c r="C17" s="60" t="s">
        <v>45</v>
      </c>
      <c r="D17" s="69">
        <v>2609881168.9699998</v>
      </c>
      <c r="E17" s="62">
        <f t="shared" si="0"/>
        <v>3.5484394211198443E-2</v>
      </c>
      <c r="F17" s="61">
        <v>5.28</v>
      </c>
      <c r="G17" s="61">
        <v>5.38</v>
      </c>
      <c r="H17" s="63">
        <v>3667</v>
      </c>
      <c r="I17" s="89">
        <v>1.34E-2</v>
      </c>
      <c r="J17" s="89">
        <v>0.44919999999999999</v>
      </c>
      <c r="K17" s="69">
        <v>2588787979</v>
      </c>
      <c r="L17" s="62">
        <f t="shared" si="1"/>
        <v>3.4146621061171972E-2</v>
      </c>
      <c r="M17" s="61">
        <v>5.3</v>
      </c>
      <c r="N17" s="61">
        <v>5.41</v>
      </c>
      <c r="O17" s="63">
        <v>3667</v>
      </c>
      <c r="P17" s="89">
        <v>-5.5999999999999999E-3</v>
      </c>
      <c r="Q17" s="89">
        <v>0.4556</v>
      </c>
      <c r="R17" s="94">
        <f t="shared" si="2"/>
        <v>-8.0820499495478197E-3</v>
      </c>
      <c r="S17" s="94">
        <f t="shared" si="3"/>
        <v>5.5762081784387083E-3</v>
      </c>
      <c r="T17" s="94">
        <f t="shared" si="4"/>
        <v>0</v>
      </c>
      <c r="U17" s="95">
        <f t="shared" si="5"/>
        <v>-1.9E-2</v>
      </c>
      <c r="V17" s="96">
        <f t="shared" si="6"/>
        <v>6.4000000000000168E-3</v>
      </c>
    </row>
    <row r="18" spans="1:22">
      <c r="A18" s="58">
        <v>13</v>
      </c>
      <c r="B18" s="59" t="s">
        <v>46</v>
      </c>
      <c r="C18" s="60" t="s">
        <v>47</v>
      </c>
      <c r="D18" s="61">
        <v>2157494916.73</v>
      </c>
      <c r="E18" s="62">
        <f t="shared" si="0"/>
        <v>2.9333672752663208E-2</v>
      </c>
      <c r="F18" s="61">
        <v>34.92</v>
      </c>
      <c r="G18" s="61">
        <v>35.07</v>
      </c>
      <c r="H18" s="63">
        <v>898</v>
      </c>
      <c r="I18" s="89">
        <v>4.6199999999999998E-2</v>
      </c>
      <c r="J18" s="89">
        <v>0.4829</v>
      </c>
      <c r="K18" s="61">
        <v>2466808108.4400001</v>
      </c>
      <c r="L18" s="62">
        <f t="shared" si="1"/>
        <v>3.2537682650266624E-2</v>
      </c>
      <c r="M18" s="61">
        <v>33.18</v>
      </c>
      <c r="N18" s="61">
        <v>33.31</v>
      </c>
      <c r="O18" s="63">
        <v>953</v>
      </c>
      <c r="P18" s="89">
        <v>-0.05</v>
      </c>
      <c r="Q18" s="89">
        <v>0.41089999999999999</v>
      </c>
      <c r="R18" s="94">
        <f t="shared" si="2"/>
        <v>0.1433668229350035</v>
      </c>
      <c r="S18" s="94">
        <f t="shared" si="3"/>
        <v>-5.0185343598517194E-2</v>
      </c>
      <c r="T18" s="94">
        <f t="shared" si="4"/>
        <v>6.1247216035634745E-2</v>
      </c>
      <c r="U18" s="95">
        <f t="shared" si="5"/>
        <v>-9.6200000000000008E-2</v>
      </c>
      <c r="V18" s="96">
        <f t="shared" si="6"/>
        <v>-7.2000000000000008E-2</v>
      </c>
    </row>
    <row r="19" spans="1:22">
      <c r="A19" s="58">
        <v>14</v>
      </c>
      <c r="B19" s="59" t="s">
        <v>48</v>
      </c>
      <c r="C19" s="60" t="s">
        <v>49</v>
      </c>
      <c r="D19" s="61">
        <v>178706242.24000001</v>
      </c>
      <c r="E19" s="62">
        <f t="shared" si="0"/>
        <v>2.429720871218323E-3</v>
      </c>
      <c r="F19" s="61">
        <v>1.94</v>
      </c>
      <c r="G19" s="61">
        <v>2.0099999999999998</v>
      </c>
      <c r="H19" s="63">
        <v>24</v>
      </c>
      <c r="I19" s="89">
        <v>5.04E-2</v>
      </c>
      <c r="J19" s="89">
        <v>0.39050000000000001</v>
      </c>
      <c r="K19" s="61">
        <v>189200169.13</v>
      </c>
      <c r="L19" s="62">
        <f t="shared" si="1"/>
        <v>2.4955873298234893E-3</v>
      </c>
      <c r="M19" s="61">
        <v>1.97</v>
      </c>
      <c r="N19" s="61">
        <v>2.0499999999999998</v>
      </c>
      <c r="O19" s="63">
        <v>24</v>
      </c>
      <c r="P19" s="89">
        <v>1.9900000000000001E-2</v>
      </c>
      <c r="Q19" s="89">
        <v>0.41610000000000003</v>
      </c>
      <c r="R19" s="94">
        <f t="shared" si="2"/>
        <v>5.8721658283804025E-2</v>
      </c>
      <c r="S19" s="94">
        <f t="shared" si="3"/>
        <v>1.9900497512437831E-2</v>
      </c>
      <c r="T19" s="94">
        <f t="shared" si="4"/>
        <v>0</v>
      </c>
      <c r="U19" s="95">
        <f t="shared" si="5"/>
        <v>-3.0499999999999999E-2</v>
      </c>
      <c r="V19" s="96">
        <f t="shared" si="6"/>
        <v>2.5600000000000012E-2</v>
      </c>
    </row>
    <row r="20" spans="1:22">
      <c r="A20" s="176">
        <v>15</v>
      </c>
      <c r="B20" s="175" t="s">
        <v>50</v>
      </c>
      <c r="C20" s="177" t="s">
        <v>51</v>
      </c>
      <c r="D20" s="67">
        <v>8199867053.9200001</v>
      </c>
      <c r="E20" s="62">
        <f t="shared" si="0"/>
        <v>0.11148680579029854</v>
      </c>
      <c r="F20" s="61">
        <v>50.49</v>
      </c>
      <c r="G20" s="61">
        <v>50.76</v>
      </c>
      <c r="H20" s="63">
        <v>8944</v>
      </c>
      <c r="I20" s="89">
        <v>4.0399999999999998E-2</v>
      </c>
      <c r="J20" s="89">
        <v>0.65810000000000002</v>
      </c>
      <c r="K20" s="67">
        <v>8524366638.5699997</v>
      </c>
      <c r="L20" s="62">
        <f t="shared" si="1"/>
        <v>0.11243806744891645</v>
      </c>
      <c r="M20" s="61">
        <v>50.5</v>
      </c>
      <c r="N20" s="61">
        <v>50.57</v>
      </c>
      <c r="O20" s="63">
        <v>8944</v>
      </c>
      <c r="P20" s="89">
        <v>5.9999999999999995E-4</v>
      </c>
      <c r="Q20" s="89">
        <v>0.65869999999999995</v>
      </c>
      <c r="R20" s="94">
        <f t="shared" si="2"/>
        <v>3.9573761686156908E-2</v>
      </c>
      <c r="S20" s="94">
        <f t="shared" si="3"/>
        <v>-3.7431048069345497E-3</v>
      </c>
      <c r="T20" s="94">
        <f t="shared" si="4"/>
        <v>0</v>
      </c>
      <c r="U20" s="95">
        <f t="shared" si="5"/>
        <v>-3.9799999999999995E-2</v>
      </c>
      <c r="V20" s="96">
        <f t="shared" si="6"/>
        <v>5.9999999999993392E-4</v>
      </c>
    </row>
    <row r="21" spans="1:22" ht="12.75" customHeight="1">
      <c r="A21" s="58">
        <v>16</v>
      </c>
      <c r="B21" s="59" t="s">
        <v>52</v>
      </c>
      <c r="C21" s="60" t="s">
        <v>53</v>
      </c>
      <c r="D21" s="61">
        <v>1524815201.8199999</v>
      </c>
      <c r="E21" s="62">
        <f t="shared" si="0"/>
        <v>2.0731650300370802E-2</v>
      </c>
      <c r="F21" s="61">
        <v>12221.27</v>
      </c>
      <c r="G21" s="61">
        <v>12390.85</v>
      </c>
      <c r="H21" s="63">
        <v>26</v>
      </c>
      <c r="I21" s="89">
        <v>4.4000000000000003E-3</v>
      </c>
      <c r="J21" s="89">
        <v>0.52769999999999995</v>
      </c>
      <c r="K21" s="61">
        <v>1548643575.4400001</v>
      </c>
      <c r="L21" s="62">
        <f t="shared" si="1"/>
        <v>2.0426912423239497E-2</v>
      </c>
      <c r="M21" s="61">
        <v>12445.54</v>
      </c>
      <c r="N21" s="61">
        <v>12614.71</v>
      </c>
      <c r="O21" s="63">
        <v>26</v>
      </c>
      <c r="P21" s="89">
        <v>1.8100000000000002E-2</v>
      </c>
      <c r="Q21" s="89">
        <v>0.55530000000000002</v>
      </c>
      <c r="R21" s="94">
        <f t="shared" si="2"/>
        <v>1.5627056702713141E-2</v>
      </c>
      <c r="S21" s="94">
        <f t="shared" si="3"/>
        <v>1.8066557177271837E-2</v>
      </c>
      <c r="T21" s="94">
        <f t="shared" si="4"/>
        <v>0</v>
      </c>
      <c r="U21" s="95">
        <f t="shared" si="5"/>
        <v>1.37E-2</v>
      </c>
      <c r="V21" s="96">
        <f t="shared" si="6"/>
        <v>2.7600000000000069E-2</v>
      </c>
    </row>
    <row r="22" spans="1:22">
      <c r="A22" s="58">
        <v>17</v>
      </c>
      <c r="B22" s="59" t="s">
        <v>54</v>
      </c>
      <c r="C22" s="60" t="s">
        <v>53</v>
      </c>
      <c r="D22" s="61">
        <v>23905702828.34</v>
      </c>
      <c r="E22" s="62">
        <f t="shared" si="0"/>
        <v>0.32502605602972917</v>
      </c>
      <c r="F22" s="61">
        <v>40715.25</v>
      </c>
      <c r="G22" s="61">
        <v>41278.910000000003</v>
      </c>
      <c r="H22" s="63">
        <v>19215</v>
      </c>
      <c r="I22" s="89">
        <v>7.4999999999999997E-3</v>
      </c>
      <c r="J22" s="89">
        <v>0.60609999999999997</v>
      </c>
      <c r="K22" s="61">
        <v>24042701430.959999</v>
      </c>
      <c r="L22" s="62">
        <f t="shared" ref="L22:L24" si="12">(K22/$K$25)</f>
        <v>0.31712794624726903</v>
      </c>
      <c r="M22" s="61">
        <v>41121</v>
      </c>
      <c r="N22" s="61">
        <v>41688.42</v>
      </c>
      <c r="O22" s="63">
        <v>19304</v>
      </c>
      <c r="P22" s="89">
        <v>9.9000000000000008E-3</v>
      </c>
      <c r="Q22" s="89">
        <v>0.622</v>
      </c>
      <c r="R22" s="94">
        <f t="shared" si="2"/>
        <v>5.7307916694082006E-3</v>
      </c>
      <c r="S22" s="94">
        <f t="shared" si="3"/>
        <v>9.9205623404298882E-3</v>
      </c>
      <c r="T22" s="94">
        <f t="shared" si="4"/>
        <v>4.6317980744210252E-3</v>
      </c>
      <c r="U22" s="95">
        <f t="shared" si="5"/>
        <v>2.4000000000000011E-3</v>
      </c>
      <c r="V22" s="96">
        <f t="shared" si="6"/>
        <v>1.5900000000000025E-2</v>
      </c>
    </row>
    <row r="23" spans="1:22">
      <c r="A23" s="58">
        <v>18</v>
      </c>
      <c r="B23" s="60" t="s">
        <v>55</v>
      </c>
      <c r="C23" s="60" t="s">
        <v>56</v>
      </c>
      <c r="D23" s="61">
        <v>6111781678.5600004</v>
      </c>
      <c r="E23" s="62">
        <f t="shared" ref="E23:E24" si="13">(D23/$D$25)</f>
        <v>8.3096837125497536E-2</v>
      </c>
      <c r="F23" s="61">
        <v>1.8772</v>
      </c>
      <c r="G23" s="70">
        <v>1.8967000000000001</v>
      </c>
      <c r="H23" s="63">
        <v>6178</v>
      </c>
      <c r="I23" s="89">
        <v>1.7100000000000001E-2</v>
      </c>
      <c r="J23" s="89">
        <v>0.44369999999999998</v>
      </c>
      <c r="K23" s="61">
        <v>6215908824.8599997</v>
      </c>
      <c r="L23" s="62">
        <f t="shared" si="12"/>
        <v>8.1989056235991273E-2</v>
      </c>
      <c r="M23" s="61">
        <v>1.8935</v>
      </c>
      <c r="N23" s="70">
        <v>1.913</v>
      </c>
      <c r="O23" s="63">
        <v>6243</v>
      </c>
      <c r="P23" s="89">
        <v>8.6999999999999994E-3</v>
      </c>
      <c r="Q23" s="89">
        <v>0.4546</v>
      </c>
      <c r="R23" s="94">
        <f t="shared" ref="R23" si="14">((K23-D23)/D23)</f>
        <v>1.70371181067012E-2</v>
      </c>
      <c r="S23" s="94">
        <f t="shared" ref="S23" si="15">((N23-G23)/G23)</f>
        <v>8.5938735698845269E-3</v>
      </c>
      <c r="T23" s="94">
        <f t="shared" ref="T23" si="16">((O23-H23)/H23)</f>
        <v>1.0521204273227582E-2</v>
      </c>
      <c r="U23" s="95">
        <f t="shared" ref="U23" si="17">P23-I23</f>
        <v>-8.4000000000000012E-3</v>
      </c>
      <c r="V23" s="96">
        <f t="shared" ref="V23" si="18">Q23-J23</f>
        <v>1.0900000000000021E-2</v>
      </c>
    </row>
    <row r="24" spans="1:22">
      <c r="A24" s="58">
        <v>19</v>
      </c>
      <c r="B24" s="60" t="s">
        <v>57</v>
      </c>
      <c r="C24" s="60" t="s">
        <v>58</v>
      </c>
      <c r="D24" s="61">
        <v>8885525378.2399998</v>
      </c>
      <c r="E24" s="62">
        <f t="shared" si="13"/>
        <v>0.12080913454749732</v>
      </c>
      <c r="F24" s="61">
        <v>212.92</v>
      </c>
      <c r="G24" s="70">
        <v>216.56</v>
      </c>
      <c r="H24" s="63">
        <v>74</v>
      </c>
      <c r="I24" s="89">
        <v>2.6700000000000002E-2</v>
      </c>
      <c r="J24" s="89">
        <v>0.74970000000000003</v>
      </c>
      <c r="K24" s="61">
        <v>9733081257.4099998</v>
      </c>
      <c r="L24" s="62">
        <f t="shared" si="12"/>
        <v>0.12838125028020092</v>
      </c>
      <c r="M24" s="61">
        <v>213.71</v>
      </c>
      <c r="N24" s="70">
        <v>217.34</v>
      </c>
      <c r="O24" s="63">
        <v>77</v>
      </c>
      <c r="P24" s="89">
        <v>3.5999999999999999E-3</v>
      </c>
      <c r="Q24" s="89">
        <v>0.75609999999999999</v>
      </c>
      <c r="R24" s="94">
        <f t="shared" si="2"/>
        <v>9.5386130036340028E-2</v>
      </c>
      <c r="S24" s="94">
        <f t="shared" si="3"/>
        <v>3.6017731806427832E-3</v>
      </c>
      <c r="T24" s="94">
        <f t="shared" si="4"/>
        <v>4.0540540540540543E-2</v>
      </c>
      <c r="U24" s="95">
        <f t="shared" si="5"/>
        <v>-2.3100000000000002E-2</v>
      </c>
      <c r="V24" s="96">
        <f t="shared" si="6"/>
        <v>6.3999999999999613E-3</v>
      </c>
    </row>
    <row r="25" spans="1:22">
      <c r="A25" s="71"/>
      <c r="B25" s="72"/>
      <c r="C25" s="73" t="s">
        <v>59</v>
      </c>
      <c r="D25" s="74">
        <f>SUM(D6:D24)</f>
        <v>73550112013.645508</v>
      </c>
      <c r="E25" s="75">
        <f>(D25/$D$229)</f>
        <v>1.0619940309973786E-2</v>
      </c>
      <c r="F25" s="76"/>
      <c r="G25" s="77"/>
      <c r="H25" s="78">
        <f>SUM(H6:H24)</f>
        <v>58299</v>
      </c>
      <c r="I25" s="91"/>
      <c r="J25" s="63">
        <v>0</v>
      </c>
      <c r="K25" s="74">
        <f>SUM(K6:K24)</f>
        <v>75813884318.519104</v>
      </c>
      <c r="L25" s="75">
        <f>(K25/$K$229)</f>
        <v>1.0799372504228064E-2</v>
      </c>
      <c r="M25" s="76"/>
      <c r="N25" s="77"/>
      <c r="O25" s="78">
        <f>SUM(O6:O24)</f>
        <v>58843</v>
      </c>
      <c r="P25" s="91"/>
      <c r="Q25" s="78"/>
      <c r="R25" s="94">
        <f t="shared" si="2"/>
        <v>3.0778638439783831E-2</v>
      </c>
      <c r="S25" s="94" t="e">
        <f t="shared" si="3"/>
        <v>#DIV/0!</v>
      </c>
      <c r="T25" s="94">
        <f t="shared" si="4"/>
        <v>9.3312063671761088E-3</v>
      </c>
      <c r="U25" s="95">
        <f t="shared" si="5"/>
        <v>0</v>
      </c>
      <c r="V25" s="96">
        <f t="shared" si="6"/>
        <v>0</v>
      </c>
    </row>
    <row r="26" spans="1:22" ht="4.5" customHeight="1">
      <c r="A26" s="71"/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</row>
    <row r="27" spans="1:22" ht="15" customHeight="1">
      <c r="A27" s="184" t="s">
        <v>60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</row>
    <row r="28" spans="1:22">
      <c r="A28" s="80">
        <v>20</v>
      </c>
      <c r="B28" s="59" t="s">
        <v>61</v>
      </c>
      <c r="C28" s="60" t="s">
        <v>23</v>
      </c>
      <c r="D28" s="81">
        <v>4972092544.6499996</v>
      </c>
      <c r="E28" s="62">
        <f t="shared" ref="E28:E33" si="19">(D28/$K$71)</f>
        <v>1.1764418312923382E-3</v>
      </c>
      <c r="F28" s="70">
        <v>100</v>
      </c>
      <c r="G28" s="70">
        <v>100</v>
      </c>
      <c r="H28" s="63">
        <v>870</v>
      </c>
      <c r="I28" s="89">
        <v>0.1696</v>
      </c>
      <c r="J28" s="89">
        <v>0.1696</v>
      </c>
      <c r="K28" s="81">
        <v>5059704815.6800003</v>
      </c>
      <c r="L28" s="62">
        <f t="shared" ref="L28:L33" si="20">(K28/$K$71)</f>
        <v>1.1971716828887489E-3</v>
      </c>
      <c r="M28" s="70">
        <v>100</v>
      </c>
      <c r="N28" s="70">
        <v>100</v>
      </c>
      <c r="O28" s="63">
        <v>876</v>
      </c>
      <c r="P28" s="89">
        <v>0.16300000000000001</v>
      </c>
      <c r="Q28" s="89">
        <v>0.16300000000000001</v>
      </c>
      <c r="R28" s="94">
        <f>((K28-D28)/D28)</f>
        <v>1.7620804569350182E-2</v>
      </c>
      <c r="S28" s="94">
        <f>((N28-G28)/G28)</f>
        <v>0</v>
      </c>
      <c r="T28" s="94">
        <f>((O28-H28)/H28)</f>
        <v>6.8965517241379309E-3</v>
      </c>
      <c r="U28" s="95">
        <f>P28-I28</f>
        <v>-6.5999999999999948E-3</v>
      </c>
      <c r="V28" s="96">
        <f>Q28-J28</f>
        <v>-6.5999999999999948E-3</v>
      </c>
    </row>
    <row r="29" spans="1:22">
      <c r="A29" s="80">
        <v>21</v>
      </c>
      <c r="B29" s="59" t="s">
        <v>62</v>
      </c>
      <c r="C29" s="60" t="s">
        <v>63</v>
      </c>
      <c r="D29" s="81">
        <v>27118449868.279999</v>
      </c>
      <c r="E29" s="62">
        <f t="shared" si="19"/>
        <v>6.4164692306817378E-3</v>
      </c>
      <c r="F29" s="70">
        <v>100</v>
      </c>
      <c r="G29" s="70">
        <v>100</v>
      </c>
      <c r="H29" s="63">
        <v>3457</v>
      </c>
      <c r="I29" s="89">
        <v>0.19239999999999999</v>
      </c>
      <c r="J29" s="89">
        <v>0.19239999999999999</v>
      </c>
      <c r="K29" s="81">
        <v>28731359551.689999</v>
      </c>
      <c r="L29" s="62">
        <f t="shared" si="20"/>
        <v>6.7980981735504143E-3</v>
      </c>
      <c r="M29" s="70">
        <v>100</v>
      </c>
      <c r="N29" s="70">
        <v>100</v>
      </c>
      <c r="O29" s="63">
        <v>3503</v>
      </c>
      <c r="P29" s="89">
        <v>0.19331599999999999</v>
      </c>
      <c r="Q29" s="89">
        <v>0.19331599999999999</v>
      </c>
      <c r="R29" s="94">
        <f t="shared" ref="R29:R71" si="21">((K29-D29)/D29)</f>
        <v>5.9476470493123337E-2</v>
      </c>
      <c r="S29" s="94">
        <f t="shared" ref="S29:S71" si="22">((N29-G29)/G29)</f>
        <v>0</v>
      </c>
      <c r="T29" s="94">
        <f t="shared" ref="T29:T71" si="23">((O29-H29)/H29)</f>
        <v>1.3306334972519526E-2</v>
      </c>
      <c r="U29" s="95">
        <f t="shared" ref="U29:U71" si="24">P29-I29</f>
        <v>9.1600000000000015E-4</v>
      </c>
      <c r="V29" s="96">
        <f t="shared" ref="V29:V71" si="25">Q29-J29</f>
        <v>9.1600000000000015E-4</v>
      </c>
    </row>
    <row r="30" spans="1:22">
      <c r="A30" s="80">
        <v>22</v>
      </c>
      <c r="B30" s="59" t="s">
        <v>64</v>
      </c>
      <c r="C30" s="60" t="s">
        <v>25</v>
      </c>
      <c r="D30" s="81">
        <v>2396860570.6900001</v>
      </c>
      <c r="E30" s="62">
        <f t="shared" si="19"/>
        <v>5.671187762120454E-4</v>
      </c>
      <c r="F30" s="70">
        <v>100</v>
      </c>
      <c r="G30" s="70">
        <v>100</v>
      </c>
      <c r="H30" s="63">
        <v>2238</v>
      </c>
      <c r="I30" s="89">
        <v>0.19189999999999999</v>
      </c>
      <c r="J30" s="89">
        <v>0.19189999999999999</v>
      </c>
      <c r="K30" s="81">
        <v>2388038743.1100001</v>
      </c>
      <c r="L30" s="62">
        <f t="shared" si="20"/>
        <v>5.650314524343077E-4</v>
      </c>
      <c r="M30" s="70">
        <v>100</v>
      </c>
      <c r="N30" s="70">
        <v>100</v>
      </c>
      <c r="O30" s="63">
        <v>2245</v>
      </c>
      <c r="P30" s="89">
        <v>0.19320000000000001</v>
      </c>
      <c r="Q30" s="89">
        <v>0.19320000000000001</v>
      </c>
      <c r="R30" s="94">
        <f t="shared" si="21"/>
        <v>-3.6805760367864559E-3</v>
      </c>
      <c r="S30" s="94">
        <f t="shared" si="22"/>
        <v>0</v>
      </c>
      <c r="T30" s="94">
        <f t="shared" si="23"/>
        <v>3.1277926720285972E-3</v>
      </c>
      <c r="U30" s="95">
        <f t="shared" si="24"/>
        <v>1.3000000000000234E-3</v>
      </c>
      <c r="V30" s="96">
        <f t="shared" si="25"/>
        <v>1.3000000000000234E-3</v>
      </c>
    </row>
    <row r="31" spans="1:22">
      <c r="A31" s="80">
        <v>23</v>
      </c>
      <c r="B31" s="59" t="s">
        <v>65</v>
      </c>
      <c r="C31" s="60" t="s">
        <v>27</v>
      </c>
      <c r="D31" s="81">
        <v>286178185379.66998</v>
      </c>
      <c r="E31" s="62">
        <f t="shared" si="19"/>
        <v>6.7712333481451017E-2</v>
      </c>
      <c r="F31" s="70">
        <v>1</v>
      </c>
      <c r="G31" s="70">
        <v>1</v>
      </c>
      <c r="H31" s="63">
        <v>75481</v>
      </c>
      <c r="I31" s="89">
        <v>0.19350000000000001</v>
      </c>
      <c r="J31" s="89">
        <v>0.19350000000000001</v>
      </c>
      <c r="K31" s="81">
        <v>287711508632.75</v>
      </c>
      <c r="L31" s="62">
        <f t="shared" si="20"/>
        <v>6.8075131558843524E-2</v>
      </c>
      <c r="M31" s="70">
        <v>1</v>
      </c>
      <c r="N31" s="70">
        <v>1</v>
      </c>
      <c r="O31" s="63">
        <v>75815</v>
      </c>
      <c r="P31" s="89">
        <v>0.19470000000000001</v>
      </c>
      <c r="Q31" s="89">
        <v>0.19470000000000001</v>
      </c>
      <c r="R31" s="94">
        <f t="shared" si="21"/>
        <v>5.3579319857863074E-3</v>
      </c>
      <c r="S31" s="94">
        <f t="shared" si="22"/>
        <v>0</v>
      </c>
      <c r="T31" s="94">
        <f t="shared" si="23"/>
        <v>4.4249546243425499E-3</v>
      </c>
      <c r="U31" s="95">
        <f t="shared" si="24"/>
        <v>1.2000000000000066E-3</v>
      </c>
      <c r="V31" s="96">
        <f t="shared" si="25"/>
        <v>1.2000000000000066E-3</v>
      </c>
    </row>
    <row r="32" spans="1:22">
      <c r="A32" s="174">
        <v>24</v>
      </c>
      <c r="B32" s="175" t="s">
        <v>66</v>
      </c>
      <c r="C32" s="177" t="s">
        <v>67</v>
      </c>
      <c r="D32" s="81">
        <v>1405774447.1700001</v>
      </c>
      <c r="E32" s="62">
        <f t="shared" si="19"/>
        <v>3.3261888232393426E-4</v>
      </c>
      <c r="F32" s="70">
        <v>1</v>
      </c>
      <c r="G32" s="70">
        <v>1</v>
      </c>
      <c r="H32" s="63">
        <v>300</v>
      </c>
      <c r="I32" s="89">
        <v>0.185</v>
      </c>
      <c r="J32" s="89">
        <v>0.185</v>
      </c>
      <c r="K32" s="81">
        <v>1369674370.8900001</v>
      </c>
      <c r="L32" s="62">
        <f t="shared" si="20"/>
        <v>3.2407727947417761E-4</v>
      </c>
      <c r="M32" s="70">
        <v>1</v>
      </c>
      <c r="N32" s="70">
        <v>1</v>
      </c>
      <c r="O32" s="63">
        <v>300</v>
      </c>
      <c r="P32" s="89">
        <v>0.17299999999999999</v>
      </c>
      <c r="Q32" s="89">
        <v>0.17299999999999999</v>
      </c>
      <c r="R32" s="94">
        <f t="shared" si="21"/>
        <v>-2.5679849532529164E-2</v>
      </c>
      <c r="S32" s="94">
        <f t="shared" si="22"/>
        <v>0</v>
      </c>
      <c r="T32" s="94">
        <f t="shared" si="23"/>
        <v>0</v>
      </c>
      <c r="U32" s="95">
        <f t="shared" si="24"/>
        <v>-1.2000000000000011E-2</v>
      </c>
      <c r="V32" s="96">
        <f t="shared" si="25"/>
        <v>-1.2000000000000011E-2</v>
      </c>
    </row>
    <row r="33" spans="1:22">
      <c r="A33" s="80">
        <v>25</v>
      </c>
      <c r="B33" s="175" t="s">
        <v>68</v>
      </c>
      <c r="C33" s="177" t="s">
        <v>29</v>
      </c>
      <c r="D33" s="81">
        <v>161919422040.39001</v>
      </c>
      <c r="E33" s="62">
        <f t="shared" si="19"/>
        <v>3.8311592086507008E-2</v>
      </c>
      <c r="F33" s="70">
        <v>1</v>
      </c>
      <c r="G33" s="70">
        <v>1</v>
      </c>
      <c r="H33" s="63">
        <v>36208</v>
      </c>
      <c r="I33" s="89">
        <v>0.18360000000000001</v>
      </c>
      <c r="J33" s="89">
        <v>0.18360000000000001</v>
      </c>
      <c r="K33" s="81">
        <v>162086180684.29001</v>
      </c>
      <c r="L33" s="62">
        <f t="shared" si="20"/>
        <v>3.8351048682025254E-2</v>
      </c>
      <c r="M33" s="70">
        <v>1</v>
      </c>
      <c r="N33" s="70">
        <v>1</v>
      </c>
      <c r="O33" s="63">
        <v>36340</v>
      </c>
      <c r="P33" s="89">
        <v>0.183</v>
      </c>
      <c r="Q33" s="89">
        <v>0.183</v>
      </c>
      <c r="R33" s="94">
        <f t="shared" si="21"/>
        <v>1.029886605316543E-3</v>
      </c>
      <c r="S33" s="94">
        <f t="shared" si="22"/>
        <v>0</v>
      </c>
      <c r="T33" s="94">
        <f t="shared" si="23"/>
        <v>3.6456031816173222E-3</v>
      </c>
      <c r="U33" s="95">
        <f t="shared" si="24"/>
        <v>-6.0000000000001719E-4</v>
      </c>
      <c r="V33" s="96">
        <f t="shared" si="25"/>
        <v>-6.0000000000001719E-4</v>
      </c>
    </row>
    <row r="34" spans="1:22">
      <c r="A34" s="80">
        <v>26</v>
      </c>
      <c r="B34" s="175" t="s">
        <v>69</v>
      </c>
      <c r="C34" s="177" t="s">
        <v>31</v>
      </c>
      <c r="D34" s="61">
        <v>13630780957.360001</v>
      </c>
      <c r="E34" s="62">
        <f t="shared" ref="E34" si="26">(D34/$D$25)</f>
        <v>0.18532644729121728</v>
      </c>
      <c r="F34" s="61">
        <v>1</v>
      </c>
      <c r="G34" s="61">
        <v>1</v>
      </c>
      <c r="H34" s="63">
        <v>1198</v>
      </c>
      <c r="I34" s="89">
        <v>0.2001</v>
      </c>
      <c r="J34" s="89">
        <v>0.2001</v>
      </c>
      <c r="K34" s="61">
        <v>13544632554.360001</v>
      </c>
      <c r="L34" s="62">
        <f t="shared" ref="L34" si="27">(K34/$K$25)</f>
        <v>0.17865635926863394</v>
      </c>
      <c r="M34" s="61">
        <v>1</v>
      </c>
      <c r="N34" s="61">
        <v>1</v>
      </c>
      <c r="O34" s="63">
        <v>1215</v>
      </c>
      <c r="P34" s="89">
        <v>0.20230000000000001</v>
      </c>
      <c r="Q34" s="89">
        <v>0.20230000000000001</v>
      </c>
      <c r="R34" s="94">
        <f t="shared" si="21"/>
        <v>-6.3201369950475058E-3</v>
      </c>
      <c r="S34" s="94">
        <f t="shared" si="22"/>
        <v>0</v>
      </c>
      <c r="T34" s="94">
        <f t="shared" si="23"/>
        <v>1.4190317195325543E-2</v>
      </c>
      <c r="U34" s="95">
        <f t="shared" si="24"/>
        <v>2.2000000000000075E-3</v>
      </c>
      <c r="V34" s="96">
        <f t="shared" si="25"/>
        <v>2.2000000000000075E-3</v>
      </c>
    </row>
    <row r="35" spans="1:22" ht="15" customHeight="1">
      <c r="A35" s="174">
        <v>27</v>
      </c>
      <c r="B35" s="175" t="s">
        <v>70</v>
      </c>
      <c r="C35" s="177" t="s">
        <v>51</v>
      </c>
      <c r="D35" s="81">
        <v>35057700792.300003</v>
      </c>
      <c r="E35" s="62">
        <f t="shared" ref="E35:E49" si="28">(D35/$K$71)</f>
        <v>8.2949674308396264E-3</v>
      </c>
      <c r="F35" s="70">
        <v>100</v>
      </c>
      <c r="G35" s="70">
        <v>100</v>
      </c>
      <c r="H35" s="63">
        <v>2083</v>
      </c>
      <c r="I35" s="89">
        <v>0.17199999999999999</v>
      </c>
      <c r="J35" s="89">
        <v>0.17199999999999999</v>
      </c>
      <c r="K35" s="81">
        <v>35727351616.120003</v>
      </c>
      <c r="L35" s="62">
        <f t="shared" ref="L35:L49" si="29">(K35/$K$71)</f>
        <v>8.4534128407805394E-3</v>
      </c>
      <c r="M35" s="70">
        <v>100</v>
      </c>
      <c r="N35" s="70">
        <v>100</v>
      </c>
      <c r="O35" s="63">
        <v>2083</v>
      </c>
      <c r="P35" s="89">
        <v>0.16839999999999999</v>
      </c>
      <c r="Q35" s="89">
        <v>0.16839999999999999</v>
      </c>
      <c r="R35" s="94">
        <f t="shared" si="21"/>
        <v>1.9101390241971612E-2</v>
      </c>
      <c r="S35" s="94">
        <f t="shared" si="22"/>
        <v>0</v>
      </c>
      <c r="T35" s="94">
        <f t="shared" si="23"/>
        <v>0</v>
      </c>
      <c r="U35" s="95">
        <f t="shared" si="24"/>
        <v>-3.5999999999999921E-3</v>
      </c>
      <c r="V35" s="96">
        <f t="shared" si="25"/>
        <v>-3.5999999999999921E-3</v>
      </c>
    </row>
    <row r="36" spans="1:22" ht="15" customHeight="1">
      <c r="A36" s="174">
        <v>28</v>
      </c>
      <c r="B36" s="175" t="s">
        <v>71</v>
      </c>
      <c r="C36" s="177" t="s">
        <v>72</v>
      </c>
      <c r="D36" s="81">
        <v>1726562999.71</v>
      </c>
      <c r="E36" s="62">
        <f t="shared" si="28"/>
        <v>4.0852034007412213E-4</v>
      </c>
      <c r="F36" s="70">
        <v>1</v>
      </c>
      <c r="G36" s="70">
        <v>1</v>
      </c>
      <c r="H36" s="63">
        <v>540</v>
      </c>
      <c r="I36" s="89">
        <v>0.191</v>
      </c>
      <c r="J36" s="89">
        <v>0.191</v>
      </c>
      <c r="K36" s="81">
        <v>1748367323.6600001</v>
      </c>
      <c r="L36" s="62">
        <f t="shared" si="29"/>
        <v>4.1367943929994621E-4</v>
      </c>
      <c r="M36" s="70">
        <v>1</v>
      </c>
      <c r="N36" s="70">
        <v>1</v>
      </c>
      <c r="O36" s="63">
        <v>542</v>
      </c>
      <c r="P36" s="89">
        <v>0.185</v>
      </c>
      <c r="Q36" s="89">
        <v>0.185</v>
      </c>
      <c r="R36" s="94">
        <f t="shared" si="21"/>
        <v>1.2628745058050232E-2</v>
      </c>
      <c r="S36" s="94">
        <f t="shared" si="22"/>
        <v>0</v>
      </c>
      <c r="T36" s="94">
        <f t="shared" si="23"/>
        <v>3.7037037037037038E-3</v>
      </c>
      <c r="U36" s="95">
        <f t="shared" si="24"/>
        <v>-6.0000000000000053E-3</v>
      </c>
      <c r="V36" s="96">
        <f t="shared" si="25"/>
        <v>-6.0000000000000053E-3</v>
      </c>
    </row>
    <row r="37" spans="1:22">
      <c r="A37" s="80">
        <v>29</v>
      </c>
      <c r="B37" s="59" t="s">
        <v>73</v>
      </c>
      <c r="C37" s="60" t="s">
        <v>74</v>
      </c>
      <c r="D37" s="81">
        <v>75079601492.089996</v>
      </c>
      <c r="E37" s="62">
        <f t="shared" si="28"/>
        <v>1.7764509224007394E-2</v>
      </c>
      <c r="F37" s="70">
        <v>100</v>
      </c>
      <c r="G37" s="70">
        <v>100</v>
      </c>
      <c r="H37" s="63">
        <v>5156</v>
      </c>
      <c r="I37" s="89">
        <v>0.188</v>
      </c>
      <c r="J37" s="89">
        <v>0.188</v>
      </c>
      <c r="K37" s="81">
        <v>75518981641.520004</v>
      </c>
      <c r="L37" s="62">
        <f t="shared" si="29"/>
        <v>1.7868470520581638E-2</v>
      </c>
      <c r="M37" s="70">
        <v>100</v>
      </c>
      <c r="N37" s="70">
        <v>100</v>
      </c>
      <c r="O37" s="63">
        <v>5219</v>
      </c>
      <c r="P37" s="89">
        <v>0.18640000000000001</v>
      </c>
      <c r="Q37" s="89">
        <v>0.18640000000000001</v>
      </c>
      <c r="R37" s="94">
        <f t="shared" si="21"/>
        <v>5.8521907508565932E-3</v>
      </c>
      <c r="S37" s="94">
        <f t="shared" si="22"/>
        <v>0</v>
      </c>
      <c r="T37" s="94">
        <f t="shared" si="23"/>
        <v>1.2218774243599689E-2</v>
      </c>
      <c r="U37" s="95">
        <f t="shared" si="24"/>
        <v>-1.5999999999999903E-3</v>
      </c>
      <c r="V37" s="96">
        <f t="shared" si="25"/>
        <v>-1.5999999999999903E-3</v>
      </c>
    </row>
    <row r="38" spans="1:22">
      <c r="A38" s="80">
        <v>30</v>
      </c>
      <c r="B38" s="59" t="s">
        <v>75</v>
      </c>
      <c r="C38" s="60" t="s">
        <v>76</v>
      </c>
      <c r="D38" s="81">
        <v>30370407433.330002</v>
      </c>
      <c r="E38" s="62">
        <f t="shared" si="28"/>
        <v>7.1859116492925734E-3</v>
      </c>
      <c r="F38" s="70">
        <v>100</v>
      </c>
      <c r="G38" s="70">
        <v>100</v>
      </c>
      <c r="H38" s="63">
        <v>5339</v>
      </c>
      <c r="I38" s="89">
        <v>0.1981</v>
      </c>
      <c r="J38" s="89">
        <v>0.1981</v>
      </c>
      <c r="K38" s="81">
        <v>31424234390.990002</v>
      </c>
      <c r="L38" s="62">
        <f t="shared" si="29"/>
        <v>7.4352565890340424E-3</v>
      </c>
      <c r="M38" s="70">
        <v>100</v>
      </c>
      <c r="N38" s="70">
        <v>100</v>
      </c>
      <c r="O38" s="63">
        <v>5357</v>
      </c>
      <c r="P38" s="89">
        <v>0.18440000000000001</v>
      </c>
      <c r="Q38" s="89">
        <v>0.18440000000000001</v>
      </c>
      <c r="R38" s="94">
        <f t="shared" si="21"/>
        <v>3.4699137967555797E-2</v>
      </c>
      <c r="S38" s="94">
        <f t="shared" si="22"/>
        <v>0</v>
      </c>
      <c r="T38" s="94">
        <f t="shared" si="23"/>
        <v>3.3714178685147031E-3</v>
      </c>
      <c r="U38" s="95">
        <f t="shared" si="24"/>
        <v>-1.369999999999999E-2</v>
      </c>
      <c r="V38" s="96">
        <f t="shared" si="25"/>
        <v>-1.369999999999999E-2</v>
      </c>
    </row>
    <row r="39" spans="1:22">
      <c r="A39" s="80">
        <v>31</v>
      </c>
      <c r="B39" s="59" t="s">
        <v>77</v>
      </c>
      <c r="C39" s="60" t="s">
        <v>78</v>
      </c>
      <c r="D39" s="81">
        <v>63693891284.980003</v>
      </c>
      <c r="E39" s="62">
        <f t="shared" si="28"/>
        <v>1.5070547748767147E-2</v>
      </c>
      <c r="F39" s="70">
        <v>1</v>
      </c>
      <c r="G39" s="70">
        <v>1</v>
      </c>
      <c r="H39" s="63">
        <v>11124</v>
      </c>
      <c r="I39" s="89">
        <v>0.1777</v>
      </c>
      <c r="J39" s="89">
        <v>0.1777</v>
      </c>
      <c r="K39" s="81">
        <v>57310318150.110001</v>
      </c>
      <c r="L39" s="62">
        <f t="shared" si="29"/>
        <v>1.3560136910365572E-2</v>
      </c>
      <c r="M39" s="70">
        <v>1</v>
      </c>
      <c r="N39" s="70">
        <v>1</v>
      </c>
      <c r="O39" s="63">
        <v>11539</v>
      </c>
      <c r="P39" s="89">
        <v>0.1794</v>
      </c>
      <c r="Q39" s="89">
        <v>0.1794</v>
      </c>
      <c r="R39" s="94">
        <f t="shared" si="21"/>
        <v>-0.10022269021543274</v>
      </c>
      <c r="S39" s="94">
        <f t="shared" si="22"/>
        <v>0</v>
      </c>
      <c r="T39" s="94">
        <f t="shared" si="23"/>
        <v>3.730672419992808E-2</v>
      </c>
      <c r="U39" s="95">
        <f t="shared" si="24"/>
        <v>1.7000000000000071E-3</v>
      </c>
      <c r="V39" s="96">
        <f t="shared" si="25"/>
        <v>1.7000000000000071E-3</v>
      </c>
    </row>
    <row r="40" spans="1:22">
      <c r="A40" s="80">
        <v>32</v>
      </c>
      <c r="B40" s="59" t="s">
        <v>79</v>
      </c>
      <c r="C40" s="60" t="s">
        <v>80</v>
      </c>
      <c r="D40" s="81">
        <v>948797234.32000005</v>
      </c>
      <c r="E40" s="62">
        <v>0</v>
      </c>
      <c r="F40" s="70">
        <v>1000</v>
      </c>
      <c r="G40" s="70">
        <v>1000</v>
      </c>
      <c r="H40" s="63">
        <v>39</v>
      </c>
      <c r="I40" s="89">
        <v>0.19320000000000001</v>
      </c>
      <c r="J40" s="89">
        <v>0.19320000000000001</v>
      </c>
      <c r="K40" s="81">
        <v>935230137.99000001</v>
      </c>
      <c r="L40" s="62">
        <f t="shared" si="29"/>
        <v>2.2128386516067776E-4</v>
      </c>
      <c r="M40" s="70">
        <v>1000</v>
      </c>
      <c r="N40" s="70">
        <v>1000</v>
      </c>
      <c r="O40" s="63">
        <v>42</v>
      </c>
      <c r="P40" s="89">
        <v>0.19370000000000001</v>
      </c>
      <c r="Q40" s="89">
        <v>0.19370000000000001</v>
      </c>
      <c r="R40" s="94">
        <f t="shared" si="21"/>
        <v>-1.4299257880661444E-2</v>
      </c>
      <c r="S40" s="94">
        <f t="shared" si="22"/>
        <v>0</v>
      </c>
      <c r="T40" s="94">
        <f t="shared" si="23"/>
        <v>7.6923076923076927E-2</v>
      </c>
      <c r="U40" s="95">
        <f t="shared" si="24"/>
        <v>5.0000000000000044E-4</v>
      </c>
      <c r="V40" s="96">
        <f t="shared" si="25"/>
        <v>5.0000000000000044E-4</v>
      </c>
    </row>
    <row r="41" spans="1:22">
      <c r="A41" s="174">
        <v>33</v>
      </c>
      <c r="B41" s="175" t="s">
        <v>81</v>
      </c>
      <c r="C41" s="177" t="s">
        <v>82</v>
      </c>
      <c r="D41" s="81">
        <v>82033911065.809998</v>
      </c>
      <c r="E41" s="62">
        <f t="shared" si="28"/>
        <v>1.9409961438907171E-2</v>
      </c>
      <c r="F41" s="83">
        <v>100</v>
      </c>
      <c r="G41" s="83">
        <v>100</v>
      </c>
      <c r="H41" s="63">
        <v>4301</v>
      </c>
      <c r="I41" s="89">
        <v>0.1835</v>
      </c>
      <c r="J41" s="89">
        <v>0.1835</v>
      </c>
      <c r="K41" s="81">
        <v>77430777204.199997</v>
      </c>
      <c r="L41" s="62">
        <f t="shared" si="29"/>
        <v>1.8320818551640691E-2</v>
      </c>
      <c r="M41" s="83">
        <v>100</v>
      </c>
      <c r="N41" s="83">
        <v>100</v>
      </c>
      <c r="O41" s="63">
        <v>4301</v>
      </c>
      <c r="P41" s="89">
        <v>0.17879999999999999</v>
      </c>
      <c r="Q41" s="89">
        <v>0.17879999999999999</v>
      </c>
      <c r="R41" s="94">
        <f t="shared" si="21"/>
        <v>-5.6112573468760162E-2</v>
      </c>
      <c r="S41" s="94">
        <f t="shared" si="22"/>
        <v>0</v>
      </c>
      <c r="T41" s="94">
        <f t="shared" si="23"/>
        <v>0</v>
      </c>
      <c r="U41" s="95">
        <f t="shared" si="24"/>
        <v>-4.7000000000000097E-3</v>
      </c>
      <c r="V41" s="96">
        <f t="shared" si="25"/>
        <v>-4.7000000000000097E-3</v>
      </c>
    </row>
    <row r="42" spans="1:22">
      <c r="A42" s="174">
        <v>34</v>
      </c>
      <c r="B42" s="175" t="s">
        <v>83</v>
      </c>
      <c r="C42" s="177" t="s">
        <v>82</v>
      </c>
      <c r="D42" s="81">
        <v>11357907202.43</v>
      </c>
      <c r="E42" s="62">
        <f t="shared" si="28"/>
        <v>2.6873830341819938E-3</v>
      </c>
      <c r="F42" s="83">
        <v>1000000</v>
      </c>
      <c r="G42" s="83">
        <v>1000000</v>
      </c>
      <c r="H42" s="63">
        <v>45</v>
      </c>
      <c r="I42" s="89">
        <v>0.18149999999999999</v>
      </c>
      <c r="J42" s="89">
        <v>0.18149999999999999</v>
      </c>
      <c r="K42" s="81">
        <v>11463754554.33</v>
      </c>
      <c r="L42" s="62">
        <f t="shared" si="29"/>
        <v>2.7124274699780789E-3</v>
      </c>
      <c r="M42" s="83">
        <v>1000000</v>
      </c>
      <c r="N42" s="83">
        <v>1000000</v>
      </c>
      <c r="O42" s="63">
        <v>45</v>
      </c>
      <c r="P42" s="89">
        <v>0.17910000000000001</v>
      </c>
      <c r="Q42" s="89">
        <v>0.17910000000000001</v>
      </c>
      <c r="R42" s="94">
        <f t="shared" si="21"/>
        <v>9.3192654257074573E-3</v>
      </c>
      <c r="S42" s="94">
        <f t="shared" si="22"/>
        <v>0</v>
      </c>
      <c r="T42" s="94">
        <f t="shared" si="23"/>
        <v>0</v>
      </c>
      <c r="U42" s="95">
        <f t="shared" si="24"/>
        <v>-2.3999999999999855E-3</v>
      </c>
      <c r="V42" s="96">
        <f t="shared" si="25"/>
        <v>-2.3999999999999855E-3</v>
      </c>
    </row>
    <row r="43" spans="1:22">
      <c r="A43" s="80">
        <v>35</v>
      </c>
      <c r="B43" s="175" t="s">
        <v>84</v>
      </c>
      <c r="C43" s="177" t="s">
        <v>85</v>
      </c>
      <c r="D43" s="81">
        <v>6865486970.3599997</v>
      </c>
      <c r="E43" s="62">
        <f t="shared" si="28"/>
        <v>1.6244359877844064E-3</v>
      </c>
      <c r="F43" s="70">
        <v>1</v>
      </c>
      <c r="G43" s="70">
        <v>1</v>
      </c>
      <c r="H43" s="63">
        <v>1038</v>
      </c>
      <c r="I43" s="89">
        <v>0.2074</v>
      </c>
      <c r="J43" s="89">
        <v>0.2074</v>
      </c>
      <c r="K43" s="81">
        <v>6915603346.5699997</v>
      </c>
      <c r="L43" s="62">
        <f t="shared" si="29"/>
        <v>1.6362939733059487E-3</v>
      </c>
      <c r="M43" s="70">
        <v>1</v>
      </c>
      <c r="N43" s="70">
        <v>1</v>
      </c>
      <c r="O43" s="63">
        <v>1039</v>
      </c>
      <c r="P43" s="89">
        <v>0.20300000000000001</v>
      </c>
      <c r="Q43" s="89">
        <v>0.20300000000000001</v>
      </c>
      <c r="R43" s="94">
        <f t="shared" si="21"/>
        <v>7.2997554909600432E-3</v>
      </c>
      <c r="S43" s="94">
        <f t="shared" si="22"/>
        <v>0</v>
      </c>
      <c r="T43" s="94">
        <f t="shared" si="23"/>
        <v>9.6339113680154141E-4</v>
      </c>
      <c r="U43" s="95">
        <f t="shared" si="24"/>
        <v>-4.3999999999999873E-3</v>
      </c>
      <c r="V43" s="96">
        <f t="shared" si="25"/>
        <v>-4.3999999999999873E-3</v>
      </c>
    </row>
    <row r="44" spans="1:22">
      <c r="A44" s="80">
        <v>36</v>
      </c>
      <c r="B44" s="59" t="s">
        <v>86</v>
      </c>
      <c r="C44" s="60" t="s">
        <v>87</v>
      </c>
      <c r="D44" s="81">
        <v>637860533163.30005</v>
      </c>
      <c r="E44" s="62">
        <f t="shared" si="28"/>
        <v>0.15092354114590664</v>
      </c>
      <c r="F44" s="70">
        <v>100</v>
      </c>
      <c r="G44" s="70">
        <v>100</v>
      </c>
      <c r="H44" s="63">
        <v>33235</v>
      </c>
      <c r="I44" s="89">
        <v>0.18179999999999999</v>
      </c>
      <c r="J44" s="89">
        <v>0.18179999999999999</v>
      </c>
      <c r="K44" s="81">
        <v>649589266234.89001</v>
      </c>
      <c r="L44" s="62">
        <f t="shared" si="29"/>
        <v>0.15369866491715004</v>
      </c>
      <c r="M44" s="70">
        <v>100</v>
      </c>
      <c r="N44" s="70">
        <v>100</v>
      </c>
      <c r="O44" s="63">
        <v>15166</v>
      </c>
      <c r="P44" s="89">
        <v>0.1799</v>
      </c>
      <c r="Q44" s="89">
        <v>0.1799</v>
      </c>
      <c r="R44" s="94">
        <f t="shared" si="21"/>
        <v>1.8387613689507368E-2</v>
      </c>
      <c r="S44" s="94">
        <f t="shared" si="22"/>
        <v>0</v>
      </c>
      <c r="T44" s="94">
        <f t="shared" si="23"/>
        <v>-0.54367383782157364</v>
      </c>
      <c r="U44" s="95">
        <f t="shared" si="24"/>
        <v>-1.899999999999985E-3</v>
      </c>
      <c r="V44" s="96">
        <f t="shared" si="25"/>
        <v>-1.899999999999985E-3</v>
      </c>
    </row>
    <row r="45" spans="1:22">
      <c r="A45" s="80">
        <v>37</v>
      </c>
      <c r="B45" s="175" t="s">
        <v>88</v>
      </c>
      <c r="C45" s="177" t="s">
        <v>89</v>
      </c>
      <c r="D45" s="81">
        <v>2720008554.8000002</v>
      </c>
      <c r="E45" s="62">
        <f t="shared" si="28"/>
        <v>6.4357849670012342E-4</v>
      </c>
      <c r="F45" s="70">
        <v>1</v>
      </c>
      <c r="G45" s="70">
        <v>1</v>
      </c>
      <c r="H45" s="84">
        <v>1591</v>
      </c>
      <c r="I45" s="92">
        <v>0.18229999999999999</v>
      </c>
      <c r="J45" s="92">
        <v>0.18229999999999999</v>
      </c>
      <c r="K45" s="81">
        <v>3019873601.8800001</v>
      </c>
      <c r="L45" s="62">
        <f t="shared" si="29"/>
        <v>7.145292648041776E-4</v>
      </c>
      <c r="M45" s="70">
        <v>1</v>
      </c>
      <c r="N45" s="70">
        <v>1</v>
      </c>
      <c r="O45" s="84">
        <v>1635</v>
      </c>
      <c r="P45" s="92">
        <v>0.18920000000000001</v>
      </c>
      <c r="Q45" s="92">
        <v>0.18920000000000001</v>
      </c>
      <c r="R45" s="94">
        <f t="shared" si="21"/>
        <v>0.11024415586885855</v>
      </c>
      <c r="S45" s="94">
        <f t="shared" si="22"/>
        <v>0</v>
      </c>
      <c r="T45" s="94">
        <f t="shared" si="23"/>
        <v>2.765556253928347E-2</v>
      </c>
      <c r="U45" s="95">
        <f t="shared" si="24"/>
        <v>6.9000000000000172E-3</v>
      </c>
      <c r="V45" s="96">
        <f t="shared" si="25"/>
        <v>6.9000000000000172E-3</v>
      </c>
    </row>
    <row r="46" spans="1:22">
      <c r="A46" s="174">
        <v>38</v>
      </c>
      <c r="B46" s="175" t="s">
        <v>90</v>
      </c>
      <c r="C46" s="177" t="s">
        <v>91</v>
      </c>
      <c r="D46" s="81">
        <v>2325013725.7600002</v>
      </c>
      <c r="E46" s="62">
        <f t="shared" si="28"/>
        <v>5.5011916627659206E-4</v>
      </c>
      <c r="F46" s="70">
        <v>1</v>
      </c>
      <c r="G46" s="70">
        <v>1</v>
      </c>
      <c r="H46" s="84">
        <v>401</v>
      </c>
      <c r="I46" s="92">
        <v>0.1794</v>
      </c>
      <c r="J46" s="92">
        <v>0.1794</v>
      </c>
      <c r="K46" s="81">
        <v>2422224972.8299999</v>
      </c>
      <c r="L46" s="62">
        <f t="shared" si="29"/>
        <v>5.7312022196858597E-4</v>
      </c>
      <c r="M46" s="70">
        <v>1</v>
      </c>
      <c r="N46" s="70">
        <v>1</v>
      </c>
      <c r="O46" s="84">
        <v>411</v>
      </c>
      <c r="P46" s="92">
        <v>0.18909999999999999</v>
      </c>
      <c r="Q46" s="92">
        <v>0.18909999999999999</v>
      </c>
      <c r="R46" s="94">
        <f t="shared" si="21"/>
        <v>4.1811042228674711E-2</v>
      </c>
      <c r="S46" s="94">
        <f t="shared" si="22"/>
        <v>0</v>
      </c>
      <c r="T46" s="94">
        <f t="shared" si="23"/>
        <v>2.4937655860349128E-2</v>
      </c>
      <c r="U46" s="95">
        <f t="shared" si="24"/>
        <v>9.6999999999999864E-3</v>
      </c>
      <c r="V46" s="96">
        <f t="shared" si="25"/>
        <v>9.6999999999999864E-3</v>
      </c>
    </row>
    <row r="47" spans="1:22">
      <c r="A47" s="174">
        <v>39</v>
      </c>
      <c r="B47" s="175" t="s">
        <v>331</v>
      </c>
      <c r="C47" s="177" t="s">
        <v>332</v>
      </c>
      <c r="D47" s="81">
        <v>0</v>
      </c>
      <c r="E47" s="62">
        <f t="shared" si="28"/>
        <v>0</v>
      </c>
      <c r="F47" s="70">
        <v>0</v>
      </c>
      <c r="G47" s="70">
        <v>0</v>
      </c>
      <c r="H47" s="84">
        <v>0</v>
      </c>
      <c r="I47" s="92">
        <v>0</v>
      </c>
      <c r="J47" s="92">
        <v>0</v>
      </c>
      <c r="K47" s="81">
        <v>2600000</v>
      </c>
      <c r="L47" s="62">
        <f t="shared" si="29"/>
        <v>6.1518339288582044E-7</v>
      </c>
      <c r="M47" s="70">
        <v>1</v>
      </c>
      <c r="N47" s="70">
        <v>1</v>
      </c>
      <c r="O47" s="84">
        <v>9</v>
      </c>
      <c r="P47" s="92">
        <v>0</v>
      </c>
      <c r="Q47" s="92">
        <v>0</v>
      </c>
      <c r="R47" s="94" t="e">
        <f t="shared" si="21"/>
        <v>#DIV/0!</v>
      </c>
      <c r="S47" s="94" t="e">
        <f t="shared" si="22"/>
        <v>#DIV/0!</v>
      </c>
      <c r="T47" s="94" t="e">
        <f t="shared" si="23"/>
        <v>#DIV/0!</v>
      </c>
      <c r="U47" s="95">
        <f t="shared" si="24"/>
        <v>0</v>
      </c>
      <c r="V47" s="96">
        <f t="shared" si="25"/>
        <v>0</v>
      </c>
    </row>
    <row r="48" spans="1:22">
      <c r="A48" s="174">
        <v>40</v>
      </c>
      <c r="B48" s="175" t="s">
        <v>92</v>
      </c>
      <c r="C48" s="177" t="s">
        <v>93</v>
      </c>
      <c r="D48" s="81">
        <v>2372352705.5700002</v>
      </c>
      <c r="E48" s="62">
        <f t="shared" si="28"/>
        <v>5.6131999482092628E-4</v>
      </c>
      <c r="F48" s="70">
        <v>10</v>
      </c>
      <c r="G48" s="70">
        <v>10</v>
      </c>
      <c r="H48" s="63">
        <v>490</v>
      </c>
      <c r="I48" s="89">
        <v>0.17430000000000001</v>
      </c>
      <c r="J48" s="89">
        <v>0.17430000000000001</v>
      </c>
      <c r="K48" s="81">
        <v>2582223056.27</v>
      </c>
      <c r="L48" s="62">
        <f t="shared" si="29"/>
        <v>6.1097720805545054E-4</v>
      </c>
      <c r="M48" s="70">
        <v>10</v>
      </c>
      <c r="N48" s="70">
        <v>10</v>
      </c>
      <c r="O48" s="63">
        <v>495</v>
      </c>
      <c r="P48" s="89">
        <v>0.17419999999999999</v>
      </c>
      <c r="Q48" s="89">
        <v>0.17419999999999999</v>
      </c>
      <c r="R48" s="94">
        <f t="shared" si="21"/>
        <v>8.8465071069427983E-2</v>
      </c>
      <c r="S48" s="94">
        <f t="shared" si="22"/>
        <v>0</v>
      </c>
      <c r="T48" s="94">
        <f t="shared" si="23"/>
        <v>1.020408163265306E-2</v>
      </c>
      <c r="U48" s="95">
        <f t="shared" si="24"/>
        <v>-1.0000000000001674E-4</v>
      </c>
      <c r="V48" s="96">
        <f t="shared" si="25"/>
        <v>-1.0000000000001674E-4</v>
      </c>
    </row>
    <row r="49" spans="1:22">
      <c r="A49" s="80">
        <v>41</v>
      </c>
      <c r="B49" s="59" t="s">
        <v>94</v>
      </c>
      <c r="C49" s="60" t="s">
        <v>95</v>
      </c>
      <c r="D49" s="81">
        <v>9186842107.2399998</v>
      </c>
      <c r="E49" s="62">
        <f t="shared" si="28"/>
        <v>2.173689499014701E-3</v>
      </c>
      <c r="F49" s="70">
        <v>100</v>
      </c>
      <c r="G49" s="70">
        <v>100</v>
      </c>
      <c r="H49" s="63">
        <v>1753</v>
      </c>
      <c r="I49" s="89">
        <v>0.1757</v>
      </c>
      <c r="J49" s="89">
        <v>0.1757</v>
      </c>
      <c r="K49" s="81">
        <v>9176419682.1299992</v>
      </c>
      <c r="L49" s="62">
        <f t="shared" si="29"/>
        <v>2.1712234594603672E-3</v>
      </c>
      <c r="M49" s="70">
        <v>100</v>
      </c>
      <c r="N49" s="70">
        <v>100</v>
      </c>
      <c r="O49" s="63">
        <v>978</v>
      </c>
      <c r="P49" s="89">
        <v>0.1883</v>
      </c>
      <c r="Q49" s="89">
        <v>0.1883</v>
      </c>
      <c r="R49" s="94">
        <f t="shared" si="21"/>
        <v>-1.134494855613864E-3</v>
      </c>
      <c r="S49" s="94">
        <f t="shared" si="22"/>
        <v>0</v>
      </c>
      <c r="T49" s="94">
        <f t="shared" si="23"/>
        <v>-0.44209925841414716</v>
      </c>
      <c r="U49" s="95">
        <f t="shared" si="24"/>
        <v>1.26E-2</v>
      </c>
      <c r="V49" s="96">
        <f t="shared" si="25"/>
        <v>1.26E-2</v>
      </c>
    </row>
    <row r="50" spans="1:22">
      <c r="A50" s="80">
        <v>42</v>
      </c>
      <c r="B50" s="59" t="s">
        <v>96</v>
      </c>
      <c r="C50" s="59" t="s">
        <v>97</v>
      </c>
      <c r="D50" s="85">
        <v>122394187.209639</v>
      </c>
      <c r="E50" s="62">
        <f>(D50/$D$195)</f>
        <v>1.569383237227086E-3</v>
      </c>
      <c r="F50" s="61">
        <v>1</v>
      </c>
      <c r="G50" s="61">
        <v>1</v>
      </c>
      <c r="H50" s="63">
        <v>152</v>
      </c>
      <c r="I50" s="89">
        <v>0.17130000000000001</v>
      </c>
      <c r="J50" s="89">
        <v>0.17130000000000001</v>
      </c>
      <c r="K50" s="85">
        <v>124256204.938572</v>
      </c>
      <c r="L50" s="93">
        <f>(K50/$K$195)</f>
        <v>1.5718188635050038E-3</v>
      </c>
      <c r="M50" s="61">
        <v>1</v>
      </c>
      <c r="N50" s="61">
        <v>1</v>
      </c>
      <c r="O50" s="63">
        <v>159</v>
      </c>
      <c r="P50" s="89">
        <v>0.17069999999999999</v>
      </c>
      <c r="Q50" s="89">
        <v>0.17069999999999999</v>
      </c>
      <c r="R50" s="95">
        <f t="shared" si="21"/>
        <v>1.5213285625596816E-2</v>
      </c>
      <c r="S50" s="95">
        <f t="shared" si="22"/>
        <v>0</v>
      </c>
      <c r="T50" s="95">
        <f t="shared" si="23"/>
        <v>4.6052631578947366E-2</v>
      </c>
      <c r="U50" s="95">
        <f t="shared" si="24"/>
        <v>-6.0000000000001719E-4</v>
      </c>
      <c r="V50" s="96">
        <f t="shared" si="25"/>
        <v>-6.0000000000001719E-4</v>
      </c>
    </row>
    <row r="51" spans="1:22">
      <c r="A51" s="80">
        <v>43</v>
      </c>
      <c r="B51" s="59" t="s">
        <v>98</v>
      </c>
      <c r="C51" s="60" t="s">
        <v>41</v>
      </c>
      <c r="D51" s="81">
        <v>672115136.61000001</v>
      </c>
      <c r="E51" s="62">
        <f t="shared" ref="E51" si="30">(D51/$K$71)</f>
        <v>1.5902848851909865E-4</v>
      </c>
      <c r="F51" s="70">
        <v>100</v>
      </c>
      <c r="G51" s="70">
        <v>100</v>
      </c>
      <c r="H51" s="63">
        <v>4310</v>
      </c>
      <c r="I51" s="89">
        <v>0.1807</v>
      </c>
      <c r="J51" s="89">
        <v>0.18740000000000001</v>
      </c>
      <c r="K51" s="81">
        <v>675092246.78999996</v>
      </c>
      <c r="L51" s="62">
        <f t="shared" ref="L51" si="31">(K51/$K$71)</f>
        <v>1.5973289957353222E-4</v>
      </c>
      <c r="M51" s="70">
        <v>100</v>
      </c>
      <c r="N51" s="70">
        <v>100</v>
      </c>
      <c r="O51" s="63">
        <v>4335</v>
      </c>
      <c r="P51" s="89">
        <v>0.18140000000000001</v>
      </c>
      <c r="Q51" s="89">
        <v>0.18479999999999999</v>
      </c>
      <c r="R51" s="94">
        <f t="shared" ref="R51" si="32">((K51-D51)/D51)</f>
        <v>4.4294645631934911E-3</v>
      </c>
      <c r="S51" s="94">
        <f t="shared" ref="S51" si="33">((N51-G51)/G51)</f>
        <v>0</v>
      </c>
      <c r="T51" s="94">
        <f t="shared" ref="T51" si="34">((O51-H51)/H51)</f>
        <v>5.8004640371229696E-3</v>
      </c>
      <c r="U51" s="95">
        <f t="shared" ref="U51" si="35">P51-I51</f>
        <v>7.0000000000000617E-4</v>
      </c>
      <c r="V51" s="96">
        <f t="shared" ref="V51" si="36">Q51-J51</f>
        <v>-2.600000000000019E-3</v>
      </c>
    </row>
    <row r="52" spans="1:22">
      <c r="A52" s="80">
        <v>44</v>
      </c>
      <c r="B52" s="59" t="s">
        <v>99</v>
      </c>
      <c r="C52" s="60" t="s">
        <v>41</v>
      </c>
      <c r="D52" s="81">
        <v>183095869021.78</v>
      </c>
      <c r="E52" s="62">
        <f t="shared" ref="E52:E70" si="37">(D52/$K$71)</f>
        <v>4.332212997238323E-2</v>
      </c>
      <c r="F52" s="70">
        <v>100</v>
      </c>
      <c r="G52" s="70">
        <v>100</v>
      </c>
      <c r="H52" s="63">
        <v>19301</v>
      </c>
      <c r="I52" s="89">
        <v>0.17307518</v>
      </c>
      <c r="J52" s="89">
        <v>0.17307518</v>
      </c>
      <c r="K52" s="81">
        <v>188726323578.16</v>
      </c>
      <c r="L52" s="62">
        <f t="shared" ref="L52:L70" si="38">(K52/$K$71)</f>
        <v>4.4654346179107567E-2</v>
      </c>
      <c r="M52" s="70">
        <v>100</v>
      </c>
      <c r="N52" s="70">
        <v>100</v>
      </c>
      <c r="O52" s="63">
        <v>19944</v>
      </c>
      <c r="P52" s="89">
        <v>0.182</v>
      </c>
      <c r="Q52" s="89">
        <v>0.182</v>
      </c>
      <c r="R52" s="94">
        <f t="shared" si="21"/>
        <v>3.0751401364004775E-2</v>
      </c>
      <c r="S52" s="94">
        <f t="shared" si="22"/>
        <v>0</v>
      </c>
      <c r="T52" s="94">
        <f t="shared" si="23"/>
        <v>3.3314336044764518E-2</v>
      </c>
      <c r="U52" s="95">
        <f t="shared" si="24"/>
        <v>8.92482E-3</v>
      </c>
      <c r="V52" s="96">
        <f t="shared" si="25"/>
        <v>8.92482E-3</v>
      </c>
    </row>
    <row r="53" spans="1:22">
      <c r="A53" s="80">
        <v>45</v>
      </c>
      <c r="B53" s="59" t="s">
        <v>100</v>
      </c>
      <c r="C53" s="60" t="s">
        <v>45</v>
      </c>
      <c r="D53" s="81">
        <v>36562759899.860001</v>
      </c>
      <c r="E53" s="62">
        <f t="shared" si="37"/>
        <v>8.6510779571021129E-3</v>
      </c>
      <c r="F53" s="70">
        <v>1</v>
      </c>
      <c r="G53" s="70">
        <v>1</v>
      </c>
      <c r="H53" s="63">
        <v>2437</v>
      </c>
      <c r="I53" s="89">
        <v>0.18329999999999999</v>
      </c>
      <c r="J53" s="89">
        <v>0.18329999999999999</v>
      </c>
      <c r="K53" s="81">
        <v>38275399569.129997</v>
      </c>
      <c r="L53" s="62">
        <f t="shared" si="38"/>
        <v>9.0563039119222529E-3</v>
      </c>
      <c r="M53" s="70">
        <v>1</v>
      </c>
      <c r="N53" s="70">
        <v>1</v>
      </c>
      <c r="O53" s="63">
        <v>2437</v>
      </c>
      <c r="P53" s="89">
        <v>0.18329999999999999</v>
      </c>
      <c r="Q53" s="89">
        <v>0.18329999999999999</v>
      </c>
      <c r="R53" s="94">
        <f t="shared" si="21"/>
        <v>4.6841093887897513E-2</v>
      </c>
      <c r="S53" s="94">
        <f t="shared" si="22"/>
        <v>0</v>
      </c>
      <c r="T53" s="94">
        <f t="shared" si="23"/>
        <v>0</v>
      </c>
      <c r="U53" s="95">
        <f t="shared" si="24"/>
        <v>0</v>
      </c>
      <c r="V53" s="96">
        <f t="shared" si="25"/>
        <v>0</v>
      </c>
    </row>
    <row r="54" spans="1:22">
      <c r="A54" s="174">
        <v>46</v>
      </c>
      <c r="B54" s="175" t="s">
        <v>101</v>
      </c>
      <c r="C54" s="177" t="s">
        <v>102</v>
      </c>
      <c r="D54" s="81">
        <v>4413157638.5900002</v>
      </c>
      <c r="E54" s="62">
        <f t="shared" si="37"/>
        <v>1.0441928036337583E-3</v>
      </c>
      <c r="F54" s="70">
        <v>100</v>
      </c>
      <c r="G54" s="70">
        <v>100</v>
      </c>
      <c r="H54" s="63">
        <v>230</v>
      </c>
      <c r="I54" s="89">
        <v>0.1804</v>
      </c>
      <c r="J54" s="89">
        <v>0.1804</v>
      </c>
      <c r="K54" s="81">
        <v>4531256783.901</v>
      </c>
      <c r="L54" s="62">
        <f t="shared" si="38"/>
        <v>1.0721361239835029E-3</v>
      </c>
      <c r="M54" s="70">
        <v>100</v>
      </c>
      <c r="N54" s="70">
        <v>100</v>
      </c>
      <c r="O54" s="63">
        <v>238</v>
      </c>
      <c r="P54" s="89">
        <v>0.1802</v>
      </c>
      <c r="Q54" s="89">
        <v>0.1802</v>
      </c>
      <c r="R54" s="94">
        <f t="shared" si="21"/>
        <v>2.6760690413209994E-2</v>
      </c>
      <c r="S54" s="94">
        <f t="shared" si="22"/>
        <v>0</v>
      </c>
      <c r="T54" s="94">
        <f t="shared" si="23"/>
        <v>3.4782608695652174E-2</v>
      </c>
      <c r="U54" s="95">
        <f t="shared" si="24"/>
        <v>-2.0000000000000573E-4</v>
      </c>
      <c r="V54" s="96">
        <f t="shared" si="25"/>
        <v>-2.0000000000000573E-4</v>
      </c>
    </row>
    <row r="55" spans="1:22">
      <c r="A55" s="80">
        <v>47</v>
      </c>
      <c r="B55" s="59" t="s">
        <v>103</v>
      </c>
      <c r="C55" s="60" t="s">
        <v>47</v>
      </c>
      <c r="D55" s="86">
        <v>71545586784.929993</v>
      </c>
      <c r="E55" s="62">
        <f t="shared" si="37"/>
        <v>1.6928329547830825E-2</v>
      </c>
      <c r="F55" s="70">
        <v>10</v>
      </c>
      <c r="G55" s="70">
        <v>10</v>
      </c>
      <c r="H55" s="63">
        <v>7597</v>
      </c>
      <c r="I55" s="89">
        <v>0.20019999999999999</v>
      </c>
      <c r="J55" s="89">
        <v>0.20019999999999999</v>
      </c>
      <c r="K55" s="86">
        <v>72254861659.440002</v>
      </c>
      <c r="L55" s="62">
        <f t="shared" si="38"/>
        <v>1.7096150364673029E-2</v>
      </c>
      <c r="M55" s="70">
        <v>10</v>
      </c>
      <c r="N55" s="70">
        <v>10</v>
      </c>
      <c r="O55" s="63">
        <v>7719</v>
      </c>
      <c r="P55" s="89">
        <v>0.1958</v>
      </c>
      <c r="Q55" s="89">
        <v>0.1958</v>
      </c>
      <c r="R55" s="94">
        <f t="shared" si="21"/>
        <v>9.9136076225376339E-3</v>
      </c>
      <c r="S55" s="94">
        <f t="shared" si="22"/>
        <v>0</v>
      </c>
      <c r="T55" s="94">
        <f t="shared" si="23"/>
        <v>1.6058970646307753E-2</v>
      </c>
      <c r="U55" s="95">
        <f t="shared" si="24"/>
        <v>-4.3999999999999873E-3</v>
      </c>
      <c r="V55" s="96">
        <f t="shared" si="25"/>
        <v>-4.3999999999999873E-3</v>
      </c>
    </row>
    <row r="56" spans="1:22">
      <c r="A56" s="80">
        <v>48</v>
      </c>
      <c r="B56" s="59" t="s">
        <v>104</v>
      </c>
      <c r="C56" s="60" t="s">
        <v>105</v>
      </c>
      <c r="D56" s="81">
        <v>30380770844</v>
      </c>
      <c r="E56" s="62">
        <f t="shared" si="37"/>
        <v>7.1883637254994345E-3</v>
      </c>
      <c r="F56" s="70">
        <v>100</v>
      </c>
      <c r="G56" s="70">
        <v>100</v>
      </c>
      <c r="H56" s="63">
        <v>4991</v>
      </c>
      <c r="I56" s="89">
        <v>0.20219999999999999</v>
      </c>
      <c r="J56" s="89">
        <v>0.20219999999999999</v>
      </c>
      <c r="K56" s="81">
        <v>30748509282</v>
      </c>
      <c r="L56" s="62">
        <f t="shared" si="38"/>
        <v>7.2753739485699621E-3</v>
      </c>
      <c r="M56" s="70">
        <v>100</v>
      </c>
      <c r="N56" s="70">
        <v>100</v>
      </c>
      <c r="O56" s="63">
        <v>5042</v>
      </c>
      <c r="P56" s="89">
        <v>0.185</v>
      </c>
      <c r="Q56" s="89">
        <v>0.185</v>
      </c>
      <c r="R56" s="94">
        <f t="shared" si="21"/>
        <v>1.2104315584626645E-2</v>
      </c>
      <c r="S56" s="94">
        <f t="shared" si="22"/>
        <v>0</v>
      </c>
      <c r="T56" s="94">
        <f t="shared" si="23"/>
        <v>1.0218393107593669E-2</v>
      </c>
      <c r="U56" s="95">
        <f t="shared" si="24"/>
        <v>-1.7199999999999993E-2</v>
      </c>
      <c r="V56" s="96">
        <f t="shared" si="25"/>
        <v>-1.7199999999999993E-2</v>
      </c>
    </row>
    <row r="57" spans="1:22">
      <c r="A57" s="80">
        <v>49</v>
      </c>
      <c r="B57" s="59" t="s">
        <v>106</v>
      </c>
      <c r="C57" s="60" t="s">
        <v>107</v>
      </c>
      <c r="D57" s="81">
        <v>229056313.38999999</v>
      </c>
      <c r="E57" s="62">
        <f t="shared" si="37"/>
        <v>5.4196784628145368E-5</v>
      </c>
      <c r="F57" s="70">
        <v>1</v>
      </c>
      <c r="G57" s="70">
        <v>1</v>
      </c>
      <c r="H57" s="63">
        <v>94</v>
      </c>
      <c r="I57" s="89">
        <v>0.1812</v>
      </c>
      <c r="J57" s="89">
        <v>0.1812</v>
      </c>
      <c r="K57" s="81">
        <v>229165121.53999999</v>
      </c>
      <c r="L57" s="62">
        <f t="shared" si="38"/>
        <v>5.4222529615410999E-5</v>
      </c>
      <c r="M57" s="70">
        <v>1</v>
      </c>
      <c r="N57" s="70">
        <v>1</v>
      </c>
      <c r="O57" s="63">
        <v>94</v>
      </c>
      <c r="P57" s="89">
        <v>0.17349999999999999</v>
      </c>
      <c r="Q57" s="89">
        <v>0.17349999999999999</v>
      </c>
      <c r="R57" s="94">
        <f t="shared" si="21"/>
        <v>4.7502794570322568E-4</v>
      </c>
      <c r="S57" s="94">
        <f t="shared" si="22"/>
        <v>0</v>
      </c>
      <c r="T57" s="94">
        <f t="shared" si="23"/>
        <v>0</v>
      </c>
      <c r="U57" s="95">
        <f t="shared" si="24"/>
        <v>-7.7000000000000124E-3</v>
      </c>
      <c r="V57" s="96">
        <f t="shared" si="25"/>
        <v>-7.7000000000000124E-3</v>
      </c>
    </row>
    <row r="58" spans="1:22">
      <c r="A58" s="80">
        <v>50</v>
      </c>
      <c r="B58" s="59" t="s">
        <v>108</v>
      </c>
      <c r="C58" s="60" t="s">
        <v>49</v>
      </c>
      <c r="D58" s="86">
        <v>1882482528.77</v>
      </c>
      <c r="E58" s="62">
        <f t="shared" si="37"/>
        <v>4.4541230349884906E-4</v>
      </c>
      <c r="F58" s="70">
        <v>10</v>
      </c>
      <c r="G58" s="70">
        <v>10</v>
      </c>
      <c r="H58" s="63">
        <v>878</v>
      </c>
      <c r="I58" s="89">
        <v>0.1807</v>
      </c>
      <c r="J58" s="89">
        <v>0.1807</v>
      </c>
      <c r="K58" s="86">
        <v>2014254439.46</v>
      </c>
      <c r="L58" s="62">
        <f t="shared" si="38"/>
        <v>4.7659072315474197E-4</v>
      </c>
      <c r="M58" s="70">
        <v>10</v>
      </c>
      <c r="N58" s="70">
        <v>10</v>
      </c>
      <c r="O58" s="63">
        <v>881</v>
      </c>
      <c r="P58" s="89">
        <v>0.17829999999999999</v>
      </c>
      <c r="Q58" s="89">
        <v>0.17829999999999999</v>
      </c>
      <c r="R58" s="94">
        <f t="shared" si="21"/>
        <v>6.9999008583680633E-2</v>
      </c>
      <c r="S58" s="94">
        <f t="shared" si="22"/>
        <v>0</v>
      </c>
      <c r="T58" s="94">
        <f t="shared" si="23"/>
        <v>3.4168564920273349E-3</v>
      </c>
      <c r="U58" s="95">
        <f t="shared" si="24"/>
        <v>-2.4000000000000132E-3</v>
      </c>
      <c r="V58" s="96">
        <f t="shared" si="25"/>
        <v>-2.4000000000000132E-3</v>
      </c>
    </row>
    <row r="59" spans="1:22">
      <c r="A59" s="80">
        <v>51</v>
      </c>
      <c r="B59" s="59" t="s">
        <v>109</v>
      </c>
      <c r="C59" s="60" t="s">
        <v>110</v>
      </c>
      <c r="D59" s="86">
        <v>1056293478</v>
      </c>
      <c r="E59" s="62">
        <f t="shared" si="37"/>
        <v>2.4992854064584755E-4</v>
      </c>
      <c r="F59" s="70">
        <v>1</v>
      </c>
      <c r="G59" s="70">
        <v>1</v>
      </c>
      <c r="H59" s="63">
        <v>150</v>
      </c>
      <c r="I59" s="89">
        <v>0.19689999999999999</v>
      </c>
      <c r="J59" s="89">
        <v>0.19689999999999999</v>
      </c>
      <c r="K59" s="86">
        <v>1060758683</v>
      </c>
      <c r="L59" s="62">
        <f t="shared" si="38"/>
        <v>2.5098504832347479E-4</v>
      </c>
      <c r="M59" s="70">
        <v>1</v>
      </c>
      <c r="N59" s="70">
        <v>1</v>
      </c>
      <c r="O59" s="63">
        <v>150</v>
      </c>
      <c r="P59" s="89">
        <v>0.2248</v>
      </c>
      <c r="Q59" s="89">
        <v>0.2248</v>
      </c>
      <c r="R59" s="94">
        <f t="shared" si="21"/>
        <v>4.2272390135878503E-3</v>
      </c>
      <c r="S59" s="94">
        <f t="shared" si="22"/>
        <v>0</v>
      </c>
      <c r="T59" s="94">
        <f t="shared" si="23"/>
        <v>0</v>
      </c>
      <c r="U59" s="95">
        <f t="shared" si="24"/>
        <v>2.7900000000000008E-2</v>
      </c>
      <c r="V59" s="96">
        <f t="shared" si="25"/>
        <v>2.7900000000000008E-2</v>
      </c>
    </row>
    <row r="60" spans="1:22">
      <c r="A60" s="80">
        <v>52</v>
      </c>
      <c r="B60" s="175" t="s">
        <v>111</v>
      </c>
      <c r="C60" s="177" t="s">
        <v>112</v>
      </c>
      <c r="D60" s="86">
        <v>966173017.22000003</v>
      </c>
      <c r="E60" s="62">
        <f t="shared" si="37"/>
        <v>2.2860522878774222E-4</v>
      </c>
      <c r="F60" s="70">
        <v>1</v>
      </c>
      <c r="G60" s="70">
        <v>1</v>
      </c>
      <c r="H60" s="63">
        <v>1260</v>
      </c>
      <c r="I60" s="89">
        <v>0.18049999999999999</v>
      </c>
      <c r="J60" s="89">
        <v>0.18049999999999999</v>
      </c>
      <c r="K60" s="86">
        <v>1035075572.05</v>
      </c>
      <c r="L60" s="62">
        <f t="shared" si="38"/>
        <v>2.4490819319498091E-4</v>
      </c>
      <c r="M60" s="70">
        <v>1</v>
      </c>
      <c r="N60" s="70">
        <v>1</v>
      </c>
      <c r="O60" s="63">
        <v>1343</v>
      </c>
      <c r="P60" s="89">
        <v>0.1731</v>
      </c>
      <c r="Q60" s="89">
        <v>0.1731</v>
      </c>
      <c r="R60" s="94">
        <f t="shared" si="21"/>
        <v>7.1314923519863363E-2</v>
      </c>
      <c r="S60" s="94">
        <f t="shared" si="22"/>
        <v>0</v>
      </c>
      <c r="T60" s="94">
        <f t="shared" si="23"/>
        <v>6.5873015873015875E-2</v>
      </c>
      <c r="U60" s="95">
        <f t="shared" si="24"/>
        <v>-7.3999999999999899E-3</v>
      </c>
      <c r="V60" s="96">
        <f t="shared" si="25"/>
        <v>-7.3999999999999899E-3</v>
      </c>
    </row>
    <row r="61" spans="1:22">
      <c r="A61" s="80">
        <v>53</v>
      </c>
      <c r="B61" s="59" t="s">
        <v>113</v>
      </c>
      <c r="C61" s="60" t="s">
        <v>114</v>
      </c>
      <c r="D61" s="86">
        <v>15319636092.189899</v>
      </c>
      <c r="E61" s="62">
        <f t="shared" si="37"/>
        <v>3.6247637342190202E-3</v>
      </c>
      <c r="F61" s="70">
        <v>100</v>
      </c>
      <c r="G61" s="70">
        <v>100</v>
      </c>
      <c r="H61" s="63">
        <v>150</v>
      </c>
      <c r="I61" s="89">
        <v>0.17899999999999999</v>
      </c>
      <c r="J61" s="89">
        <v>0.17899999999999999</v>
      </c>
      <c r="K61" s="86">
        <v>15217145420.0613</v>
      </c>
      <c r="L61" s="62">
        <f t="shared" si="38"/>
        <v>3.6005135190577821E-3</v>
      </c>
      <c r="M61" s="70">
        <v>100</v>
      </c>
      <c r="N61" s="70">
        <v>100</v>
      </c>
      <c r="O61" s="63">
        <v>150</v>
      </c>
      <c r="P61" s="89">
        <v>0.17330000000000001</v>
      </c>
      <c r="Q61" s="89">
        <v>0.17330000000000001</v>
      </c>
      <c r="R61" s="94">
        <f t="shared" si="21"/>
        <v>-6.6901505696241644E-3</v>
      </c>
      <c r="S61" s="94">
        <f t="shared" si="22"/>
        <v>0</v>
      </c>
      <c r="T61" s="94">
        <f t="shared" si="23"/>
        <v>0</v>
      </c>
      <c r="U61" s="95">
        <f t="shared" si="24"/>
        <v>-5.6999999999999829E-3</v>
      </c>
      <c r="V61" s="96">
        <f t="shared" si="25"/>
        <v>-5.6999999999999829E-3</v>
      </c>
    </row>
    <row r="62" spans="1:22">
      <c r="A62" s="80">
        <v>54</v>
      </c>
      <c r="B62" s="59" t="s">
        <v>115</v>
      </c>
      <c r="C62" s="60" t="s">
        <v>80</v>
      </c>
      <c r="D62" s="86">
        <v>69014438.489999995</v>
      </c>
      <c r="E62" s="62">
        <f t="shared" si="37"/>
        <v>1.6329437087841519E-5</v>
      </c>
      <c r="F62" s="70">
        <v>1000</v>
      </c>
      <c r="G62" s="70">
        <v>1000</v>
      </c>
      <c r="H62" s="63">
        <v>23</v>
      </c>
      <c r="I62" s="89">
        <v>8.8999999999999999E-3</v>
      </c>
      <c r="J62" s="89">
        <v>0.22750000000000001</v>
      </c>
      <c r="K62" s="86">
        <v>68978726.019999996</v>
      </c>
      <c r="L62" s="62">
        <f t="shared" si="38"/>
        <v>1.6320987196125007E-5</v>
      </c>
      <c r="M62" s="70">
        <v>1000</v>
      </c>
      <c r="N62" s="70">
        <v>1000</v>
      </c>
      <c r="O62" s="63">
        <v>23</v>
      </c>
      <c r="P62" s="89">
        <v>8.8999999999999999E-3</v>
      </c>
      <c r="Q62" s="89">
        <v>0.2273</v>
      </c>
      <c r="R62" s="94">
        <f t="shared" si="21"/>
        <v>-5.1746374789636877E-4</v>
      </c>
      <c r="S62" s="94">
        <f t="shared" si="22"/>
        <v>0</v>
      </c>
      <c r="T62" s="94">
        <f t="shared" si="23"/>
        <v>0</v>
      </c>
      <c r="U62" s="95">
        <f t="shared" si="24"/>
        <v>0</v>
      </c>
      <c r="V62" s="96">
        <f t="shared" si="25"/>
        <v>-2.0000000000000573E-4</v>
      </c>
    </row>
    <row r="63" spans="1:22">
      <c r="A63" s="80">
        <v>55</v>
      </c>
      <c r="B63" s="59" t="s">
        <v>116</v>
      </c>
      <c r="C63" s="60" t="s">
        <v>53</v>
      </c>
      <c r="D63" s="81">
        <v>2028245429680.1101</v>
      </c>
      <c r="E63" s="62">
        <f t="shared" si="37"/>
        <v>0.47990111732144952</v>
      </c>
      <c r="F63" s="70">
        <v>100</v>
      </c>
      <c r="G63" s="70">
        <v>100</v>
      </c>
      <c r="H63" s="63">
        <v>232338</v>
      </c>
      <c r="I63" s="89">
        <v>0.1767</v>
      </c>
      <c r="J63" s="89">
        <v>0.1767</v>
      </c>
      <c r="K63" s="81">
        <v>2065374201058.1101</v>
      </c>
      <c r="L63" s="62">
        <f t="shared" si="38"/>
        <v>0.48868611868683415</v>
      </c>
      <c r="M63" s="70">
        <v>100</v>
      </c>
      <c r="N63" s="70">
        <v>100</v>
      </c>
      <c r="O63" s="63">
        <v>236036</v>
      </c>
      <c r="P63" s="89">
        <v>0.1754</v>
      </c>
      <c r="Q63" s="89">
        <v>0.1754</v>
      </c>
      <c r="R63" s="94">
        <f t="shared" si="21"/>
        <v>1.8305857286638066E-2</v>
      </c>
      <c r="S63" s="94">
        <f t="shared" si="22"/>
        <v>0</v>
      </c>
      <c r="T63" s="94">
        <f t="shared" si="23"/>
        <v>1.5916466527214661E-2</v>
      </c>
      <c r="U63" s="95">
        <f t="shared" si="24"/>
        <v>-1.2999999999999956E-3</v>
      </c>
      <c r="V63" s="96">
        <f t="shared" si="25"/>
        <v>-1.2999999999999956E-3</v>
      </c>
    </row>
    <row r="64" spans="1:22">
      <c r="A64" s="80">
        <v>56</v>
      </c>
      <c r="B64" s="59" t="s">
        <v>117</v>
      </c>
      <c r="C64" s="59" t="s">
        <v>118</v>
      </c>
      <c r="D64" s="81">
        <v>6160048036.7700005</v>
      </c>
      <c r="E64" s="62">
        <f t="shared" si="37"/>
        <v>1.4575227890768483E-3</v>
      </c>
      <c r="F64" s="70">
        <v>100</v>
      </c>
      <c r="G64" s="70">
        <v>100</v>
      </c>
      <c r="H64" s="63">
        <v>802</v>
      </c>
      <c r="I64" s="89">
        <v>0.20519999999999999</v>
      </c>
      <c r="J64" s="89">
        <v>0.20519999999999999</v>
      </c>
      <c r="K64" s="81">
        <v>6454503515.7700005</v>
      </c>
      <c r="L64" s="62">
        <f t="shared" si="38"/>
        <v>1.5271936047018635E-3</v>
      </c>
      <c r="M64" s="70">
        <v>100</v>
      </c>
      <c r="N64" s="70">
        <v>100</v>
      </c>
      <c r="O64" s="63">
        <v>820</v>
      </c>
      <c r="P64" s="89">
        <v>0.2089</v>
      </c>
      <c r="Q64" s="89">
        <v>0.2089</v>
      </c>
      <c r="R64" s="94">
        <f t="shared" si="21"/>
        <v>4.7800841363957396E-2</v>
      </c>
      <c r="S64" s="94">
        <f t="shared" si="22"/>
        <v>0</v>
      </c>
      <c r="T64" s="94">
        <f t="shared" si="23"/>
        <v>2.2443890274314215E-2</v>
      </c>
      <c r="U64" s="95">
        <f t="shared" si="24"/>
        <v>3.7000000000000088E-3</v>
      </c>
      <c r="V64" s="96">
        <f t="shared" si="25"/>
        <v>3.7000000000000088E-3</v>
      </c>
    </row>
    <row r="65" spans="1:22">
      <c r="A65" s="80">
        <v>57</v>
      </c>
      <c r="B65" s="87" t="s">
        <v>119</v>
      </c>
      <c r="C65" s="60" t="s">
        <v>120</v>
      </c>
      <c r="D65" s="81">
        <v>7470509092.6099997</v>
      </c>
      <c r="E65" s="62">
        <f t="shared" si="37"/>
        <v>1.7675896654523811E-3</v>
      </c>
      <c r="F65" s="70">
        <v>1</v>
      </c>
      <c r="G65" s="70">
        <v>1</v>
      </c>
      <c r="H65" s="63">
        <v>566</v>
      </c>
      <c r="I65" s="89">
        <v>0.19478300000000001</v>
      </c>
      <c r="J65" s="89">
        <v>0.19478300000000001</v>
      </c>
      <c r="K65" s="81">
        <v>6963042581.7399998</v>
      </c>
      <c r="L65" s="62">
        <f t="shared" si="38"/>
        <v>1.6475185231704828E-3</v>
      </c>
      <c r="M65" s="70">
        <v>1</v>
      </c>
      <c r="N65" s="70">
        <v>1</v>
      </c>
      <c r="O65" s="63">
        <v>569</v>
      </c>
      <c r="P65" s="89">
        <v>0.199071</v>
      </c>
      <c r="Q65" s="89">
        <v>0.199071</v>
      </c>
      <c r="R65" s="94">
        <f t="shared" si="21"/>
        <v>-6.7929307705681993E-2</v>
      </c>
      <c r="S65" s="94">
        <f t="shared" si="22"/>
        <v>0</v>
      </c>
      <c r="T65" s="94">
        <f t="shared" si="23"/>
        <v>5.3003533568904597E-3</v>
      </c>
      <c r="U65" s="95">
        <f t="shared" si="24"/>
        <v>4.2879999999999863E-3</v>
      </c>
      <c r="V65" s="96">
        <f t="shared" si="25"/>
        <v>4.2879999999999863E-3</v>
      </c>
    </row>
    <row r="66" spans="1:22">
      <c r="A66" s="80">
        <v>58</v>
      </c>
      <c r="B66" s="59" t="s">
        <v>121</v>
      </c>
      <c r="C66" s="60" t="s">
        <v>56</v>
      </c>
      <c r="D66" s="81">
        <v>181000183600.92001</v>
      </c>
      <c r="E66" s="62">
        <f t="shared" si="37"/>
        <v>4.2826271946373229E-2</v>
      </c>
      <c r="F66" s="70">
        <v>1</v>
      </c>
      <c r="G66" s="70">
        <v>1</v>
      </c>
      <c r="H66" s="63">
        <v>70505</v>
      </c>
      <c r="I66" s="89">
        <v>0.17</v>
      </c>
      <c r="J66" s="89">
        <v>0.17</v>
      </c>
      <c r="K66" s="81">
        <v>185759882617.32999</v>
      </c>
      <c r="L66" s="62">
        <f t="shared" si="38"/>
        <v>4.395245955792338E-2</v>
      </c>
      <c r="M66" s="70">
        <v>1</v>
      </c>
      <c r="N66" s="70">
        <v>1</v>
      </c>
      <c r="O66" s="63">
        <v>71358</v>
      </c>
      <c r="P66" s="89">
        <v>0.16600000000000001</v>
      </c>
      <c r="Q66" s="89">
        <v>0.16600000000000001</v>
      </c>
      <c r="R66" s="94">
        <f t="shared" si="21"/>
        <v>2.6296652974145268E-2</v>
      </c>
      <c r="S66" s="94">
        <f t="shared" si="22"/>
        <v>0</v>
      </c>
      <c r="T66" s="94">
        <f t="shared" si="23"/>
        <v>1.2098432735267003E-2</v>
      </c>
      <c r="U66" s="95">
        <f t="shared" si="24"/>
        <v>-4.0000000000000036E-3</v>
      </c>
      <c r="V66" s="96">
        <f t="shared" si="25"/>
        <v>-4.0000000000000036E-3</v>
      </c>
    </row>
    <row r="67" spans="1:22">
      <c r="A67" s="80">
        <v>59</v>
      </c>
      <c r="B67" s="59" t="s">
        <v>122</v>
      </c>
      <c r="C67" s="60" t="s">
        <v>123</v>
      </c>
      <c r="D67" s="81">
        <v>2286874861.3499999</v>
      </c>
      <c r="E67" s="62">
        <f t="shared" si="37"/>
        <v>5.4109516781176265E-4</v>
      </c>
      <c r="F67" s="70">
        <v>1</v>
      </c>
      <c r="G67" s="70">
        <v>1</v>
      </c>
      <c r="H67" s="63">
        <v>153</v>
      </c>
      <c r="I67" s="89">
        <v>0.17680000000000001</v>
      </c>
      <c r="J67" s="89">
        <v>0.17680000000000001</v>
      </c>
      <c r="K67" s="81">
        <v>2297631906</v>
      </c>
      <c r="L67" s="62">
        <f t="shared" si="38"/>
        <v>5.4364038135992093E-4</v>
      </c>
      <c r="M67" s="70">
        <v>1</v>
      </c>
      <c r="N67" s="70">
        <v>1</v>
      </c>
      <c r="O67" s="63">
        <v>152</v>
      </c>
      <c r="P67" s="89">
        <v>0.17760000000000001</v>
      </c>
      <c r="Q67" s="89">
        <v>0.17760000000000001</v>
      </c>
      <c r="R67" s="94">
        <f t="shared" si="21"/>
        <v>4.7038186617915506E-3</v>
      </c>
      <c r="S67" s="94">
        <f t="shared" si="22"/>
        <v>0</v>
      </c>
      <c r="T67" s="94">
        <f t="shared" si="23"/>
        <v>-6.5359477124183009E-3</v>
      </c>
      <c r="U67" s="95">
        <f t="shared" si="24"/>
        <v>7.9999999999999516E-4</v>
      </c>
      <c r="V67" s="96">
        <f t="shared" si="25"/>
        <v>7.9999999999999516E-4</v>
      </c>
    </row>
    <row r="68" spans="1:22">
      <c r="A68" s="80">
        <v>60</v>
      </c>
      <c r="B68" s="59" t="s">
        <v>124</v>
      </c>
      <c r="C68" s="60" t="s">
        <v>125</v>
      </c>
      <c r="D68" s="81">
        <v>7452322466.4499998</v>
      </c>
      <c r="E68" s="62">
        <f t="shared" si="37"/>
        <v>1.7632865460730524E-3</v>
      </c>
      <c r="F68" s="70">
        <v>1</v>
      </c>
      <c r="G68" s="70">
        <v>1</v>
      </c>
      <c r="H68" s="63">
        <v>481</v>
      </c>
      <c r="I68" s="89">
        <v>0.18479999999999999</v>
      </c>
      <c r="J68" s="89">
        <v>0.18479999999999999</v>
      </c>
      <c r="K68" s="81">
        <v>7303876256.9200001</v>
      </c>
      <c r="L68" s="62">
        <f t="shared" si="38"/>
        <v>1.7281628372885507E-3</v>
      </c>
      <c r="M68" s="70">
        <v>1</v>
      </c>
      <c r="N68" s="70">
        <v>1</v>
      </c>
      <c r="O68" s="63">
        <v>481</v>
      </c>
      <c r="P68" s="89">
        <v>0.154</v>
      </c>
      <c r="Q68" s="89">
        <v>0.154</v>
      </c>
      <c r="R68" s="94">
        <f t="shared" si="21"/>
        <v>-1.9919456008284327E-2</v>
      </c>
      <c r="S68" s="94">
        <f t="shared" si="22"/>
        <v>0</v>
      </c>
      <c r="T68" s="94">
        <f t="shared" si="23"/>
        <v>0</v>
      </c>
      <c r="U68" s="95">
        <f t="shared" si="24"/>
        <v>-3.0799999999999994E-2</v>
      </c>
      <c r="V68" s="96">
        <f t="shared" si="25"/>
        <v>-3.0799999999999994E-2</v>
      </c>
    </row>
    <row r="69" spans="1:22">
      <c r="A69" s="80">
        <v>61</v>
      </c>
      <c r="B69" s="175" t="s">
        <v>126</v>
      </c>
      <c r="C69" s="177" t="s">
        <v>127</v>
      </c>
      <c r="D69" s="81">
        <v>9008073734.2099991</v>
      </c>
      <c r="E69" s="62">
        <f t="shared" si="37"/>
        <v>2.1313912935295959E-3</v>
      </c>
      <c r="F69" s="70">
        <v>1</v>
      </c>
      <c r="G69" s="70">
        <v>1</v>
      </c>
      <c r="H69" s="63">
        <v>4760</v>
      </c>
      <c r="I69" s="89">
        <v>0.20349999999999999</v>
      </c>
      <c r="J69" s="89">
        <v>0.20349999999999999</v>
      </c>
      <c r="K69" s="81">
        <v>8340280356.7299995</v>
      </c>
      <c r="L69" s="62">
        <f t="shared" si="38"/>
        <v>1.973385372104662E-3</v>
      </c>
      <c r="M69" s="70">
        <v>1</v>
      </c>
      <c r="N69" s="70">
        <v>1</v>
      </c>
      <c r="O69" s="63">
        <v>4843</v>
      </c>
      <c r="P69" s="89">
        <v>0.20269999999999999</v>
      </c>
      <c r="Q69" s="89">
        <v>0.20269999999999999</v>
      </c>
      <c r="R69" s="94">
        <f t="shared" si="21"/>
        <v>-7.4132761030132097E-2</v>
      </c>
      <c r="S69" s="94">
        <f t="shared" si="22"/>
        <v>0</v>
      </c>
      <c r="T69" s="94">
        <f t="shared" si="23"/>
        <v>1.7436974789915967E-2</v>
      </c>
      <c r="U69" s="95">
        <f t="shared" si="24"/>
        <v>-7.9999999999999516E-4</v>
      </c>
      <c r="V69" s="96">
        <f t="shared" si="25"/>
        <v>-7.9999999999999516E-4</v>
      </c>
    </row>
    <row r="70" spans="1:22">
      <c r="A70" s="174">
        <v>62</v>
      </c>
      <c r="B70" s="175" t="s">
        <v>128</v>
      </c>
      <c r="C70" s="177" t="s">
        <v>129</v>
      </c>
      <c r="D70" s="81">
        <v>125599788784.27</v>
      </c>
      <c r="E70" s="62">
        <f t="shared" si="37"/>
        <v>2.9718040080788318E-2</v>
      </c>
      <c r="F70" s="70">
        <v>1</v>
      </c>
      <c r="G70" s="70">
        <v>1</v>
      </c>
      <c r="H70" s="63">
        <v>6446</v>
      </c>
      <c r="I70" s="89">
        <v>0.1817</v>
      </c>
      <c r="J70" s="89">
        <v>0.1817</v>
      </c>
      <c r="K70" s="81">
        <v>122769149258.59</v>
      </c>
      <c r="L70" s="62">
        <f t="shared" si="38"/>
        <v>2.904828530100196E-2</v>
      </c>
      <c r="M70" s="70">
        <v>1</v>
      </c>
      <c r="N70" s="70">
        <v>1</v>
      </c>
      <c r="O70" s="63">
        <v>6500</v>
      </c>
      <c r="P70" s="89">
        <v>0.17879999999999999</v>
      </c>
      <c r="Q70" s="89">
        <v>0.17879999999999999</v>
      </c>
      <c r="R70" s="94">
        <f t="shared" si="21"/>
        <v>-2.2536976798121132E-2</v>
      </c>
      <c r="S70" s="94">
        <f t="shared" si="22"/>
        <v>0</v>
      </c>
      <c r="T70" s="94">
        <f t="shared" si="23"/>
        <v>8.3772882407694687E-3</v>
      </c>
      <c r="U70" s="95">
        <f t="shared" si="24"/>
        <v>-2.9000000000000137E-3</v>
      </c>
      <c r="V70" s="96">
        <f t="shared" si="25"/>
        <v>-2.9000000000000137E-3</v>
      </c>
    </row>
    <row r="71" spans="1:22">
      <c r="A71" s="71"/>
      <c r="B71" s="72"/>
      <c r="C71" s="73" t="s">
        <v>59</v>
      </c>
      <c r="D71" s="98">
        <f>SUM(D28:D70)</f>
        <v>4172759122177.9399</v>
      </c>
      <c r="E71" s="75">
        <f>(D71/$D$229)</f>
        <v>0.60250693836070324</v>
      </c>
      <c r="F71" s="76"/>
      <c r="G71" s="83"/>
      <c r="H71" s="78">
        <f>SUM(H28:H70)</f>
        <v>544511</v>
      </c>
      <c r="I71" s="103"/>
      <c r="J71" s="103"/>
      <c r="K71" s="98">
        <f>SUM(K28:K70)</f>
        <v>4226381970103.9404</v>
      </c>
      <c r="L71" s="75">
        <f>(K71/$K$229)</f>
        <v>0.60203053372845927</v>
      </c>
      <c r="M71" s="76"/>
      <c r="N71" s="83"/>
      <c r="O71" s="78">
        <f>SUM(O28:O70)</f>
        <v>532429</v>
      </c>
      <c r="P71" s="103"/>
      <c r="Q71" s="103"/>
      <c r="R71" s="94">
        <f t="shared" si="21"/>
        <v>1.2850693355626157E-2</v>
      </c>
      <c r="S71" s="94" t="e">
        <f t="shared" si="22"/>
        <v>#DIV/0!</v>
      </c>
      <c r="T71" s="94">
        <f t="shared" si="23"/>
        <v>-2.2188716114091359E-2</v>
      </c>
      <c r="U71" s="95">
        <f t="shared" si="24"/>
        <v>0</v>
      </c>
      <c r="V71" s="96">
        <f t="shared" si="25"/>
        <v>0</v>
      </c>
    </row>
    <row r="72" spans="1:22" ht="3" customHeight="1">
      <c r="A72" s="71"/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</row>
    <row r="73" spans="1:22" ht="15" customHeight="1">
      <c r="A73" s="184" t="s">
        <v>130</v>
      </c>
      <c r="B73" s="184"/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</row>
    <row r="74" spans="1:22">
      <c r="A74" s="80">
        <v>63</v>
      </c>
      <c r="B74" s="59" t="s">
        <v>131</v>
      </c>
      <c r="C74" s="60" t="s">
        <v>25</v>
      </c>
      <c r="D74" s="67">
        <v>661253099.33000004</v>
      </c>
      <c r="E74" s="62">
        <f>(D74/$D$113)</f>
        <v>2.7577461249530073E-3</v>
      </c>
      <c r="F74" s="99">
        <v>1.6772</v>
      </c>
      <c r="G74" s="99">
        <v>1.6772</v>
      </c>
      <c r="H74" s="63">
        <v>509</v>
      </c>
      <c r="I74" s="89">
        <v>4.1800000000000002E-4</v>
      </c>
      <c r="J74" s="89">
        <v>0.28649999999999998</v>
      </c>
      <c r="K74" s="67">
        <v>648301445.13</v>
      </c>
      <c r="L74" s="62">
        <f t="shared" ref="L74:L97" si="39">(K74/$K$113)</f>
        <v>2.6982487714083238E-3</v>
      </c>
      <c r="M74" s="99">
        <v>1.6319999999999999</v>
      </c>
      <c r="N74" s="99">
        <v>1.6319999999999999</v>
      </c>
      <c r="O74" s="63">
        <v>513</v>
      </c>
      <c r="P74" s="89">
        <v>-2.8223999999999999E-2</v>
      </c>
      <c r="Q74" s="89">
        <v>0.25180000000000002</v>
      </c>
      <c r="R74" s="94">
        <f>((K74-D74)/D74)</f>
        <v>-1.9586530805107791E-2</v>
      </c>
      <c r="S74" s="94">
        <f>((N74-G74)/G74)</f>
        <v>-2.6949678034820016E-2</v>
      </c>
      <c r="T74" s="94">
        <f>((O74-H74)/H74)</f>
        <v>7.8585461689587421E-3</v>
      </c>
      <c r="U74" s="95">
        <f>P74-I74</f>
        <v>-2.8642000000000001E-2</v>
      </c>
      <c r="V74" s="96">
        <f>Q74-J74</f>
        <v>-3.4699999999999953E-2</v>
      </c>
    </row>
    <row r="75" spans="1:22">
      <c r="A75" s="80">
        <v>64</v>
      </c>
      <c r="B75" s="59" t="s">
        <v>132</v>
      </c>
      <c r="C75" s="60" t="s">
        <v>27</v>
      </c>
      <c r="D75" s="67">
        <v>1371259557.9400001</v>
      </c>
      <c r="E75" s="62">
        <f>(D75/$D$113)</f>
        <v>5.718817402966302E-3</v>
      </c>
      <c r="F75" s="99">
        <v>1.3452999999999999</v>
      </c>
      <c r="G75" s="99">
        <v>1.3452999999999999</v>
      </c>
      <c r="H75" s="63">
        <v>1262</v>
      </c>
      <c r="I75" s="89">
        <v>0.16719999999999999</v>
      </c>
      <c r="J75" s="89">
        <v>0.1792</v>
      </c>
      <c r="K75" s="67">
        <v>1375531075.74</v>
      </c>
      <c r="L75" s="62">
        <f t="shared" si="39"/>
        <v>5.7249988613015902E-3</v>
      </c>
      <c r="M75" s="99">
        <v>1.3487</v>
      </c>
      <c r="N75" s="99">
        <v>1.3487</v>
      </c>
      <c r="O75" s="63">
        <v>1287</v>
      </c>
      <c r="P75" s="89">
        <v>0.1318</v>
      </c>
      <c r="Q75" s="89">
        <v>0.17849999999999999</v>
      </c>
      <c r="R75" s="94">
        <f t="shared" ref="R75:R113" si="40">((K75-D75)/D75)</f>
        <v>3.1150322893040896E-3</v>
      </c>
      <c r="S75" s="94">
        <f t="shared" ref="S75:S113" si="41">((N75-G75)/G75)</f>
        <v>2.5273173269903144E-3</v>
      </c>
      <c r="T75" s="94">
        <f t="shared" ref="T75:T113" si="42">((O75-H75)/H75)</f>
        <v>1.9809825673534072E-2</v>
      </c>
      <c r="U75" s="95">
        <f t="shared" ref="U75:U113" si="43">P75-I75</f>
        <v>-3.5399999999999987E-2</v>
      </c>
      <c r="V75" s="96">
        <f t="shared" ref="V75:V113" si="44">Q75-J75</f>
        <v>-7.0000000000000617E-4</v>
      </c>
    </row>
    <row r="76" spans="1:22">
      <c r="A76" s="80">
        <v>65</v>
      </c>
      <c r="B76" s="59" t="s">
        <v>133</v>
      </c>
      <c r="C76" s="60" t="s">
        <v>27</v>
      </c>
      <c r="D76" s="67">
        <v>805492152.72000003</v>
      </c>
      <c r="E76" s="62">
        <f>(D76/$D$113)</f>
        <v>3.3592929320019251E-3</v>
      </c>
      <c r="F76" s="99">
        <v>1.1796</v>
      </c>
      <c r="G76" s="99">
        <v>1.1796</v>
      </c>
      <c r="H76" s="63">
        <v>492</v>
      </c>
      <c r="I76" s="89">
        <v>0.1241</v>
      </c>
      <c r="J76" s="89">
        <v>0.12790000000000001</v>
      </c>
      <c r="K76" s="67">
        <v>807635305.32000005</v>
      </c>
      <c r="L76" s="62">
        <f t="shared" si="39"/>
        <v>3.3614007599330506E-3</v>
      </c>
      <c r="M76" s="99">
        <v>1.1823999999999999</v>
      </c>
      <c r="N76" s="99">
        <v>1.1823999999999999</v>
      </c>
      <c r="O76" s="63">
        <v>499</v>
      </c>
      <c r="P76" s="89">
        <v>0.12379999999999999</v>
      </c>
      <c r="Q76" s="89">
        <v>0.12809999999999999</v>
      </c>
      <c r="R76" s="94">
        <f t="shared" si="40"/>
        <v>2.6606747101917609E-3</v>
      </c>
      <c r="S76" s="94">
        <f t="shared" si="41"/>
        <v>2.3736859952525548E-3</v>
      </c>
      <c r="T76" s="94">
        <f t="shared" si="42"/>
        <v>1.4227642276422764E-2</v>
      </c>
      <c r="U76" s="95">
        <f t="shared" si="43"/>
        <v>-3.0000000000000859E-4</v>
      </c>
      <c r="V76" s="96">
        <f t="shared" si="44"/>
        <v>1.9999999999997797E-4</v>
      </c>
    </row>
    <row r="77" spans="1:22">
      <c r="A77" s="174">
        <v>66</v>
      </c>
      <c r="B77" s="175" t="s">
        <v>134</v>
      </c>
      <c r="C77" s="177" t="s">
        <v>67</v>
      </c>
      <c r="D77" s="67">
        <v>324438669.44</v>
      </c>
      <c r="E77" s="62">
        <f>(D77/$D$113)</f>
        <v>1.3530666008819078E-3</v>
      </c>
      <c r="F77" s="66">
        <v>1276.8900000000001</v>
      </c>
      <c r="G77" s="66">
        <v>1276.8900000000001</v>
      </c>
      <c r="H77" s="63">
        <v>109</v>
      </c>
      <c r="I77" s="89">
        <v>2.8899999999999999E-2</v>
      </c>
      <c r="J77" s="89">
        <v>0.24840000000000001</v>
      </c>
      <c r="K77" s="67">
        <v>325930522.80000001</v>
      </c>
      <c r="L77" s="62">
        <f t="shared" si="39"/>
        <v>1.3565319641285446E-3</v>
      </c>
      <c r="M77" s="66">
        <v>1266.02</v>
      </c>
      <c r="N77" s="66">
        <v>1266.02</v>
      </c>
      <c r="O77" s="63">
        <v>109</v>
      </c>
      <c r="P77" s="89">
        <v>-9.2999999999999992E-3</v>
      </c>
      <c r="Q77" s="89">
        <v>0.2296</v>
      </c>
      <c r="R77" s="94">
        <f t="shared" si="40"/>
        <v>4.5982600119000606E-3</v>
      </c>
      <c r="S77" s="94">
        <f t="shared" si="41"/>
        <v>-8.5128711165410632E-3</v>
      </c>
      <c r="T77" s="94">
        <f t="shared" si="42"/>
        <v>0</v>
      </c>
      <c r="U77" s="95">
        <f t="shared" si="43"/>
        <v>-3.8199999999999998E-2</v>
      </c>
      <c r="V77" s="96">
        <f t="shared" si="44"/>
        <v>-1.8800000000000011E-2</v>
      </c>
    </row>
    <row r="78" spans="1:22" ht="15" customHeight="1">
      <c r="A78" s="80">
        <v>67</v>
      </c>
      <c r="B78" s="175" t="s">
        <v>135</v>
      </c>
      <c r="C78" s="177" t="s">
        <v>31</v>
      </c>
      <c r="D78" s="67">
        <v>1647153001.6400001</v>
      </c>
      <c r="E78" s="62">
        <f>(D78/$K$113)</f>
        <v>6.8554969241283259E-3</v>
      </c>
      <c r="F78" s="66">
        <v>1.0573999999999999</v>
      </c>
      <c r="G78" s="66">
        <v>1.0573999999999999</v>
      </c>
      <c r="H78" s="63">
        <v>989</v>
      </c>
      <c r="I78" s="89">
        <v>1.6000000000000001E-3</v>
      </c>
      <c r="J78" s="89">
        <v>0.1128</v>
      </c>
      <c r="K78" s="67">
        <v>1564303205.5899999</v>
      </c>
      <c r="L78" s="62">
        <f t="shared" si="39"/>
        <v>6.5106737526197129E-3</v>
      </c>
      <c r="M78" s="66">
        <v>1.0596000000000001</v>
      </c>
      <c r="N78" s="66">
        <v>1.0596000000000001</v>
      </c>
      <c r="O78" s="63">
        <v>990</v>
      </c>
      <c r="P78" s="89">
        <v>2.0999999999999999E-3</v>
      </c>
      <c r="Q78" s="89">
        <v>0.1148</v>
      </c>
      <c r="R78" s="94">
        <f t="shared" si="40"/>
        <v>-5.0298785824698843E-2</v>
      </c>
      <c r="S78" s="94">
        <f t="shared" si="41"/>
        <v>2.0805749952716116E-3</v>
      </c>
      <c r="T78" s="94">
        <f t="shared" si="42"/>
        <v>1.0111223458038423E-3</v>
      </c>
      <c r="U78" s="95">
        <f t="shared" si="43"/>
        <v>4.9999999999999979E-4</v>
      </c>
      <c r="V78" s="96">
        <f t="shared" si="44"/>
        <v>2.0000000000000018E-3</v>
      </c>
    </row>
    <row r="79" spans="1:22">
      <c r="A79" s="80">
        <v>68</v>
      </c>
      <c r="B79" s="59" t="s">
        <v>136</v>
      </c>
      <c r="C79" s="60" t="s">
        <v>137</v>
      </c>
      <c r="D79" s="67">
        <v>477392731.08999997</v>
      </c>
      <c r="E79" s="62">
        <f t="shared" ref="E79:E97" si="45">(D79/$D$113)</f>
        <v>1.9909592190616924E-3</v>
      </c>
      <c r="F79" s="66">
        <v>2.7433999999999998</v>
      </c>
      <c r="G79" s="66">
        <v>2.7433999999999998</v>
      </c>
      <c r="H79" s="63">
        <v>1390</v>
      </c>
      <c r="I79" s="89">
        <v>0.1487</v>
      </c>
      <c r="J79" s="89">
        <v>0.1469</v>
      </c>
      <c r="K79" s="67">
        <v>478749003.19999999</v>
      </c>
      <c r="L79" s="62">
        <f t="shared" si="39"/>
        <v>1.992566759493072E-3</v>
      </c>
      <c r="M79" s="66">
        <v>2.7511999999999999</v>
      </c>
      <c r="N79" s="66">
        <v>2.7511999999999999</v>
      </c>
      <c r="O79" s="63">
        <v>1390</v>
      </c>
      <c r="P79" s="89">
        <v>0.14829999999999999</v>
      </c>
      <c r="Q79" s="89">
        <v>0.14729999999999999</v>
      </c>
      <c r="R79" s="94">
        <f t="shared" si="40"/>
        <v>2.8409986614235327E-3</v>
      </c>
      <c r="S79" s="94">
        <f t="shared" si="41"/>
        <v>2.8431872858496864E-3</v>
      </c>
      <c r="T79" s="94">
        <f t="shared" si="42"/>
        <v>0</v>
      </c>
      <c r="U79" s="95">
        <f t="shared" si="43"/>
        <v>-4.0000000000001146E-4</v>
      </c>
      <c r="V79" s="96">
        <f t="shared" si="44"/>
        <v>3.999999999999837E-4</v>
      </c>
    </row>
    <row r="80" spans="1:22">
      <c r="A80" s="80">
        <v>69</v>
      </c>
      <c r="B80" s="177" t="s">
        <v>138</v>
      </c>
      <c r="C80" s="177" t="s">
        <v>139</v>
      </c>
      <c r="D80" s="67">
        <v>922602368.12</v>
      </c>
      <c r="E80" s="62">
        <f t="shared" si="45"/>
        <v>3.8476993274335599E-3</v>
      </c>
      <c r="F80" s="66">
        <v>1071.8399999999999</v>
      </c>
      <c r="G80" s="66">
        <v>1071.8399999999999</v>
      </c>
      <c r="H80" s="63">
        <v>220</v>
      </c>
      <c r="I80" s="89">
        <v>1.6900000000000001E-3</v>
      </c>
      <c r="J80" s="89">
        <v>6.9000000000000006E-2</v>
      </c>
      <c r="K80" s="67">
        <v>947426703.91999996</v>
      </c>
      <c r="L80" s="62">
        <f t="shared" si="39"/>
        <v>3.9432164760005431E-3</v>
      </c>
      <c r="M80" s="66">
        <v>1075.74</v>
      </c>
      <c r="N80" s="66">
        <v>1075.74</v>
      </c>
      <c r="O80" s="63">
        <v>239</v>
      </c>
      <c r="P80" s="89">
        <v>2.8900000000000002E-3</v>
      </c>
      <c r="Q80" s="89">
        <v>7.2900000000000006E-2</v>
      </c>
      <c r="R80" s="94">
        <f t="shared" ref="R80" si="46">((K80-D80)/D80)</f>
        <v>2.6906863300800814E-2</v>
      </c>
      <c r="S80" s="94">
        <f t="shared" ref="S80" si="47">((N80-G80)/G80)</f>
        <v>3.6386027765338961E-3</v>
      </c>
      <c r="T80" s="94">
        <f t="shared" ref="T80" si="48">((O80-H80)/H80)</f>
        <v>8.6363636363636365E-2</v>
      </c>
      <c r="U80" s="95">
        <f t="shared" si="43"/>
        <v>1.2000000000000001E-3</v>
      </c>
      <c r="V80" s="96">
        <f t="shared" si="44"/>
        <v>3.9000000000000007E-3</v>
      </c>
    </row>
    <row r="81" spans="1:22">
      <c r="A81" s="174">
        <v>70</v>
      </c>
      <c r="B81" s="175" t="s">
        <v>140</v>
      </c>
      <c r="C81" s="177" t="s">
        <v>72</v>
      </c>
      <c r="D81" s="67">
        <v>223385883.44</v>
      </c>
      <c r="E81" s="62">
        <f t="shared" si="45"/>
        <v>9.3162747373139653E-4</v>
      </c>
      <c r="F81" s="66">
        <v>12.05</v>
      </c>
      <c r="G81" s="66">
        <v>12.11</v>
      </c>
      <c r="H81" s="63">
        <v>42</v>
      </c>
      <c r="I81" s="89">
        <v>-1.4999999999999999E-2</v>
      </c>
      <c r="J81" s="89">
        <v>0.26819999999999999</v>
      </c>
      <c r="K81" s="67">
        <v>230964394.78999999</v>
      </c>
      <c r="L81" s="62">
        <f t="shared" si="39"/>
        <v>9.6128027966406611E-4</v>
      </c>
      <c r="M81" s="66">
        <v>12.46</v>
      </c>
      <c r="N81" s="66">
        <v>12.52</v>
      </c>
      <c r="O81" s="63">
        <v>42</v>
      </c>
      <c r="P81" s="89">
        <v>3.5000000000000003E-2</v>
      </c>
      <c r="Q81" s="89">
        <v>0.30869999999999997</v>
      </c>
      <c r="R81" s="94">
        <f t="shared" si="40"/>
        <v>3.3925650239378415E-2</v>
      </c>
      <c r="S81" s="94">
        <f t="shared" si="41"/>
        <v>3.3856317093311328E-2</v>
      </c>
      <c r="T81" s="94">
        <f t="shared" si="42"/>
        <v>0</v>
      </c>
      <c r="U81" s="95">
        <f t="shared" si="43"/>
        <v>0.05</v>
      </c>
      <c r="V81" s="96">
        <f t="shared" si="44"/>
        <v>4.049999999999998E-2</v>
      </c>
    </row>
    <row r="82" spans="1:22">
      <c r="A82" s="80">
        <v>71</v>
      </c>
      <c r="B82" s="59" t="s">
        <v>141</v>
      </c>
      <c r="C82" s="60" t="s">
        <v>74</v>
      </c>
      <c r="D82" s="67">
        <v>2100042457.5599999</v>
      </c>
      <c r="E82" s="62">
        <f t="shared" si="45"/>
        <v>8.758195546366242E-3</v>
      </c>
      <c r="F82" s="67">
        <v>4768.0600000000004</v>
      </c>
      <c r="G82" s="67">
        <v>4768.0600000000004</v>
      </c>
      <c r="H82" s="63">
        <v>1152</v>
      </c>
      <c r="I82" s="89">
        <v>0.1051</v>
      </c>
      <c r="J82" s="89">
        <v>0.1158</v>
      </c>
      <c r="K82" s="67">
        <v>2108524919.9296</v>
      </c>
      <c r="L82" s="62">
        <f t="shared" si="39"/>
        <v>8.7757397695496907E-3</v>
      </c>
      <c r="M82" s="67">
        <v>4786.7556893425399</v>
      </c>
      <c r="N82" s="67">
        <v>4786.7556893425399</v>
      </c>
      <c r="O82" s="63">
        <v>1160</v>
      </c>
      <c r="P82" s="89">
        <v>0.1021</v>
      </c>
      <c r="Q82" s="89">
        <v>0.11550000000000001</v>
      </c>
      <c r="R82" s="94">
        <f t="shared" si="40"/>
        <v>4.0391861312440661E-3</v>
      </c>
      <c r="S82" s="94">
        <f t="shared" si="41"/>
        <v>3.9210264431528714E-3</v>
      </c>
      <c r="T82" s="94">
        <f t="shared" si="42"/>
        <v>6.9444444444444441E-3</v>
      </c>
      <c r="U82" s="95">
        <f t="shared" si="43"/>
        <v>-3.0000000000000027E-3</v>
      </c>
      <c r="V82" s="96">
        <f t="shared" si="44"/>
        <v>-2.9999999999999472E-4</v>
      </c>
    </row>
    <row r="83" spans="1:22">
      <c r="A83" s="80">
        <v>72</v>
      </c>
      <c r="B83" s="59" t="s">
        <v>142</v>
      </c>
      <c r="C83" s="60" t="s">
        <v>76</v>
      </c>
      <c r="D83" s="67">
        <v>358891836.01999998</v>
      </c>
      <c r="E83" s="62">
        <f t="shared" si="45"/>
        <v>1.4967530149412526E-3</v>
      </c>
      <c r="F83" s="99">
        <v>115.69</v>
      </c>
      <c r="G83" s="99">
        <v>115.69</v>
      </c>
      <c r="H83" s="63">
        <v>92</v>
      </c>
      <c r="I83" s="89">
        <v>7.1000000000000004E-3</v>
      </c>
      <c r="J83" s="89">
        <v>0.12770000000000001</v>
      </c>
      <c r="K83" s="67">
        <v>359796720.69</v>
      </c>
      <c r="L83" s="62">
        <f t="shared" si="39"/>
        <v>1.4974840282268127E-3</v>
      </c>
      <c r="M83" s="99">
        <v>115.96</v>
      </c>
      <c r="N83" s="99">
        <v>115.96</v>
      </c>
      <c r="O83" s="63">
        <v>92</v>
      </c>
      <c r="P83" s="89">
        <v>2.3E-3</v>
      </c>
      <c r="Q83" s="89">
        <v>0.12770000000000001</v>
      </c>
      <c r="R83" s="94">
        <f t="shared" si="40"/>
        <v>2.5213297689769408E-3</v>
      </c>
      <c r="S83" s="94">
        <f t="shared" si="41"/>
        <v>2.3338231480680787E-3</v>
      </c>
      <c r="T83" s="94">
        <f t="shared" si="42"/>
        <v>0</v>
      </c>
      <c r="U83" s="95">
        <f t="shared" si="43"/>
        <v>-4.8000000000000004E-3</v>
      </c>
      <c r="V83" s="96">
        <f t="shared" si="44"/>
        <v>0</v>
      </c>
    </row>
    <row r="84" spans="1:22" ht="13.5" customHeight="1">
      <c r="A84" s="80">
        <v>73</v>
      </c>
      <c r="B84" s="59" t="s">
        <v>143</v>
      </c>
      <c r="C84" s="60" t="s">
        <v>78</v>
      </c>
      <c r="D84" s="67">
        <v>471919545.37</v>
      </c>
      <c r="E84" s="62">
        <f t="shared" si="45"/>
        <v>1.9681333801722092E-3</v>
      </c>
      <c r="F84" s="99">
        <v>1.4859</v>
      </c>
      <c r="G84" s="99">
        <v>1.4859</v>
      </c>
      <c r="H84" s="63">
        <v>938</v>
      </c>
      <c r="I84" s="89">
        <v>5.3E-3</v>
      </c>
      <c r="J84" s="89">
        <v>0.1439</v>
      </c>
      <c r="K84" s="67">
        <v>480839030.85000002</v>
      </c>
      <c r="L84" s="62">
        <f t="shared" si="39"/>
        <v>2.0012655131071274E-3</v>
      </c>
      <c r="M84" s="99">
        <v>1.4896</v>
      </c>
      <c r="N84" s="99">
        <v>1.4896</v>
      </c>
      <c r="O84" s="63">
        <v>992</v>
      </c>
      <c r="P84" s="89">
        <v>2.5000000000000001E-3</v>
      </c>
      <c r="Q84" s="89">
        <v>0.14660000000000001</v>
      </c>
      <c r="R84" s="94">
        <f t="shared" si="40"/>
        <v>1.8900436668726778E-2</v>
      </c>
      <c r="S84" s="94">
        <f t="shared" si="41"/>
        <v>2.4900733562151132E-3</v>
      </c>
      <c r="T84" s="94">
        <f t="shared" si="42"/>
        <v>5.7569296375266525E-2</v>
      </c>
      <c r="U84" s="95">
        <f t="shared" si="43"/>
        <v>-2.8E-3</v>
      </c>
      <c r="V84" s="96">
        <f t="shared" si="44"/>
        <v>2.7000000000000079E-3</v>
      </c>
    </row>
    <row r="85" spans="1:22" ht="13.5" customHeight="1">
      <c r="A85" s="80">
        <v>74</v>
      </c>
      <c r="B85" s="59" t="s">
        <v>144</v>
      </c>
      <c r="C85" s="60" t="s">
        <v>78</v>
      </c>
      <c r="D85" s="67">
        <v>27584212.109999999</v>
      </c>
      <c r="E85" s="62">
        <f t="shared" si="45"/>
        <v>1.1503954254930647E-4</v>
      </c>
      <c r="F85" s="99">
        <v>0.98609999999999998</v>
      </c>
      <c r="G85" s="99">
        <v>0.98609999999999998</v>
      </c>
      <c r="H85" s="63">
        <v>3</v>
      </c>
      <c r="I85" s="89">
        <v>4.3E-3</v>
      </c>
      <c r="J85" s="89">
        <v>-5.1000000000000004E-3</v>
      </c>
      <c r="K85" s="67">
        <v>28673934.27</v>
      </c>
      <c r="L85" s="62">
        <f t="shared" si="39"/>
        <v>1.1934171749371331E-4</v>
      </c>
      <c r="M85" s="99">
        <v>1.0249999999999999</v>
      </c>
      <c r="N85" s="99">
        <v>1.0249999999999999</v>
      </c>
      <c r="O85" s="63">
        <v>3</v>
      </c>
      <c r="P85" s="89">
        <v>3.9399999999999998E-2</v>
      </c>
      <c r="Q85" s="89">
        <v>3.4099999999999998E-2</v>
      </c>
      <c r="R85" s="94">
        <f t="shared" ref="R85" si="49">((K85-D85)/D85)</f>
        <v>3.950528496715508E-2</v>
      </c>
      <c r="S85" s="94">
        <f t="shared" ref="S85" si="50">((N85-G85)/G85)</f>
        <v>3.9448331812189368E-2</v>
      </c>
      <c r="T85" s="94">
        <f t="shared" ref="T85" si="51">((O85-H85)/H85)</f>
        <v>0</v>
      </c>
      <c r="U85" s="95">
        <f t="shared" ref="U85" si="52">P85-I85</f>
        <v>3.5099999999999999E-2</v>
      </c>
      <c r="V85" s="96">
        <f t="shared" ref="V85" si="53">Q85-J85</f>
        <v>3.9199999999999999E-2</v>
      </c>
    </row>
    <row r="86" spans="1:22">
      <c r="A86" s="174">
        <v>75</v>
      </c>
      <c r="B86" s="175" t="s">
        <v>145</v>
      </c>
      <c r="C86" s="177" t="s">
        <v>33</v>
      </c>
      <c r="D86" s="67">
        <v>154382969.11000001</v>
      </c>
      <c r="E86" s="62">
        <f t="shared" si="45"/>
        <v>6.4385185529296284E-4</v>
      </c>
      <c r="F86" s="99">
        <v>133.2971</v>
      </c>
      <c r="G86" s="99">
        <v>133.2971</v>
      </c>
      <c r="H86" s="63">
        <v>327</v>
      </c>
      <c r="I86" s="89">
        <v>5.4699999999999996E-4</v>
      </c>
      <c r="J86" s="89">
        <v>0.15909999999999999</v>
      </c>
      <c r="K86" s="67">
        <v>164869358.47</v>
      </c>
      <c r="L86" s="62">
        <f t="shared" si="39"/>
        <v>6.8619088739706765E-4</v>
      </c>
      <c r="M86" s="99">
        <v>133.66390000000001</v>
      </c>
      <c r="N86" s="99">
        <v>133.66390000000001</v>
      </c>
      <c r="O86" s="63">
        <v>332</v>
      </c>
      <c r="P86" s="89">
        <v>4.4299999999999998E-4</v>
      </c>
      <c r="Q86" s="89">
        <v>0.156</v>
      </c>
      <c r="R86" s="94">
        <f t="shared" si="40"/>
        <v>6.792452185919734E-2</v>
      </c>
      <c r="S86" s="94">
        <f t="shared" si="41"/>
        <v>2.7517477874613328E-3</v>
      </c>
      <c r="T86" s="94">
        <f t="shared" si="42"/>
        <v>1.5290519877675841E-2</v>
      </c>
      <c r="U86" s="95">
        <f t="shared" si="43"/>
        <v>-1.0399999999999998E-4</v>
      </c>
      <c r="V86" s="96">
        <f t="shared" si="44"/>
        <v>-3.0999999999999917E-3</v>
      </c>
    </row>
    <row r="87" spans="1:22">
      <c r="A87" s="80">
        <v>76</v>
      </c>
      <c r="B87" s="59" t="s">
        <v>146</v>
      </c>
      <c r="C87" s="60" t="s">
        <v>80</v>
      </c>
      <c r="D87" s="67">
        <v>2685712127.21</v>
      </c>
      <c r="E87" s="62">
        <f t="shared" si="45"/>
        <v>1.1200722112391094E-2</v>
      </c>
      <c r="F87" s="66">
        <v>1248.25</v>
      </c>
      <c r="G87" s="66">
        <v>1248.25</v>
      </c>
      <c r="H87" s="63">
        <v>373</v>
      </c>
      <c r="I87" s="89">
        <v>1.9900000000000001E-2</v>
      </c>
      <c r="J87" s="89">
        <v>0.2142</v>
      </c>
      <c r="K87" s="67">
        <v>2662142590.1399999</v>
      </c>
      <c r="L87" s="62">
        <f t="shared" si="39"/>
        <v>1.1079912017963557E-2</v>
      </c>
      <c r="M87" s="66">
        <v>1243.29</v>
      </c>
      <c r="N87" s="66">
        <v>1243.29</v>
      </c>
      <c r="O87" s="63">
        <v>381</v>
      </c>
      <c r="P87" s="89">
        <v>1.9599999999999999E-2</v>
      </c>
      <c r="Q87" s="89">
        <v>0.2089</v>
      </c>
      <c r="R87" s="94">
        <f t="shared" si="40"/>
        <v>-8.7758985154097399E-3</v>
      </c>
      <c r="S87" s="94">
        <f t="shared" si="41"/>
        <v>-3.9735629881834864E-3</v>
      </c>
      <c r="T87" s="94">
        <f t="shared" si="42"/>
        <v>2.1447721179624665E-2</v>
      </c>
      <c r="U87" s="95">
        <f t="shared" si="43"/>
        <v>-3.0000000000000165E-4</v>
      </c>
      <c r="V87" s="96">
        <f t="shared" si="44"/>
        <v>-5.2999999999999992E-3</v>
      </c>
    </row>
    <row r="88" spans="1:22">
      <c r="A88" s="174">
        <v>77</v>
      </c>
      <c r="B88" s="175" t="s">
        <v>147</v>
      </c>
      <c r="C88" s="177" t="s">
        <v>82</v>
      </c>
      <c r="D88" s="67">
        <v>159767317.36000001</v>
      </c>
      <c r="E88" s="62">
        <f t="shared" si="45"/>
        <v>6.6630719884731458E-4</v>
      </c>
      <c r="F88" s="66">
        <v>1129.47</v>
      </c>
      <c r="G88" s="66">
        <v>1156.21</v>
      </c>
      <c r="H88" s="63">
        <v>70</v>
      </c>
      <c r="I88" s="89">
        <v>7.3000000000000001E-3</v>
      </c>
      <c r="J88" s="89">
        <v>0.13059999999999999</v>
      </c>
      <c r="K88" s="67">
        <v>160288155.28</v>
      </c>
      <c r="L88" s="62">
        <f t="shared" si="39"/>
        <v>6.6712379141595246E-4</v>
      </c>
      <c r="M88" s="66">
        <v>1132.8</v>
      </c>
      <c r="N88" s="66">
        <v>1156.1199999999999</v>
      </c>
      <c r="O88" s="63">
        <v>70</v>
      </c>
      <c r="P88" s="89">
        <v>1.6000000000000001E-3</v>
      </c>
      <c r="Q88" s="89">
        <v>0.13220000000000001</v>
      </c>
      <c r="R88" s="94">
        <f t="shared" si="40"/>
        <v>3.2599778766166224E-3</v>
      </c>
      <c r="S88" s="94">
        <f t="shared" si="41"/>
        <v>-7.784053069956627E-5</v>
      </c>
      <c r="T88" s="94">
        <f t="shared" si="42"/>
        <v>0</v>
      </c>
      <c r="U88" s="95">
        <f t="shared" si="43"/>
        <v>-5.7000000000000002E-3</v>
      </c>
      <c r="V88" s="96">
        <f t="shared" si="44"/>
        <v>1.6000000000000181E-3</v>
      </c>
    </row>
    <row r="89" spans="1:22">
      <c r="A89" s="80">
        <v>78</v>
      </c>
      <c r="B89" s="175" t="s">
        <v>148</v>
      </c>
      <c r="C89" s="177" t="s">
        <v>85</v>
      </c>
      <c r="D89" s="67">
        <v>703453905.80999994</v>
      </c>
      <c r="E89" s="62">
        <f t="shared" si="45"/>
        <v>2.9337439549186137E-3</v>
      </c>
      <c r="F89" s="100">
        <v>1.1599999999999999</v>
      </c>
      <c r="G89" s="100">
        <v>1.1599999999999999</v>
      </c>
      <c r="H89" s="63">
        <v>57</v>
      </c>
      <c r="I89" s="89">
        <v>1.5E-3</v>
      </c>
      <c r="J89" s="89">
        <v>0.1134</v>
      </c>
      <c r="K89" s="67">
        <v>704936566.00999999</v>
      </c>
      <c r="L89" s="62">
        <f t="shared" si="39"/>
        <v>2.9339657306731281E-3</v>
      </c>
      <c r="M89" s="100">
        <v>1.1599999999999999</v>
      </c>
      <c r="N89" s="100">
        <v>1.1599999999999999</v>
      </c>
      <c r="O89" s="63">
        <v>57</v>
      </c>
      <c r="P89" s="89">
        <v>0.11325</v>
      </c>
      <c r="Q89" s="89">
        <v>0.1133</v>
      </c>
      <c r="R89" s="94">
        <f t="shared" si="40"/>
        <v>2.1076863569231617E-3</v>
      </c>
      <c r="S89" s="94">
        <f t="shared" si="41"/>
        <v>0</v>
      </c>
      <c r="T89" s="94">
        <f t="shared" si="42"/>
        <v>0</v>
      </c>
      <c r="U89" s="95">
        <f t="shared" si="43"/>
        <v>0.11175</v>
      </c>
      <c r="V89" s="96">
        <f t="shared" si="44"/>
        <v>-1.0000000000000286E-4</v>
      </c>
    </row>
    <row r="90" spans="1:22">
      <c r="A90" s="80">
        <v>79</v>
      </c>
      <c r="B90" s="59" t="s">
        <v>149</v>
      </c>
      <c r="C90" s="60" t="s">
        <v>35</v>
      </c>
      <c r="D90" s="100">
        <v>11470533518.469999</v>
      </c>
      <c r="E90" s="62">
        <f t="shared" si="45"/>
        <v>4.7837687859241002E-2</v>
      </c>
      <c r="F90" s="100">
        <v>1743.58</v>
      </c>
      <c r="G90" s="100">
        <v>1743.58</v>
      </c>
      <c r="H90" s="63">
        <v>2056</v>
      </c>
      <c r="I90" s="89">
        <v>8.9999999999999998E-4</v>
      </c>
      <c r="J90" s="89">
        <v>2.9899999999999999E-2</v>
      </c>
      <c r="K90" s="100">
        <v>11504180937.26</v>
      </c>
      <c r="L90" s="62">
        <f t="shared" si="39"/>
        <v>4.7880723254899366E-2</v>
      </c>
      <c r="M90" s="100">
        <v>1745.05</v>
      </c>
      <c r="N90" s="100">
        <v>1745.05</v>
      </c>
      <c r="O90" s="63">
        <v>2056</v>
      </c>
      <c r="P90" s="89">
        <v>8.0000000000000004E-4</v>
      </c>
      <c r="Q90" s="89">
        <v>3.0800000000000001E-2</v>
      </c>
      <c r="R90" s="94">
        <f t="shared" si="40"/>
        <v>2.9333787077838545E-3</v>
      </c>
      <c r="S90" s="94">
        <f t="shared" si="41"/>
        <v>8.4309294669589424E-4</v>
      </c>
      <c r="T90" s="94">
        <f t="shared" si="42"/>
        <v>0</v>
      </c>
      <c r="U90" s="95">
        <f t="shared" si="43"/>
        <v>-9.9999999999999937E-5</v>
      </c>
      <c r="V90" s="96">
        <f t="shared" si="44"/>
        <v>9.0000000000000149E-4</v>
      </c>
    </row>
    <row r="91" spans="1:22">
      <c r="A91" s="174">
        <v>80</v>
      </c>
      <c r="B91" s="175" t="s">
        <v>150</v>
      </c>
      <c r="C91" s="177" t="s">
        <v>93</v>
      </c>
      <c r="D91" s="67">
        <v>23535156.739999998</v>
      </c>
      <c r="E91" s="62">
        <f t="shared" si="45"/>
        <v>9.8153017907453549E-5</v>
      </c>
      <c r="F91" s="99">
        <v>0.71879999999999999</v>
      </c>
      <c r="G91" s="99">
        <v>0.71879999999999999</v>
      </c>
      <c r="H91" s="63">
        <v>745</v>
      </c>
      <c r="I91" s="89">
        <v>2.2000000000000001E-3</v>
      </c>
      <c r="J91" s="89">
        <v>2.8999999999999998E-3</v>
      </c>
      <c r="K91" s="67">
        <v>23580125.140000001</v>
      </c>
      <c r="L91" s="62">
        <f t="shared" si="39"/>
        <v>9.8141141233922731E-5</v>
      </c>
      <c r="M91" s="99">
        <v>0.72030000000000005</v>
      </c>
      <c r="N91" s="99">
        <v>0.72030000000000005</v>
      </c>
      <c r="O91" s="63">
        <v>744</v>
      </c>
      <c r="P91" s="89">
        <v>2.0999999999999999E-3</v>
      </c>
      <c r="Q91" s="89">
        <v>5.0000000000000001E-3</v>
      </c>
      <c r="R91" s="94">
        <f t="shared" si="40"/>
        <v>1.9106904830412546E-3</v>
      </c>
      <c r="S91" s="94">
        <f t="shared" si="41"/>
        <v>2.0868113522538355E-3</v>
      </c>
      <c r="T91" s="94">
        <f t="shared" si="42"/>
        <v>-1.3422818791946308E-3</v>
      </c>
      <c r="U91" s="95">
        <f t="shared" si="43"/>
        <v>-1.0000000000000026E-4</v>
      </c>
      <c r="V91" s="96">
        <f t="shared" si="44"/>
        <v>2.1000000000000003E-3</v>
      </c>
    </row>
    <row r="92" spans="1:22">
      <c r="A92" s="80">
        <v>81</v>
      </c>
      <c r="B92" s="59" t="s">
        <v>151</v>
      </c>
      <c r="C92" s="60" t="s">
        <v>41</v>
      </c>
      <c r="D92" s="67">
        <v>10660062464.690001</v>
      </c>
      <c r="E92" s="62">
        <f t="shared" si="45"/>
        <v>4.4457630495104622E-2</v>
      </c>
      <c r="F92" s="99">
        <v>1</v>
      </c>
      <c r="G92" s="99">
        <v>1</v>
      </c>
      <c r="H92" s="63">
        <v>4606</v>
      </c>
      <c r="I92" s="89">
        <v>0.06</v>
      </c>
      <c r="J92" s="89">
        <v>0.06</v>
      </c>
      <c r="K92" s="67">
        <v>10677569870.49</v>
      </c>
      <c r="L92" s="62">
        <f t="shared" si="39"/>
        <v>4.4440344844363155E-2</v>
      </c>
      <c r="M92" s="99">
        <v>1</v>
      </c>
      <c r="N92" s="99">
        <v>1</v>
      </c>
      <c r="O92" s="63">
        <v>4641</v>
      </c>
      <c r="P92" s="89">
        <v>0.06</v>
      </c>
      <c r="Q92" s="89">
        <v>0.06</v>
      </c>
      <c r="R92" s="94">
        <f t="shared" si="40"/>
        <v>1.6423361362084064E-3</v>
      </c>
      <c r="S92" s="94">
        <f t="shared" si="41"/>
        <v>0</v>
      </c>
      <c r="T92" s="94">
        <f t="shared" si="42"/>
        <v>7.5987841945288756E-3</v>
      </c>
      <c r="U92" s="95">
        <f t="shared" si="43"/>
        <v>0</v>
      </c>
      <c r="V92" s="96">
        <f t="shared" si="44"/>
        <v>0</v>
      </c>
    </row>
    <row r="93" spans="1:22">
      <c r="A93" s="174">
        <v>82</v>
      </c>
      <c r="B93" s="175" t="s">
        <v>152</v>
      </c>
      <c r="C93" s="177" t="s">
        <v>153</v>
      </c>
      <c r="D93" s="67">
        <v>1817902119.1600001</v>
      </c>
      <c r="E93" s="62">
        <f t="shared" si="45"/>
        <v>7.5815335001635197E-3</v>
      </c>
      <c r="F93" s="67">
        <v>266.81</v>
      </c>
      <c r="G93" s="67">
        <v>266.81</v>
      </c>
      <c r="H93" s="63">
        <v>562</v>
      </c>
      <c r="I93" s="89">
        <v>3.0000000000000001E-3</v>
      </c>
      <c r="J93" s="89">
        <v>0.18559999999999999</v>
      </c>
      <c r="K93" s="67">
        <v>1798349073.3099999</v>
      </c>
      <c r="L93" s="62">
        <f t="shared" si="39"/>
        <v>7.4847792089202947E-3</v>
      </c>
      <c r="M93" s="67">
        <v>267.58999999999997</v>
      </c>
      <c r="N93" s="67">
        <v>267.58999999999997</v>
      </c>
      <c r="O93" s="63">
        <v>562</v>
      </c>
      <c r="P93" s="89">
        <v>3.0000000000000001E-3</v>
      </c>
      <c r="Q93" s="89">
        <v>0.18720000000000001</v>
      </c>
      <c r="R93" s="94">
        <f t="shared" si="40"/>
        <v>-1.0755829834796077E-2</v>
      </c>
      <c r="S93" s="94">
        <f t="shared" si="41"/>
        <v>2.9234286570967083E-3</v>
      </c>
      <c r="T93" s="94">
        <f t="shared" si="42"/>
        <v>0</v>
      </c>
      <c r="U93" s="95">
        <f t="shared" si="43"/>
        <v>0</v>
      </c>
      <c r="V93" s="96">
        <f t="shared" si="44"/>
        <v>1.6000000000000181E-3</v>
      </c>
    </row>
    <row r="94" spans="1:22">
      <c r="A94" s="80">
        <v>83</v>
      </c>
      <c r="B94" s="59" t="s">
        <v>154</v>
      </c>
      <c r="C94" s="60" t="s">
        <v>45</v>
      </c>
      <c r="D94" s="67">
        <v>1045643905.14</v>
      </c>
      <c r="E94" s="62">
        <f t="shared" si="45"/>
        <v>4.3608422106487348E-3</v>
      </c>
      <c r="F94" s="99">
        <v>3.57</v>
      </c>
      <c r="G94" s="99">
        <v>3.59</v>
      </c>
      <c r="H94" s="84">
        <v>772</v>
      </c>
      <c r="I94" s="92">
        <v>1.4E-3</v>
      </c>
      <c r="J94" s="92">
        <v>-1.5599999999999999E-2</v>
      </c>
      <c r="K94" s="67">
        <v>1033513299.64</v>
      </c>
      <c r="L94" s="62">
        <f t="shared" si="39"/>
        <v>4.3015112983877373E-3</v>
      </c>
      <c r="M94" s="99">
        <v>3.53</v>
      </c>
      <c r="N94" s="99">
        <v>3.54</v>
      </c>
      <c r="O94" s="84">
        <v>772</v>
      </c>
      <c r="P94" s="92">
        <v>-1.3899999999999999E-2</v>
      </c>
      <c r="Q94" s="92">
        <v>-3.04E-2</v>
      </c>
      <c r="R94" s="94">
        <f t="shared" si="40"/>
        <v>-1.1601086603546786E-2</v>
      </c>
      <c r="S94" s="94">
        <f t="shared" si="41"/>
        <v>-1.392757660167126E-2</v>
      </c>
      <c r="T94" s="94">
        <f t="shared" si="42"/>
        <v>0</v>
      </c>
      <c r="U94" s="95">
        <f t="shared" si="43"/>
        <v>-1.5299999999999999E-2</v>
      </c>
      <c r="V94" s="96">
        <f t="shared" si="44"/>
        <v>-1.4800000000000001E-2</v>
      </c>
    </row>
    <row r="95" spans="1:22">
      <c r="A95" s="80">
        <v>84</v>
      </c>
      <c r="B95" s="59" t="s">
        <v>155</v>
      </c>
      <c r="C95" s="60" t="s">
        <v>47</v>
      </c>
      <c r="D95" s="67">
        <v>674861079.23000002</v>
      </c>
      <c r="E95" s="62">
        <f t="shared" si="45"/>
        <v>2.8144980008620764E-3</v>
      </c>
      <c r="F95" s="99">
        <v>109.88</v>
      </c>
      <c r="G95" s="99">
        <v>109.88</v>
      </c>
      <c r="H95" s="84">
        <v>201</v>
      </c>
      <c r="I95" s="92">
        <v>0.1421</v>
      </c>
      <c r="J95" s="92">
        <v>0.1646</v>
      </c>
      <c r="K95" s="67">
        <v>682517455.30999994</v>
      </c>
      <c r="L95" s="62">
        <f t="shared" si="39"/>
        <v>2.8406567640546563E-3</v>
      </c>
      <c r="M95" s="99">
        <v>110.16</v>
      </c>
      <c r="N95" s="99">
        <v>110.16</v>
      </c>
      <c r="O95" s="84">
        <v>217</v>
      </c>
      <c r="P95" s="92">
        <v>0.14369999999999999</v>
      </c>
      <c r="Q95" s="92">
        <v>0.16650000000000001</v>
      </c>
      <c r="R95" s="94">
        <f t="shared" si="40"/>
        <v>1.1345114299280173E-2</v>
      </c>
      <c r="S95" s="94">
        <f t="shared" si="41"/>
        <v>2.5482344375682667E-3</v>
      </c>
      <c r="T95" s="94">
        <f t="shared" si="42"/>
        <v>7.9601990049751242E-2</v>
      </c>
      <c r="U95" s="95">
        <f t="shared" si="43"/>
        <v>1.5999999999999903E-3</v>
      </c>
      <c r="V95" s="96">
        <f t="shared" si="44"/>
        <v>1.9000000000000128E-3</v>
      </c>
    </row>
    <row r="96" spans="1:22">
      <c r="A96" s="174">
        <v>85</v>
      </c>
      <c r="B96" s="177" t="s">
        <v>156</v>
      </c>
      <c r="C96" s="179" t="s">
        <v>51</v>
      </c>
      <c r="D96" s="67">
        <v>1026961661.72</v>
      </c>
      <c r="E96" s="62">
        <f t="shared" si="45"/>
        <v>4.2829281948972234E-3</v>
      </c>
      <c r="F96" s="99">
        <v>110.41</v>
      </c>
      <c r="G96" s="99">
        <v>111.07</v>
      </c>
      <c r="H96" s="63">
        <v>289</v>
      </c>
      <c r="I96" s="89">
        <v>1.18E-2</v>
      </c>
      <c r="J96" s="89">
        <v>0.1295</v>
      </c>
      <c r="K96" s="67">
        <v>1043163853.9400001</v>
      </c>
      <c r="L96" s="62">
        <f t="shared" si="39"/>
        <v>4.3416771756644157E-3</v>
      </c>
      <c r="M96" s="99">
        <v>110.49</v>
      </c>
      <c r="N96" s="99">
        <v>111.21</v>
      </c>
      <c r="O96" s="63">
        <v>289</v>
      </c>
      <c r="P96" s="89">
        <v>5.0000000000000001E-4</v>
      </c>
      <c r="Q96" s="89">
        <v>0.12859999999999999</v>
      </c>
      <c r="R96" s="94">
        <f t="shared" si="40"/>
        <v>1.5776822859057751E-2</v>
      </c>
      <c r="S96" s="94">
        <f t="shared" si="41"/>
        <v>1.2604663725578516E-3</v>
      </c>
      <c r="T96" s="94">
        <f t="shared" si="42"/>
        <v>0</v>
      </c>
      <c r="U96" s="95">
        <f t="shared" si="43"/>
        <v>-1.1299999999999999E-2</v>
      </c>
      <c r="V96" s="96">
        <f t="shared" si="44"/>
        <v>-9.000000000000119E-4</v>
      </c>
    </row>
    <row r="97" spans="1:22">
      <c r="A97" s="80">
        <v>86</v>
      </c>
      <c r="B97" s="59" t="s">
        <v>157</v>
      </c>
      <c r="C97" s="60" t="s">
        <v>23</v>
      </c>
      <c r="D97" s="69">
        <v>1580805528.74</v>
      </c>
      <c r="E97" s="62">
        <f t="shared" si="45"/>
        <v>6.5927257287779085E-3</v>
      </c>
      <c r="F97" s="99">
        <v>380.67759999999998</v>
      </c>
      <c r="G97" s="99">
        <v>380.67759999999998</v>
      </c>
      <c r="H97" s="63">
        <v>90</v>
      </c>
      <c r="I97" s="89">
        <v>2.5999999999999999E-3</v>
      </c>
      <c r="J97" s="89">
        <v>0.1075</v>
      </c>
      <c r="K97" s="69">
        <v>1586441307.1400001</v>
      </c>
      <c r="L97" s="62">
        <f t="shared" si="39"/>
        <v>6.6028131512857495E-3</v>
      </c>
      <c r="M97" s="99">
        <v>381.6592</v>
      </c>
      <c r="N97" s="99">
        <v>381.6592</v>
      </c>
      <c r="O97" s="63">
        <v>97</v>
      </c>
      <c r="P97" s="89">
        <v>2.5999999999999999E-3</v>
      </c>
      <c r="Q97" s="89">
        <v>0.11020000000000001</v>
      </c>
      <c r="R97" s="94">
        <f t="shared" si="40"/>
        <v>3.5651307498223137E-3</v>
      </c>
      <c r="S97" s="94">
        <f t="shared" si="41"/>
        <v>2.5785599152669202E-3</v>
      </c>
      <c r="T97" s="94">
        <f t="shared" si="42"/>
        <v>7.7777777777777779E-2</v>
      </c>
      <c r="U97" s="95">
        <f t="shared" si="43"/>
        <v>0</v>
      </c>
      <c r="V97" s="96">
        <f t="shared" si="44"/>
        <v>2.7000000000000079E-3</v>
      </c>
    </row>
    <row r="98" spans="1:22">
      <c r="A98" s="80">
        <v>87</v>
      </c>
      <c r="B98" s="59" t="s">
        <v>158</v>
      </c>
      <c r="C98" s="60" t="s">
        <v>105</v>
      </c>
      <c r="D98" s="81">
        <v>1758252998</v>
      </c>
      <c r="E98" s="62">
        <f>(D98/$K$71)</f>
        <v>4.1601847879280986E-4</v>
      </c>
      <c r="F98" s="99">
        <v>102.34</v>
      </c>
      <c r="G98" s="99">
        <v>102.34</v>
      </c>
      <c r="H98" s="63">
        <v>405</v>
      </c>
      <c r="I98" s="89">
        <v>4.4999999999999997E-3</v>
      </c>
      <c r="J98" s="89">
        <v>0.15310000000000001</v>
      </c>
      <c r="K98" s="81">
        <v>1770628728</v>
      </c>
      <c r="L98" s="62">
        <f>(K98/$K$71)</f>
        <v>4.1894668785851706E-4</v>
      </c>
      <c r="M98" s="99">
        <v>102.78</v>
      </c>
      <c r="N98" s="99">
        <v>102.78</v>
      </c>
      <c r="O98" s="63">
        <v>405</v>
      </c>
      <c r="P98" s="89">
        <v>4.3E-3</v>
      </c>
      <c r="Q98" s="89">
        <v>0.15490000000000001</v>
      </c>
      <c r="R98" s="94">
        <f t="shared" si="40"/>
        <v>7.0386514421288083E-3</v>
      </c>
      <c r="S98" s="94">
        <f t="shared" si="41"/>
        <v>4.2993941762751392E-3</v>
      </c>
      <c r="T98" s="94">
        <f t="shared" si="42"/>
        <v>0</v>
      </c>
      <c r="U98" s="95">
        <f t="shared" si="43"/>
        <v>-1.9999999999999966E-4</v>
      </c>
      <c r="V98" s="96">
        <f t="shared" si="44"/>
        <v>1.799999999999996E-3</v>
      </c>
    </row>
    <row r="99" spans="1:22">
      <c r="A99" s="80">
        <v>88</v>
      </c>
      <c r="B99" s="59" t="s">
        <v>159</v>
      </c>
      <c r="C99" s="60" t="s">
        <v>49</v>
      </c>
      <c r="D99" s="67">
        <v>57773080.57</v>
      </c>
      <c r="E99" s="62">
        <f t="shared" ref="E99:E112" si="54">(D99/$D$113)</f>
        <v>2.4094176530884521E-4</v>
      </c>
      <c r="F99" s="67">
        <v>11.79</v>
      </c>
      <c r="G99" s="67">
        <v>12.33</v>
      </c>
      <c r="H99" s="63">
        <v>57</v>
      </c>
      <c r="I99" s="89">
        <v>6.8999999999999999E-3</v>
      </c>
      <c r="J99" s="89">
        <v>-2.53E-2</v>
      </c>
      <c r="K99" s="67">
        <v>60435051.530000001</v>
      </c>
      <c r="L99" s="62">
        <f t="shared" ref="L99:L112" si="55">(K99/$K$113)</f>
        <v>2.5153237705358199E-4</v>
      </c>
      <c r="M99" s="67">
        <v>11.8</v>
      </c>
      <c r="N99" s="67">
        <v>12.34</v>
      </c>
      <c r="O99" s="63">
        <v>57</v>
      </c>
      <c r="P99" s="89">
        <v>-2.8999999999999998E-3</v>
      </c>
      <c r="Q99" s="89">
        <v>-2.5100000000000001E-2</v>
      </c>
      <c r="R99" s="94">
        <f t="shared" si="40"/>
        <v>4.60763202123982E-2</v>
      </c>
      <c r="S99" s="94">
        <f t="shared" si="41"/>
        <v>8.1103000811028276E-4</v>
      </c>
      <c r="T99" s="94">
        <f t="shared" si="42"/>
        <v>0</v>
      </c>
      <c r="U99" s="95">
        <f t="shared" si="43"/>
        <v>-9.7999999999999997E-3</v>
      </c>
      <c r="V99" s="96">
        <f t="shared" si="44"/>
        <v>1.9999999999999879E-4</v>
      </c>
    </row>
    <row r="100" spans="1:22">
      <c r="A100" s="80">
        <v>89</v>
      </c>
      <c r="B100" s="59" t="s">
        <v>160</v>
      </c>
      <c r="C100" s="60" t="s">
        <v>161</v>
      </c>
      <c r="D100" s="67">
        <v>782018347.09000003</v>
      </c>
      <c r="E100" s="62">
        <f t="shared" si="54"/>
        <v>3.26139577797781E-3</v>
      </c>
      <c r="F100" s="67">
        <v>150.30000000000001</v>
      </c>
      <c r="G100" s="67">
        <v>150.30000000000001</v>
      </c>
      <c r="H100" s="63">
        <v>167</v>
      </c>
      <c r="I100" s="89">
        <v>0.19109999999999999</v>
      </c>
      <c r="J100" s="89">
        <v>0.19109999999999999</v>
      </c>
      <c r="K100" s="67">
        <v>782018347.09000003</v>
      </c>
      <c r="L100" s="62">
        <f t="shared" si="55"/>
        <v>3.2547822623335957E-3</v>
      </c>
      <c r="M100" s="67">
        <v>150.30000000000001</v>
      </c>
      <c r="N100" s="67">
        <v>150.30000000000001</v>
      </c>
      <c r="O100" s="63">
        <v>167</v>
      </c>
      <c r="P100" s="89">
        <v>0.19109999999999999</v>
      </c>
      <c r="Q100" s="89">
        <v>0.19109999999999999</v>
      </c>
      <c r="R100" s="94">
        <f t="shared" si="40"/>
        <v>0</v>
      </c>
      <c r="S100" s="94">
        <f t="shared" si="41"/>
        <v>0</v>
      </c>
      <c r="T100" s="94">
        <f t="shared" si="42"/>
        <v>0</v>
      </c>
      <c r="U100" s="95">
        <f t="shared" si="43"/>
        <v>0</v>
      </c>
      <c r="V100" s="96">
        <f t="shared" si="44"/>
        <v>0</v>
      </c>
    </row>
    <row r="101" spans="1:22">
      <c r="A101" s="174">
        <v>90</v>
      </c>
      <c r="B101" s="175" t="s">
        <v>162</v>
      </c>
      <c r="C101" s="177" t="s">
        <v>163</v>
      </c>
      <c r="D101" s="67">
        <v>10332855090.049999</v>
      </c>
      <c r="E101" s="62">
        <f t="shared" si="54"/>
        <v>4.3093017050746023E-2</v>
      </c>
      <c r="F101" s="67">
        <v>1.1200000000000001</v>
      </c>
      <c r="G101" s="67">
        <v>1.1200000000000001</v>
      </c>
      <c r="H101" s="63">
        <v>5042</v>
      </c>
      <c r="I101" s="89">
        <v>0.1802</v>
      </c>
      <c r="J101" s="89">
        <v>0.1802</v>
      </c>
      <c r="K101" s="67">
        <v>10195891669.8018</v>
      </c>
      <c r="L101" s="62">
        <f t="shared" si="55"/>
        <v>4.2435586682887071E-2</v>
      </c>
      <c r="M101" s="67">
        <v>1.1200000000000001</v>
      </c>
      <c r="N101" s="67">
        <v>1.1200000000000001</v>
      </c>
      <c r="O101" s="63">
        <v>5056</v>
      </c>
      <c r="P101" s="89">
        <v>0.18029999999999999</v>
      </c>
      <c r="Q101" s="89">
        <v>0.18029999999999999</v>
      </c>
      <c r="R101" s="94">
        <f t="shared" si="40"/>
        <v>-1.3255138009250522E-2</v>
      </c>
      <c r="S101" s="94">
        <f t="shared" si="41"/>
        <v>0</v>
      </c>
      <c r="T101" s="94">
        <f t="shared" si="42"/>
        <v>2.776675922253074E-3</v>
      </c>
      <c r="U101" s="95">
        <f t="shared" si="43"/>
        <v>9.9999999999988987E-5</v>
      </c>
      <c r="V101" s="96">
        <f t="shared" si="44"/>
        <v>9.9999999999988987E-5</v>
      </c>
    </row>
    <row r="102" spans="1:22" ht="14.25" customHeight="1">
      <c r="A102" s="80">
        <v>91</v>
      </c>
      <c r="B102" s="59" t="s">
        <v>164</v>
      </c>
      <c r="C102" s="60" t="s">
        <v>53</v>
      </c>
      <c r="D102" s="67">
        <v>6999498323.1899996</v>
      </c>
      <c r="E102" s="62">
        <f t="shared" si="54"/>
        <v>2.9191302690226278E-2</v>
      </c>
      <c r="F102" s="67">
        <v>5176.08</v>
      </c>
      <c r="G102" s="67">
        <v>5176.08</v>
      </c>
      <c r="H102" s="63">
        <v>231</v>
      </c>
      <c r="I102" s="89">
        <v>0</v>
      </c>
      <c r="J102" s="89">
        <v>1.6999999999999999E-3</v>
      </c>
      <c r="K102" s="67">
        <v>6999508341.5</v>
      </c>
      <c r="L102" s="62">
        <f t="shared" si="55"/>
        <v>2.9132149750379643E-2</v>
      </c>
      <c r="M102" s="67">
        <v>5176.08</v>
      </c>
      <c r="N102" s="67">
        <v>5176.08</v>
      </c>
      <c r="O102" s="63">
        <v>231</v>
      </c>
      <c r="P102" s="89">
        <v>0</v>
      </c>
      <c r="Q102" s="89">
        <v>1.6999999999999999E-3</v>
      </c>
      <c r="R102" s="94">
        <f t="shared" si="40"/>
        <v>1.431289720754416E-6</v>
      </c>
      <c r="S102" s="94">
        <f t="shared" si="41"/>
        <v>0</v>
      </c>
      <c r="T102" s="94">
        <f t="shared" si="42"/>
        <v>0</v>
      </c>
      <c r="U102" s="95">
        <f t="shared" si="43"/>
        <v>0</v>
      </c>
      <c r="V102" s="96">
        <f t="shared" si="44"/>
        <v>0</v>
      </c>
    </row>
    <row r="103" spans="1:22" ht="13.5" customHeight="1">
      <c r="A103" s="80">
        <v>92</v>
      </c>
      <c r="B103" s="59" t="s">
        <v>165</v>
      </c>
      <c r="C103" s="60" t="s">
        <v>53</v>
      </c>
      <c r="D103" s="67">
        <v>16403404331.629999</v>
      </c>
      <c r="E103" s="62">
        <f t="shared" si="54"/>
        <v>6.841015154019664E-2</v>
      </c>
      <c r="F103" s="99">
        <v>259.20999999999998</v>
      </c>
      <c r="G103" s="99">
        <v>259.20999999999998</v>
      </c>
      <c r="H103" s="63">
        <v>6087</v>
      </c>
      <c r="I103" s="89">
        <v>1E-4</v>
      </c>
      <c r="J103" s="89">
        <v>1.4E-3</v>
      </c>
      <c r="K103" s="67">
        <v>16274736861.43</v>
      </c>
      <c r="L103" s="62">
        <f t="shared" si="55"/>
        <v>6.7735910618773335E-2</v>
      </c>
      <c r="M103" s="99">
        <v>259.22000000000003</v>
      </c>
      <c r="N103" s="99">
        <v>259.22000000000003</v>
      </c>
      <c r="O103" s="63">
        <v>6077</v>
      </c>
      <c r="P103" s="89">
        <v>0</v>
      </c>
      <c r="Q103" s="89">
        <v>1.4E-3</v>
      </c>
      <c r="R103" s="94">
        <f t="shared" si="40"/>
        <v>-7.8439491948567499E-3</v>
      </c>
      <c r="S103" s="94">
        <f t="shared" si="41"/>
        <v>3.8578758535734538E-5</v>
      </c>
      <c r="T103" s="94">
        <f t="shared" si="42"/>
        <v>-1.6428454082470839E-3</v>
      </c>
      <c r="U103" s="95">
        <f t="shared" si="43"/>
        <v>-1E-4</v>
      </c>
      <c r="V103" s="96">
        <f t="shared" si="44"/>
        <v>0</v>
      </c>
    </row>
    <row r="104" spans="1:22" ht="13.5" customHeight="1">
      <c r="A104" s="80">
        <v>93</v>
      </c>
      <c r="B104" s="59" t="s">
        <v>166</v>
      </c>
      <c r="C104" s="60" t="s">
        <v>53</v>
      </c>
      <c r="D104" s="67">
        <v>542593060</v>
      </c>
      <c r="E104" s="62">
        <f t="shared" si="54"/>
        <v>2.2628762120850874E-3</v>
      </c>
      <c r="F104" s="66">
        <v>8962.41</v>
      </c>
      <c r="G104" s="66">
        <v>8999.81</v>
      </c>
      <c r="H104" s="63">
        <v>15</v>
      </c>
      <c r="I104" s="89">
        <v>6.1000000000000004E-3</v>
      </c>
      <c r="J104" s="89">
        <v>0.31900000000000001</v>
      </c>
      <c r="K104" s="67">
        <v>554899131.89999998</v>
      </c>
      <c r="L104" s="62">
        <f t="shared" si="55"/>
        <v>2.3095057278554806E-3</v>
      </c>
      <c r="M104" s="66">
        <v>9166.1200000000008</v>
      </c>
      <c r="N104" s="66">
        <v>9203.6200000000008</v>
      </c>
      <c r="O104" s="63">
        <v>15</v>
      </c>
      <c r="P104" s="89">
        <v>2.2599999999999999E-2</v>
      </c>
      <c r="Q104" s="89">
        <v>0.34889999999999999</v>
      </c>
      <c r="R104" s="94">
        <f t="shared" si="40"/>
        <v>2.268011297453745E-2</v>
      </c>
      <c r="S104" s="94">
        <f t="shared" si="41"/>
        <v>2.2646033638488071E-2</v>
      </c>
      <c r="T104" s="94">
        <f t="shared" si="42"/>
        <v>0</v>
      </c>
      <c r="U104" s="95">
        <f t="shared" si="43"/>
        <v>1.6499999999999997E-2</v>
      </c>
      <c r="V104" s="96">
        <f t="shared" si="44"/>
        <v>2.9899999999999982E-2</v>
      </c>
    </row>
    <row r="105" spans="1:22" ht="15" customHeight="1">
      <c r="A105" s="80">
        <v>94</v>
      </c>
      <c r="B105" s="59" t="s">
        <v>167</v>
      </c>
      <c r="C105" s="60" t="s">
        <v>53</v>
      </c>
      <c r="D105" s="67">
        <v>6348191811.29</v>
      </c>
      <c r="E105" s="62">
        <f t="shared" si="54"/>
        <v>2.6475038658845887E-2</v>
      </c>
      <c r="F105" s="99">
        <v>156.13999999999999</v>
      </c>
      <c r="G105" s="99">
        <v>156.13999999999999</v>
      </c>
      <c r="H105" s="63">
        <v>5015</v>
      </c>
      <c r="I105" s="89">
        <v>3.0000000000000001E-3</v>
      </c>
      <c r="J105" s="89">
        <v>0.13239999999999999</v>
      </c>
      <c r="K105" s="67">
        <v>6276065441.5100002</v>
      </c>
      <c r="L105" s="62">
        <f t="shared" si="55"/>
        <v>2.6121160139380605E-2</v>
      </c>
      <c r="M105" s="99">
        <v>156.6</v>
      </c>
      <c r="N105" s="99">
        <v>156.6</v>
      </c>
      <c r="O105" s="63">
        <v>5024</v>
      </c>
      <c r="P105" s="89">
        <v>2.8999999999999998E-3</v>
      </c>
      <c r="Q105" s="89">
        <v>0.1358</v>
      </c>
      <c r="R105" s="94">
        <f t="shared" si="40"/>
        <v>-1.1361718726224676E-2</v>
      </c>
      <c r="S105" s="94">
        <f t="shared" si="41"/>
        <v>2.9460740361214807E-3</v>
      </c>
      <c r="T105" s="94">
        <f t="shared" si="42"/>
        <v>1.7946161515453639E-3</v>
      </c>
      <c r="U105" s="95">
        <f t="shared" si="43"/>
        <v>-1.0000000000000026E-4</v>
      </c>
      <c r="V105" s="96">
        <f t="shared" si="44"/>
        <v>3.4000000000000141E-3</v>
      </c>
    </row>
    <row r="106" spans="1:22" ht="15" customHeight="1">
      <c r="A106" s="80">
        <v>95</v>
      </c>
      <c r="B106" s="59" t="s">
        <v>168</v>
      </c>
      <c r="C106" s="60" t="s">
        <v>53</v>
      </c>
      <c r="D106" s="67">
        <v>6235168578.0100002</v>
      </c>
      <c r="E106" s="62">
        <f t="shared" si="54"/>
        <v>2.6003676960997677E-2</v>
      </c>
      <c r="F106" s="99">
        <v>384.42</v>
      </c>
      <c r="G106" s="99">
        <v>385.06</v>
      </c>
      <c r="H106" s="63">
        <v>10611</v>
      </c>
      <c r="I106" s="89">
        <v>-1E-3</v>
      </c>
      <c r="J106" s="89">
        <v>8.6999999999999994E-2</v>
      </c>
      <c r="K106" s="67">
        <v>6238393823.9399996</v>
      </c>
      <c r="L106" s="62">
        <f t="shared" si="55"/>
        <v>2.5964369811996967E-2</v>
      </c>
      <c r="M106" s="99">
        <v>384.16</v>
      </c>
      <c r="N106" s="99">
        <v>384.72</v>
      </c>
      <c r="O106" s="63">
        <v>10622</v>
      </c>
      <c r="P106" s="89">
        <v>-8.9999999999999998E-4</v>
      </c>
      <c r="Q106" s="89">
        <v>8.5999999999999993E-2</v>
      </c>
      <c r="R106" s="94">
        <f t="shared" si="40"/>
        <v>5.1726683723902014E-4</v>
      </c>
      <c r="S106" s="94">
        <f t="shared" si="41"/>
        <v>-8.8297927595692874E-4</v>
      </c>
      <c r="T106" s="94">
        <f t="shared" si="42"/>
        <v>1.0366600697389501E-3</v>
      </c>
      <c r="U106" s="95">
        <f t="shared" si="43"/>
        <v>1.0000000000000005E-4</v>
      </c>
      <c r="V106" s="96">
        <f t="shared" si="44"/>
        <v>-1.0000000000000009E-3</v>
      </c>
    </row>
    <row r="107" spans="1:22" ht="15" customHeight="1">
      <c r="A107" s="80">
        <v>96</v>
      </c>
      <c r="B107" s="59" t="s">
        <v>169</v>
      </c>
      <c r="C107" s="60" t="s">
        <v>120</v>
      </c>
      <c r="D107" s="67">
        <v>94808384.909999996</v>
      </c>
      <c r="E107" s="62">
        <f t="shared" si="54"/>
        <v>3.9539694613684477E-4</v>
      </c>
      <c r="F107" s="99">
        <v>110.154</v>
      </c>
      <c r="G107" s="99">
        <v>110.154</v>
      </c>
      <c r="H107" s="63">
        <v>24</v>
      </c>
      <c r="I107" s="89">
        <v>1.0500000000000001E-2</v>
      </c>
      <c r="J107" s="89">
        <v>0.32279999999999998</v>
      </c>
      <c r="K107" s="67">
        <v>91015814.159999996</v>
      </c>
      <c r="L107" s="62">
        <f t="shared" si="55"/>
        <v>3.7881036758556505E-4</v>
      </c>
      <c r="M107" s="99">
        <v>111.09099999999999</v>
      </c>
      <c r="N107" s="99">
        <v>111.09099999999999</v>
      </c>
      <c r="O107" s="63">
        <v>23</v>
      </c>
      <c r="P107" s="89">
        <v>3.3999999999999998E-3</v>
      </c>
      <c r="Q107" s="89">
        <v>0.31380000000000002</v>
      </c>
      <c r="R107" s="94">
        <f t="shared" ref="R107" si="56">((K107-D107)/D107)</f>
        <v>-4.0002482413345863E-2</v>
      </c>
      <c r="S107" s="94">
        <f t="shared" ref="S107" si="57">((N107-G107)/G107)</f>
        <v>8.5062730359314921E-3</v>
      </c>
      <c r="T107" s="94">
        <f t="shared" ref="T107" si="58">((O107-H107)/H107)</f>
        <v>-4.1666666666666664E-2</v>
      </c>
      <c r="U107" s="95">
        <f t="shared" ref="U107" si="59">P107-I107</f>
        <v>-7.1000000000000004E-3</v>
      </c>
      <c r="V107" s="96">
        <f t="shared" ref="V107" si="60">Q107-J107</f>
        <v>-8.9999999999999525E-3</v>
      </c>
    </row>
    <row r="108" spans="1:22">
      <c r="A108" s="80">
        <v>97</v>
      </c>
      <c r="B108" s="59" t="s">
        <v>170</v>
      </c>
      <c r="C108" s="60" t="s">
        <v>56</v>
      </c>
      <c r="D108" s="67">
        <v>85181472883.190002</v>
      </c>
      <c r="E108" s="62">
        <f t="shared" si="54"/>
        <v>0.35524805403471543</v>
      </c>
      <c r="F108" s="67">
        <v>1.9440999999999999</v>
      </c>
      <c r="G108" s="67">
        <v>1.9440999999999999</v>
      </c>
      <c r="H108" s="63">
        <v>6747</v>
      </c>
      <c r="I108" s="89">
        <v>1.1999999999999999E-3</v>
      </c>
      <c r="J108" s="89">
        <v>8.3099999999999993E-2</v>
      </c>
      <c r="K108" s="67">
        <v>85252524727.089996</v>
      </c>
      <c r="L108" s="62">
        <f t="shared" si="55"/>
        <v>0.35482339555513609</v>
      </c>
      <c r="M108" s="67">
        <v>1.9473</v>
      </c>
      <c r="N108" s="67">
        <v>1.9473</v>
      </c>
      <c r="O108" s="63">
        <v>6755</v>
      </c>
      <c r="P108" s="89">
        <v>1.6000000000000001E-3</v>
      </c>
      <c r="Q108" s="89">
        <v>8.5800000000000001E-2</v>
      </c>
      <c r="R108" s="94">
        <f t="shared" si="40"/>
        <v>8.3412321359396812E-4</v>
      </c>
      <c r="S108" s="94">
        <f t="shared" si="41"/>
        <v>1.6460058638959373E-3</v>
      </c>
      <c r="T108" s="94">
        <f t="shared" si="42"/>
        <v>1.1857121683711278E-3</v>
      </c>
      <c r="U108" s="95">
        <f t="shared" si="43"/>
        <v>4.0000000000000018E-4</v>
      </c>
      <c r="V108" s="96">
        <f t="shared" si="44"/>
        <v>2.7000000000000079E-3</v>
      </c>
    </row>
    <row r="109" spans="1:22">
      <c r="A109" s="80">
        <v>98</v>
      </c>
      <c r="B109" s="59" t="s">
        <v>171</v>
      </c>
      <c r="C109" s="60" t="s">
        <v>56</v>
      </c>
      <c r="D109" s="67">
        <v>61249044520.510002</v>
      </c>
      <c r="E109" s="62">
        <f t="shared" si="54"/>
        <v>0.25543822078815853</v>
      </c>
      <c r="F109" s="67">
        <v>124.4722</v>
      </c>
      <c r="G109" s="67">
        <v>124.4722</v>
      </c>
      <c r="H109" s="63">
        <v>975</v>
      </c>
      <c r="I109" s="89">
        <v>3.3E-3</v>
      </c>
      <c r="J109" s="89">
        <v>0.20630000000000001</v>
      </c>
      <c r="K109" s="67">
        <v>61965300098.860001</v>
      </c>
      <c r="L109" s="62">
        <f t="shared" si="55"/>
        <v>0.25790131445437381</v>
      </c>
      <c r="M109" s="67">
        <v>124.8723</v>
      </c>
      <c r="N109" s="67">
        <v>124.8723</v>
      </c>
      <c r="O109" s="63">
        <v>989</v>
      </c>
      <c r="P109" s="89">
        <v>3.2000000000000002E-3</v>
      </c>
      <c r="Q109" s="89">
        <v>0.2056</v>
      </c>
      <c r="R109" s="94">
        <f t="shared" ref="R109:R111" si="61">((K109-D109)/D109)</f>
        <v>1.1694151050962949E-2</v>
      </c>
      <c r="S109" s="94">
        <f t="shared" ref="S109:S111" si="62">((N109-G109)/G109)</f>
        <v>3.2143723658776399E-3</v>
      </c>
      <c r="T109" s="94">
        <f t="shared" ref="T109:T111" si="63">((O109-H109)/H109)</f>
        <v>1.4358974358974359E-2</v>
      </c>
      <c r="U109" s="95">
        <f t="shared" ref="U109:U111" si="64">P109-I109</f>
        <v>-9.9999999999999829E-5</v>
      </c>
      <c r="V109" s="96">
        <f t="shared" ref="V109:V111" si="65">Q109-J109</f>
        <v>-7.0000000000000617E-4</v>
      </c>
    </row>
    <row r="110" spans="1:22">
      <c r="A110" s="80">
        <v>99</v>
      </c>
      <c r="B110" s="175" t="s">
        <v>172</v>
      </c>
      <c r="C110" s="175" t="s">
        <v>173</v>
      </c>
      <c r="D110" s="67">
        <v>115915703.65000001</v>
      </c>
      <c r="E110" s="62">
        <f t="shared" si="54"/>
        <v>4.8342470210859233E-4</v>
      </c>
      <c r="F110" s="67">
        <v>120.6493</v>
      </c>
      <c r="G110" s="67">
        <v>120.6493</v>
      </c>
      <c r="H110" s="101">
        <v>85</v>
      </c>
      <c r="I110" s="104">
        <v>2.5999999999999999E-3</v>
      </c>
      <c r="J110" s="104">
        <v>9.2799999999999994E-2</v>
      </c>
      <c r="K110" s="67">
        <v>116161895.16</v>
      </c>
      <c r="L110" s="62">
        <f t="shared" si="55"/>
        <v>4.834690609660473E-4</v>
      </c>
      <c r="M110" s="67">
        <v>120.87</v>
      </c>
      <c r="N110" s="67">
        <v>120.87</v>
      </c>
      <c r="O110" s="101">
        <v>85</v>
      </c>
      <c r="P110" s="104">
        <v>1.9E-3</v>
      </c>
      <c r="Q110" s="104">
        <v>9.4899999999999998E-2</v>
      </c>
      <c r="R110" s="94">
        <f t="shared" si="61"/>
        <v>2.1238840143985136E-3</v>
      </c>
      <c r="S110" s="94">
        <f t="shared" si="62"/>
        <v>1.8292687980784629E-3</v>
      </c>
      <c r="T110" s="94">
        <f t="shared" si="63"/>
        <v>0</v>
      </c>
      <c r="U110" s="95">
        <f t="shared" si="64"/>
        <v>-6.9999999999999988E-4</v>
      </c>
      <c r="V110" s="96">
        <f t="shared" si="65"/>
        <v>2.1000000000000046E-3</v>
      </c>
    </row>
    <row r="111" spans="1:22">
      <c r="A111" s="80">
        <v>100</v>
      </c>
      <c r="B111" s="175" t="s">
        <v>174</v>
      </c>
      <c r="C111" s="177" t="s">
        <v>127</v>
      </c>
      <c r="D111" s="67">
        <v>340141416.95999998</v>
      </c>
      <c r="E111" s="62">
        <f t="shared" si="54"/>
        <v>1.4185546737064774E-3</v>
      </c>
      <c r="F111" s="67">
        <v>1.37</v>
      </c>
      <c r="G111" s="67">
        <v>1.37</v>
      </c>
      <c r="H111" s="63">
        <v>628</v>
      </c>
      <c r="I111" s="89">
        <v>3.0000000000000001E-3</v>
      </c>
      <c r="J111" s="89">
        <v>0.27129999999999999</v>
      </c>
      <c r="K111" s="67">
        <v>342934343.85000002</v>
      </c>
      <c r="L111" s="62">
        <f t="shared" si="55"/>
        <v>1.4273023435593807E-3</v>
      </c>
      <c r="M111" s="67">
        <v>1.38</v>
      </c>
      <c r="N111" s="67">
        <v>1.38</v>
      </c>
      <c r="O111" s="63">
        <v>640</v>
      </c>
      <c r="P111" s="89">
        <v>4.4999999999999997E-3</v>
      </c>
      <c r="Q111" s="89">
        <v>0.27810000000000001</v>
      </c>
      <c r="R111" s="94">
        <f t="shared" si="61"/>
        <v>8.2110756019120375E-3</v>
      </c>
      <c r="S111" s="94">
        <f t="shared" si="62"/>
        <v>7.2992700729925444E-3</v>
      </c>
      <c r="T111" s="94">
        <f t="shared" si="63"/>
        <v>1.9108280254777069E-2</v>
      </c>
      <c r="U111" s="95">
        <f t="shared" si="64"/>
        <v>1.4999999999999996E-3</v>
      </c>
      <c r="V111" s="96">
        <f t="shared" si="65"/>
        <v>6.8000000000000282E-3</v>
      </c>
    </row>
    <row r="112" spans="1:22">
      <c r="A112" s="174">
        <v>101</v>
      </c>
      <c r="B112" s="175" t="s">
        <v>175</v>
      </c>
      <c r="C112" s="177" t="s">
        <v>129</v>
      </c>
      <c r="D112" s="67">
        <v>1944090176.79</v>
      </c>
      <c r="E112" s="62">
        <f t="shared" si="54"/>
        <v>8.1077989003515514E-3</v>
      </c>
      <c r="F112" s="99">
        <v>29.609300000000001</v>
      </c>
      <c r="G112" s="99">
        <v>29.609300000000001</v>
      </c>
      <c r="H112" s="63">
        <v>1290</v>
      </c>
      <c r="I112" s="89">
        <v>0</v>
      </c>
      <c r="J112" s="89">
        <v>0.1186</v>
      </c>
      <c r="K112" s="67">
        <v>1948741469.3299999</v>
      </c>
      <c r="L112" s="62">
        <f t="shared" si="55"/>
        <v>8.1107165731486713E-3</v>
      </c>
      <c r="M112" s="99">
        <v>29.7287</v>
      </c>
      <c r="N112" s="99">
        <v>29.7287</v>
      </c>
      <c r="O112" s="63">
        <v>1294</v>
      </c>
      <c r="P112" s="89">
        <v>0</v>
      </c>
      <c r="Q112" s="89">
        <v>0.1108</v>
      </c>
      <c r="R112" s="94">
        <f t="shared" si="40"/>
        <v>2.3925292126520492E-3</v>
      </c>
      <c r="S112" s="94">
        <f t="shared" si="41"/>
        <v>4.0325168105966314E-3</v>
      </c>
      <c r="T112" s="94">
        <f t="shared" si="42"/>
        <v>3.1007751937984496E-3</v>
      </c>
      <c r="U112" s="95">
        <f t="shared" si="43"/>
        <v>0</v>
      </c>
      <c r="V112" s="96">
        <f t="shared" si="44"/>
        <v>-7.8000000000000014E-3</v>
      </c>
    </row>
    <row r="113" spans="1:28">
      <c r="A113" s="71"/>
      <c r="B113" s="72"/>
      <c r="C113" s="73" t="s">
        <v>59</v>
      </c>
      <c r="D113" s="98">
        <f>SUM(D74:D112)</f>
        <v>239780265974.00003</v>
      </c>
      <c r="E113" s="75">
        <f>(D113/$D$229)</f>
        <v>3.4622001822119372E-2</v>
      </c>
      <c r="F113" s="76"/>
      <c r="G113" s="83"/>
      <c r="H113" s="78">
        <f>SUM(H74:H112)</f>
        <v>54725</v>
      </c>
      <c r="I113" s="92"/>
      <c r="J113" s="92"/>
      <c r="K113" s="98">
        <f>SUM(K74:K112)</f>
        <v>240267484599.51138</v>
      </c>
      <c r="L113" s="75">
        <f>(K113/$K$229)</f>
        <v>3.4225103886547398E-2</v>
      </c>
      <c r="M113" s="76"/>
      <c r="N113" s="83"/>
      <c r="O113" s="78">
        <f>SUM(O74:O112)</f>
        <v>54974</v>
      </c>
      <c r="P113" s="92"/>
      <c r="Q113" s="92"/>
      <c r="R113" s="94">
        <f t="shared" si="40"/>
        <v>2.0319379642534173E-3</v>
      </c>
      <c r="S113" s="94" t="e">
        <f t="shared" si="41"/>
        <v>#DIV/0!</v>
      </c>
      <c r="T113" s="94">
        <f t="shared" si="42"/>
        <v>4.5500228414801277E-3</v>
      </c>
      <c r="U113" s="95">
        <f t="shared" si="43"/>
        <v>0</v>
      </c>
      <c r="V113" s="96">
        <f t="shared" si="44"/>
        <v>0</v>
      </c>
    </row>
    <row r="114" spans="1:28" ht="3.75" customHeight="1">
      <c r="A114" s="71"/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5"/>
      <c r="V114" s="185"/>
    </row>
    <row r="115" spans="1:28" ht="15" customHeight="1">
      <c r="A115" s="184" t="s">
        <v>176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4"/>
      <c r="Q115" s="184"/>
      <c r="R115" s="184"/>
      <c r="S115" s="184"/>
      <c r="T115" s="184"/>
      <c r="U115" s="184"/>
      <c r="V115" s="184"/>
    </row>
    <row r="116" spans="1:28">
      <c r="A116" s="186" t="s">
        <v>177</v>
      </c>
      <c r="B116" s="186"/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  <c r="P116" s="186"/>
      <c r="Q116" s="186"/>
      <c r="R116" s="186"/>
      <c r="S116" s="186"/>
      <c r="T116" s="186"/>
      <c r="U116" s="186"/>
      <c r="V116" s="186"/>
      <c r="Z116" s="105"/>
      <c r="AB116" s="107"/>
    </row>
    <row r="117" spans="1:28" ht="16.5" customHeight="1">
      <c r="A117" s="80">
        <v>102</v>
      </c>
      <c r="B117" s="59" t="s">
        <v>178</v>
      </c>
      <c r="C117" s="60" t="s">
        <v>23</v>
      </c>
      <c r="D117" s="67">
        <v>2901466970.9059</v>
      </c>
      <c r="E117" s="62">
        <f t="shared" ref="E117:E122" si="66">(D117/$D$155)</f>
        <v>1.5137446407829239E-3</v>
      </c>
      <c r="F117" s="67">
        <v>165403.54870069999</v>
      </c>
      <c r="G117" s="67">
        <v>165403.54870069999</v>
      </c>
      <c r="H117" s="63">
        <v>190</v>
      </c>
      <c r="I117" s="89">
        <v>1.1999999999999999E-3</v>
      </c>
      <c r="J117" s="89">
        <v>0.05</v>
      </c>
      <c r="K117" s="67">
        <f>1954613.06*W136</f>
        <v>2883741505.4518962</v>
      </c>
      <c r="L117" s="62">
        <f t="shared" ref="L117:L133" si="67">(K117/$K$155)</f>
        <v>1.477829500045817E-3</v>
      </c>
      <c r="M117" s="67">
        <f>113.7934*W136</f>
        <v>167885.27475944001</v>
      </c>
      <c r="N117" s="67">
        <f>113.7934*W136</f>
        <v>167885.27475944001</v>
      </c>
      <c r="O117" s="63">
        <v>173</v>
      </c>
      <c r="P117" s="89">
        <v>1.1000000000000001E-3</v>
      </c>
      <c r="Q117" s="89">
        <v>5.1200000000000002E-2</v>
      </c>
      <c r="R117" s="95">
        <f>((K117-D117)/D117)</f>
        <v>-6.1091391464192825E-3</v>
      </c>
      <c r="S117" s="95">
        <f>((N117-G117)/G117)</f>
        <v>1.5004067798029781E-2</v>
      </c>
      <c r="T117" s="95">
        <f>((O117-H117)/H117)</f>
        <v>-8.9473684210526316E-2</v>
      </c>
      <c r="U117" s="95">
        <f>P117-I117</f>
        <v>-9.9999999999999829E-5</v>
      </c>
      <c r="V117" s="96">
        <f>Q117-J117</f>
        <v>1.1999999999999997E-3</v>
      </c>
      <c r="X117" s="105"/>
      <c r="Y117" s="108"/>
      <c r="Z117" s="105"/>
      <c r="AA117" s="109"/>
    </row>
    <row r="118" spans="1:28" ht="16.5" customHeight="1">
      <c r="A118" s="80">
        <v>103</v>
      </c>
      <c r="B118" s="59" t="s">
        <v>179</v>
      </c>
      <c r="C118" s="60" t="s">
        <v>63</v>
      </c>
      <c r="D118" s="67">
        <v>5547565355.5589304</v>
      </c>
      <c r="E118" s="62">
        <f t="shared" si="66"/>
        <v>2.8942591491049915E-3</v>
      </c>
      <c r="F118" s="67">
        <v>145517.29999999999</v>
      </c>
      <c r="G118" s="67">
        <v>145517.29999999999</v>
      </c>
      <c r="H118" s="63">
        <v>89</v>
      </c>
      <c r="I118" s="89">
        <v>6.9999999999999994E-5</v>
      </c>
      <c r="J118" s="89">
        <v>7.6525999999999997E-2</v>
      </c>
      <c r="K118" s="67">
        <f>3867677.09*W136</f>
        <v>5706183583.0148439</v>
      </c>
      <c r="L118" s="62">
        <f t="shared" si="67"/>
        <v>2.924244914363439E-3</v>
      </c>
      <c r="M118" s="67">
        <f>100*W136</f>
        <v>147535.16</v>
      </c>
      <c r="N118" s="67">
        <f>100*W136</f>
        <v>147535.16</v>
      </c>
      <c r="O118" s="63">
        <v>90</v>
      </c>
      <c r="P118" s="89">
        <v>5.7899999999999998E-4</v>
      </c>
      <c r="Q118" s="89">
        <v>7.7105000000000007E-2</v>
      </c>
      <c r="R118" s="95">
        <f>((K118-D118)/D118)</f>
        <v>2.8592403566182482E-2</v>
      </c>
      <c r="S118" s="95">
        <f>((N118-G118)/G118)</f>
        <v>1.3866804840386781E-2</v>
      </c>
      <c r="T118" s="95">
        <f>((O118-H118)/H118)</f>
        <v>1.1235955056179775E-2</v>
      </c>
      <c r="U118" s="95">
        <f>P118-I118</f>
        <v>5.0900000000000001E-4</v>
      </c>
      <c r="V118" s="96">
        <f>Q118-J118</f>
        <v>5.7900000000001006E-4</v>
      </c>
      <c r="X118" s="105"/>
      <c r="Y118" s="108"/>
      <c r="Z118" s="105"/>
      <c r="AA118" s="109"/>
    </row>
    <row r="119" spans="1:28">
      <c r="A119" s="80">
        <v>104</v>
      </c>
      <c r="B119" s="59" t="s">
        <v>180</v>
      </c>
      <c r="C119" s="60" t="s">
        <v>27</v>
      </c>
      <c r="D119" s="67">
        <v>16849152155.7083</v>
      </c>
      <c r="E119" s="62">
        <f t="shared" si="66"/>
        <v>8.7904890985114979E-3</v>
      </c>
      <c r="F119" s="67">
        <v>1753.9200169000001</v>
      </c>
      <c r="G119" s="67">
        <v>1753.9200169000001</v>
      </c>
      <c r="H119" s="63">
        <v>322</v>
      </c>
      <c r="I119" s="89">
        <v>-8.6999999999999994E-3</v>
      </c>
      <c r="J119" s="89">
        <v>7.8799999999999995E-2</v>
      </c>
      <c r="K119" s="67">
        <f>11574069.75*W136</f>
        <v>17075822324.174099</v>
      </c>
      <c r="L119" s="62">
        <f t="shared" si="67"/>
        <v>8.7508377295595838E-3</v>
      </c>
      <c r="M119" s="67">
        <f>1.2066*W136</f>
        <v>1780.1592405599997</v>
      </c>
      <c r="N119" s="67">
        <f>1.2066*W136</f>
        <v>1780.1592405599997</v>
      </c>
      <c r="O119" s="63">
        <v>322</v>
      </c>
      <c r="P119" s="89">
        <v>5.62E-2</v>
      </c>
      <c r="Q119" s="89">
        <v>7.8299999999999995E-2</v>
      </c>
      <c r="R119" s="95">
        <f t="shared" ref="R119:R131" si="68">((K119-D119)/D119)</f>
        <v>1.3452912429721639E-2</v>
      </c>
      <c r="S119" s="95">
        <f t="shared" ref="S119:S131" si="69">((N119-G119)/G119)</f>
        <v>1.4960330805948994E-2</v>
      </c>
      <c r="T119" s="95">
        <f t="shared" ref="T119:T131" si="70">((O119-H119)/H119)</f>
        <v>0</v>
      </c>
      <c r="U119" s="95">
        <f t="shared" ref="U119:U131" si="71">P119-I119</f>
        <v>6.4899999999999999E-2</v>
      </c>
      <c r="V119" s="96">
        <f t="shared" ref="V119:V131" si="72">Q119-J119</f>
        <v>-5.0000000000000044E-4</v>
      </c>
    </row>
    <row r="120" spans="1:28">
      <c r="A120" s="80">
        <v>105</v>
      </c>
      <c r="B120" s="59" t="s">
        <v>181</v>
      </c>
      <c r="C120" s="60" t="s">
        <v>27</v>
      </c>
      <c r="D120" s="67">
        <v>4192405959.29703</v>
      </c>
      <c r="E120" s="62">
        <f t="shared" si="66"/>
        <v>2.1872494557092421E-3</v>
      </c>
      <c r="F120" s="67">
        <v>1512.5068162</v>
      </c>
      <c r="G120" s="67">
        <v>1512.5068162</v>
      </c>
      <c r="H120" s="63">
        <v>90</v>
      </c>
      <c r="I120" s="89">
        <v>5.5199999999999999E-2</v>
      </c>
      <c r="J120" s="89">
        <v>5.0799999999999998E-2</v>
      </c>
      <c r="K120" s="67">
        <f>2847632.93*W136</f>
        <v>4201259799.4881883</v>
      </c>
      <c r="L120" s="62">
        <f t="shared" si="67"/>
        <v>2.1530174106459232E-3</v>
      </c>
      <c r="M120" s="67">
        <f>1.0403*W136</f>
        <v>1534.80826948</v>
      </c>
      <c r="N120" s="67">
        <f>1.0403*W136</f>
        <v>1534.80826948</v>
      </c>
      <c r="O120" s="63">
        <v>94</v>
      </c>
      <c r="P120" s="89">
        <v>4.5100000000000001E-2</v>
      </c>
      <c r="Q120" s="89">
        <v>5.0700000000000002E-2</v>
      </c>
      <c r="R120" s="95">
        <f t="shared" si="68"/>
        <v>2.1118756812002243E-3</v>
      </c>
      <c r="S120" s="95">
        <f t="shared" ref="S120" si="73">((N120-G120)/G120)</f>
        <v>1.474469605104318E-2</v>
      </c>
      <c r="T120" s="95">
        <f t="shared" ref="T120" si="74">((O120-H120)/H120)</f>
        <v>4.4444444444444446E-2</v>
      </c>
      <c r="U120" s="95">
        <f t="shared" ref="U120" si="75">P120-I120</f>
        <v>-1.0099999999999998E-2</v>
      </c>
      <c r="V120" s="96">
        <f t="shared" ref="V120" si="76">Q120-J120</f>
        <v>-9.9999999999995925E-5</v>
      </c>
    </row>
    <row r="121" spans="1:28">
      <c r="A121" s="80">
        <v>106</v>
      </c>
      <c r="B121" s="175" t="s">
        <v>182</v>
      </c>
      <c r="C121" s="177" t="s">
        <v>31</v>
      </c>
      <c r="D121" s="67">
        <v>34984508574.314201</v>
      </c>
      <c r="E121" s="62">
        <f t="shared" si="66"/>
        <v>1.8252012825173702E-2</v>
      </c>
      <c r="F121" s="67">
        <v>1585.4109834999999</v>
      </c>
      <c r="G121" s="67">
        <v>1585.4109834999999</v>
      </c>
      <c r="H121" s="63">
        <v>571</v>
      </c>
      <c r="I121" s="89">
        <v>1.5E-3</v>
      </c>
      <c r="J121" s="89">
        <v>7.85E-2</v>
      </c>
      <c r="K121" s="67">
        <f>25671380.35*W136</f>
        <v>37874312073.581062</v>
      </c>
      <c r="L121" s="62">
        <f t="shared" si="67"/>
        <v>1.9409428886209584E-2</v>
      </c>
      <c r="M121" s="67">
        <f>1.0914*W136</f>
        <v>1610.1987362399998</v>
      </c>
      <c r="N121" s="67">
        <f>1.0914*W136</f>
        <v>1610.1987362399998</v>
      </c>
      <c r="O121" s="63">
        <v>575</v>
      </c>
      <c r="P121" s="89">
        <v>1.6999999999999999E-3</v>
      </c>
      <c r="Q121" s="89">
        <v>8.0299999999999996E-2</v>
      </c>
      <c r="R121" s="95">
        <f t="shared" si="68"/>
        <v>8.2602375080625512E-2</v>
      </c>
      <c r="S121" s="95">
        <f t="shared" ref="S121:T124" si="77">((N121-G121)/G121)</f>
        <v>1.5634906656996714E-2</v>
      </c>
      <c r="T121" s="95">
        <f t="shared" si="77"/>
        <v>7.0052539404553416E-3</v>
      </c>
      <c r="U121" s="95">
        <f t="shared" si="71"/>
        <v>1.9999999999999987E-4</v>
      </c>
      <c r="V121" s="96">
        <f t="shared" si="72"/>
        <v>1.799999999999996E-3</v>
      </c>
    </row>
    <row r="122" spans="1:28">
      <c r="A122" s="174">
        <v>107</v>
      </c>
      <c r="B122" s="175" t="s">
        <v>183</v>
      </c>
      <c r="C122" s="177" t="s">
        <v>72</v>
      </c>
      <c r="D122" s="67">
        <v>1302153599.25369</v>
      </c>
      <c r="E122" s="62">
        <f t="shared" si="66"/>
        <v>6.7935566805057935E-4</v>
      </c>
      <c r="F122" s="67">
        <v>1621.9358258</v>
      </c>
      <c r="G122" s="67">
        <v>1629.79376</v>
      </c>
      <c r="H122" s="63">
        <v>59</v>
      </c>
      <c r="I122" s="89">
        <v>8.0000000000000002E-3</v>
      </c>
      <c r="J122" s="89">
        <v>0.14299999999999999</v>
      </c>
      <c r="K122" s="67">
        <f>910003.62*W136</f>
        <v>1342575296.7727919</v>
      </c>
      <c r="L122" s="62">
        <f t="shared" si="67"/>
        <v>6.8802885967848967E-4</v>
      </c>
      <c r="M122" s="67">
        <f>1.0953*W136</f>
        <v>1615.9526074799999</v>
      </c>
      <c r="N122" s="67">
        <f>1.1*W136</f>
        <v>1622.8867600000001</v>
      </c>
      <c r="O122" s="63">
        <v>60</v>
      </c>
      <c r="P122" s="89">
        <v>-1.7000000000000001E-2</v>
      </c>
      <c r="Q122" s="89">
        <v>0.11600000000000001</v>
      </c>
      <c r="R122" s="95">
        <f t="shared" si="68"/>
        <v>3.1042188526967135E-2</v>
      </c>
      <c r="S122" s="95">
        <f t="shared" si="77"/>
        <v>-4.2379595317630402E-3</v>
      </c>
      <c r="T122" s="95">
        <f t="shared" si="77"/>
        <v>1.6949152542372881E-2</v>
      </c>
      <c r="U122" s="95">
        <f t="shared" si="71"/>
        <v>-2.5000000000000001E-2</v>
      </c>
      <c r="V122" s="96">
        <f t="shared" si="72"/>
        <v>-2.6999999999999982E-2</v>
      </c>
    </row>
    <row r="123" spans="1:28">
      <c r="A123" s="174">
        <v>108</v>
      </c>
      <c r="B123" s="175" t="s">
        <v>184</v>
      </c>
      <c r="C123" s="177" t="s">
        <v>33</v>
      </c>
      <c r="D123" s="67">
        <v>1402230852.25881</v>
      </c>
      <c r="E123" s="62">
        <v>0</v>
      </c>
      <c r="F123" s="67">
        <v>2045.1001342</v>
      </c>
      <c r="G123" s="67">
        <v>2045.1001342</v>
      </c>
      <c r="H123" s="63">
        <v>68</v>
      </c>
      <c r="I123" s="89">
        <v>4.75E-4</v>
      </c>
      <c r="J123" s="89">
        <v>0.14990000000000001</v>
      </c>
      <c r="K123" s="67">
        <f>785844.07*W136</f>
        <v>1159396306.0250118</v>
      </c>
      <c r="L123" s="62">
        <f t="shared" si="67"/>
        <v>5.9415521815968505E-4</v>
      </c>
      <c r="M123" s="67">
        <f>1.4087*W136</f>
        <v>2078.3277989200001</v>
      </c>
      <c r="N123" s="67">
        <f>1.4087*W136</f>
        <v>2078.3277989200001</v>
      </c>
      <c r="O123" s="63">
        <v>68</v>
      </c>
      <c r="P123" s="89">
        <v>8.7500000000000002E-4</v>
      </c>
      <c r="Q123" s="89">
        <v>0.15029999999999999</v>
      </c>
      <c r="R123" s="95">
        <f t="shared" si="68"/>
        <v>-0.17317729519545491</v>
      </c>
      <c r="S123" s="95">
        <f t="shared" si="77"/>
        <v>1.6247451244238504E-2</v>
      </c>
      <c r="T123" s="95">
        <f t="shared" si="77"/>
        <v>0</v>
      </c>
      <c r="U123" s="95">
        <f t="shared" si="71"/>
        <v>4.0000000000000002E-4</v>
      </c>
      <c r="V123" s="96">
        <f t="shared" si="72"/>
        <v>3.999999999999837E-4</v>
      </c>
    </row>
    <row r="124" spans="1:28">
      <c r="A124" s="174">
        <v>109</v>
      </c>
      <c r="B124" s="175" t="s">
        <v>185</v>
      </c>
      <c r="C124" s="177" t="s">
        <v>82</v>
      </c>
      <c r="D124" s="67">
        <v>2158744867.2913799</v>
      </c>
      <c r="E124" s="62">
        <f t="shared" ref="E124:E133" si="78">(D124/$D$155)</f>
        <v>1.1262538937879749E-3</v>
      </c>
      <c r="F124" s="67">
        <v>158177.3051</v>
      </c>
      <c r="G124" s="67">
        <v>158933.99505999999</v>
      </c>
      <c r="H124" s="63">
        <v>86</v>
      </c>
      <c r="I124" s="89">
        <v>1.1999999999999999E-3</v>
      </c>
      <c r="J124" s="89">
        <v>5.0900000000000001E-2</v>
      </c>
      <c r="K124" s="67">
        <f>1484163.01*W136</f>
        <v>2189662271.4643159</v>
      </c>
      <c r="L124" s="62">
        <f t="shared" si="67"/>
        <v>1.1221350782618809E-3</v>
      </c>
      <c r="M124" s="67">
        <f>108.81*W136</f>
        <v>160533.00759600001</v>
      </c>
      <c r="N124" s="67">
        <f>109*W136</f>
        <v>160813.32439999998</v>
      </c>
      <c r="O124" s="63">
        <v>86</v>
      </c>
      <c r="P124" s="89">
        <v>-5.0000000000000001E-4</v>
      </c>
      <c r="Q124" s="89">
        <v>5.0299999999999997E-2</v>
      </c>
      <c r="R124" s="95">
        <f t="shared" si="68"/>
        <v>1.4321935232544939E-2</v>
      </c>
      <c r="S124" s="95">
        <f t="shared" si="77"/>
        <v>1.1824590071435135E-2</v>
      </c>
      <c r="T124" s="95">
        <f t="shared" si="77"/>
        <v>0</v>
      </c>
      <c r="U124" s="95">
        <f t="shared" si="71"/>
        <v>-1.6999999999999999E-3</v>
      </c>
      <c r="V124" s="96">
        <f t="shared" si="72"/>
        <v>-6.0000000000000331E-4</v>
      </c>
    </row>
    <row r="125" spans="1:28">
      <c r="A125" s="174">
        <v>110</v>
      </c>
      <c r="B125" s="175" t="s">
        <v>186</v>
      </c>
      <c r="C125" s="177" t="s">
        <v>85</v>
      </c>
      <c r="D125" s="67">
        <v>4787157790.2600002</v>
      </c>
      <c r="E125" s="62">
        <f t="shared" si="78"/>
        <v>2.4975415961139744E-3</v>
      </c>
      <c r="F125" s="67">
        <v>166968.41</v>
      </c>
      <c r="G125" s="67">
        <v>166968.41</v>
      </c>
      <c r="H125" s="63">
        <v>60</v>
      </c>
      <c r="I125" s="89">
        <v>8.9999999999999993E-3</v>
      </c>
      <c r="J125" s="89">
        <v>8.5699999999999998E-2</v>
      </c>
      <c r="K125" s="67">
        <v>4843227738.8699999</v>
      </c>
      <c r="L125" s="62">
        <f t="shared" si="67"/>
        <v>2.4820063845565365E-3</v>
      </c>
      <c r="M125" s="67">
        <v>168816.42</v>
      </c>
      <c r="N125" s="67">
        <v>168816.42</v>
      </c>
      <c r="O125" s="63">
        <v>60</v>
      </c>
      <c r="P125" s="89">
        <v>8.9999999999999993E-3</v>
      </c>
      <c r="Q125" s="89">
        <v>8.6400000000000005E-2</v>
      </c>
      <c r="R125" s="95">
        <f t="shared" si="68"/>
        <v>1.1712575826115476E-2</v>
      </c>
      <c r="S125" s="95">
        <f t="shared" si="69"/>
        <v>1.1068021789271451E-2</v>
      </c>
      <c r="T125" s="95">
        <f t="shared" si="70"/>
        <v>0</v>
      </c>
      <c r="U125" s="95">
        <f t="shared" si="71"/>
        <v>0</v>
      </c>
      <c r="V125" s="96">
        <f t="shared" si="72"/>
        <v>7.0000000000000617E-4</v>
      </c>
      <c r="X125" s="106"/>
    </row>
    <row r="126" spans="1:28">
      <c r="A126" s="80">
        <v>111</v>
      </c>
      <c r="B126" s="59" t="s">
        <v>187</v>
      </c>
      <c r="C126" s="60" t="s">
        <v>35</v>
      </c>
      <c r="D126" s="67">
        <v>56509539565.876602</v>
      </c>
      <c r="E126" s="62">
        <f t="shared" si="78"/>
        <v>2.9481987397653737E-2</v>
      </c>
      <c r="F126" s="67">
        <v>195648.00985</v>
      </c>
      <c r="G126" s="67">
        <v>195648.00985</v>
      </c>
      <c r="H126" s="63">
        <v>2515</v>
      </c>
      <c r="I126" s="89">
        <v>1.4E-3</v>
      </c>
      <c r="J126" s="89">
        <v>6.3799999999999996E-2</v>
      </c>
      <c r="K126" s="67">
        <f>38860223.74*W136</f>
        <v>57332493271.166985</v>
      </c>
      <c r="L126" s="62">
        <f t="shared" si="67"/>
        <v>2.9381152820780181E-2</v>
      </c>
      <c r="M126" s="67">
        <f>134.63*W136</f>
        <v>198626.58590799998</v>
      </c>
      <c r="N126" s="67">
        <f>134.63*W136</f>
        <v>198626.58590799998</v>
      </c>
      <c r="O126" s="63">
        <v>2520</v>
      </c>
      <c r="P126" s="89">
        <v>1.2999999999999999E-3</v>
      </c>
      <c r="Q126" s="89">
        <v>6.5199999999999994E-2</v>
      </c>
      <c r="R126" s="95">
        <f t="shared" si="68"/>
        <v>1.4563093446036934E-2</v>
      </c>
      <c r="S126" s="95">
        <f t="shared" si="69"/>
        <v>1.5224157200901764E-2</v>
      </c>
      <c r="T126" s="95">
        <f t="shared" si="70"/>
        <v>1.9880715705765406E-3</v>
      </c>
      <c r="U126" s="95">
        <f t="shared" si="71"/>
        <v>-1.0000000000000005E-4</v>
      </c>
      <c r="V126" s="96">
        <f t="shared" si="72"/>
        <v>1.3999999999999985E-3</v>
      </c>
    </row>
    <row r="127" spans="1:28">
      <c r="A127" s="80">
        <v>112</v>
      </c>
      <c r="B127" s="102" t="s">
        <v>188</v>
      </c>
      <c r="C127" s="102" t="s">
        <v>35</v>
      </c>
      <c r="D127" s="67">
        <v>165251066782.65302</v>
      </c>
      <c r="E127" s="62">
        <f t="shared" si="78"/>
        <v>8.6214290644777022E-2</v>
      </c>
      <c r="F127" s="67">
        <v>184501.38467</v>
      </c>
      <c r="G127" s="67">
        <v>185290.90599999999</v>
      </c>
      <c r="H127" s="63">
        <v>978</v>
      </c>
      <c r="I127" s="89">
        <v>1.5E-3</v>
      </c>
      <c r="J127" s="89">
        <v>6.7900000000000002E-2</v>
      </c>
      <c r="K127" s="67">
        <f>113910384.58*W136</f>
        <v>168057868146.71832</v>
      </c>
      <c r="L127" s="62">
        <f t="shared" si="67"/>
        <v>8.6124527733324421E-2</v>
      </c>
      <c r="M127" s="67">
        <f>126.99*W136</f>
        <v>187354.89968399997</v>
      </c>
      <c r="N127" s="67">
        <f>126.99*1461.4</f>
        <v>185583.18600000002</v>
      </c>
      <c r="O127" s="63">
        <v>979</v>
      </c>
      <c r="P127" s="89">
        <v>1.6000000000000001E-3</v>
      </c>
      <c r="Q127" s="89">
        <v>6.9599999999999995E-2</v>
      </c>
      <c r="R127" s="95">
        <f t="shared" si="68"/>
        <v>1.6985072585080266E-2</v>
      </c>
      <c r="S127" s="95">
        <f t="shared" si="69"/>
        <v>1.5774114677815216E-3</v>
      </c>
      <c r="T127" s="95">
        <f t="shared" si="70"/>
        <v>1.0224948875255625E-3</v>
      </c>
      <c r="U127" s="95">
        <f t="shared" si="71"/>
        <v>1.0000000000000005E-4</v>
      </c>
      <c r="V127" s="96">
        <f t="shared" si="72"/>
        <v>1.6999999999999932E-3</v>
      </c>
      <c r="X127" s="105"/>
    </row>
    <row r="128" spans="1:28">
      <c r="A128" s="174">
        <v>113</v>
      </c>
      <c r="B128" s="175" t="s">
        <v>189</v>
      </c>
      <c r="C128" s="177" t="s">
        <v>91</v>
      </c>
      <c r="D128" s="67">
        <v>2304775930.6707602</v>
      </c>
      <c r="E128" s="62">
        <f t="shared" si="78"/>
        <v>1.2024407819362659E-3</v>
      </c>
      <c r="F128" s="67">
        <v>1455.173</v>
      </c>
      <c r="G128" s="67">
        <v>1455.173</v>
      </c>
      <c r="H128" s="63">
        <v>16</v>
      </c>
      <c r="I128" s="89">
        <v>8.7400000000000005E-2</v>
      </c>
      <c r="J128" s="89">
        <v>8.6599999999999996E-2</v>
      </c>
      <c r="K128" s="67">
        <f>1586335.58*W136</f>
        <v>2340402736.0899282</v>
      </c>
      <c r="L128" s="62">
        <f t="shared" si="67"/>
        <v>1.1993849652760895E-3</v>
      </c>
      <c r="M128" s="67">
        <f>1*W136</f>
        <v>1475.3516</v>
      </c>
      <c r="N128" s="67">
        <f>1*W136</f>
        <v>1475.3516</v>
      </c>
      <c r="O128" s="63">
        <v>16</v>
      </c>
      <c r="P128" s="89">
        <v>8.5199999999999998E-2</v>
      </c>
      <c r="Q128" s="89">
        <v>8.7300000000000003E-2</v>
      </c>
      <c r="R128" s="95">
        <f t="shared" ref="R128" si="79">((K128-D128)/D128)</f>
        <v>1.5457817371773536E-2</v>
      </c>
      <c r="S128" s="95">
        <f t="shared" ref="S128" si="80">((N128-G128)/G128)</f>
        <v>1.3866804840386649E-2</v>
      </c>
      <c r="T128" s="95">
        <f t="shared" si="70"/>
        <v>0</v>
      </c>
      <c r="U128" s="95">
        <f t="shared" si="71"/>
        <v>-2.2000000000000075E-3</v>
      </c>
      <c r="V128" s="96">
        <f t="shared" si="72"/>
        <v>7.0000000000000617E-4</v>
      </c>
    </row>
    <row r="129" spans="1:24">
      <c r="A129" s="80">
        <v>114</v>
      </c>
      <c r="B129" s="59" t="s">
        <v>190</v>
      </c>
      <c r="C129" s="60" t="s">
        <v>39</v>
      </c>
      <c r="D129" s="67">
        <v>216353826.53602999</v>
      </c>
      <c r="E129" s="62">
        <f t="shared" si="78"/>
        <v>1.1287546910435443E-4</v>
      </c>
      <c r="F129" s="67">
        <v>192650.35347</v>
      </c>
      <c r="G129" s="67">
        <v>192650.35347</v>
      </c>
      <c r="H129" s="63">
        <v>9</v>
      </c>
      <c r="I129" s="89">
        <v>2.3E-3</v>
      </c>
      <c r="J129" s="89">
        <v>0.1676</v>
      </c>
      <c r="K129" s="67">
        <f>149015.37*W136</f>
        <v>219850064.55409199</v>
      </c>
      <c r="L129" s="62">
        <f t="shared" si="67"/>
        <v>1.126664475199211E-4</v>
      </c>
      <c r="M129" s="67">
        <f>132.69*W136</f>
        <v>195764.403804</v>
      </c>
      <c r="N129" s="67">
        <f>132.69*W136</f>
        <v>195764.403804</v>
      </c>
      <c r="O129" s="63">
        <v>9</v>
      </c>
      <c r="P129" s="89">
        <v>2.3E-3</v>
      </c>
      <c r="Q129" s="89">
        <v>0.17030000000000001</v>
      </c>
      <c r="R129" s="95">
        <f t="shared" si="68"/>
        <v>1.6159815955368636E-2</v>
      </c>
      <c r="S129" s="95">
        <f t="shared" si="69"/>
        <v>1.6164259644013201E-2</v>
      </c>
      <c r="T129" s="95">
        <f t="shared" si="70"/>
        <v>0</v>
      </c>
      <c r="U129" s="95">
        <f t="shared" si="71"/>
        <v>0</v>
      </c>
      <c r="V129" s="96">
        <f t="shared" si="72"/>
        <v>2.7000000000000079E-3</v>
      </c>
    </row>
    <row r="130" spans="1:24">
      <c r="A130" s="80">
        <v>115</v>
      </c>
      <c r="B130" s="59" t="s">
        <v>191</v>
      </c>
      <c r="C130" s="60" t="s">
        <v>45</v>
      </c>
      <c r="D130" s="67">
        <v>15226094187.8011</v>
      </c>
      <c r="E130" s="62">
        <f t="shared" si="78"/>
        <v>7.9437121662783335E-3</v>
      </c>
      <c r="F130" s="67">
        <v>2095.4491200000002</v>
      </c>
      <c r="G130" s="67">
        <v>2095.4491200000002</v>
      </c>
      <c r="H130" s="84">
        <v>110</v>
      </c>
      <c r="I130" s="92">
        <v>2.9999999999999997E-4</v>
      </c>
      <c r="J130" s="92">
        <v>5.33E-2</v>
      </c>
      <c r="K130" s="67">
        <f>10673364.36*W136</f>
        <v>15746965185.908976</v>
      </c>
      <c r="L130" s="62">
        <f t="shared" si="67"/>
        <v>8.0698390073918966E-3</v>
      </c>
      <c r="M130" s="67">
        <f>1.44*W136</f>
        <v>2124.506304</v>
      </c>
      <c r="N130" s="67">
        <f>1.45*W136</f>
        <v>2139.2598199999998</v>
      </c>
      <c r="O130" s="84">
        <v>110</v>
      </c>
      <c r="P130" s="92">
        <v>8.0000000000000004E-4</v>
      </c>
      <c r="Q130" s="92">
        <v>5.3400000000000003E-2</v>
      </c>
      <c r="R130" s="95">
        <f t="shared" si="68"/>
        <v>3.4209101275965388E-2</v>
      </c>
      <c r="S130" s="95">
        <f t="shared" si="69"/>
        <v>2.0907546540666917E-2</v>
      </c>
      <c r="T130" s="95">
        <f t="shared" si="70"/>
        <v>0</v>
      </c>
      <c r="U130" s="95">
        <f t="shared" si="71"/>
        <v>5.0000000000000001E-4</v>
      </c>
      <c r="V130" s="96">
        <f t="shared" si="72"/>
        <v>1.0000000000000286E-4</v>
      </c>
    </row>
    <row r="131" spans="1:24">
      <c r="A131" s="80">
        <v>116</v>
      </c>
      <c r="B131" s="59" t="s">
        <v>192</v>
      </c>
      <c r="C131" s="60" t="s">
        <v>105</v>
      </c>
      <c r="D131" s="67">
        <v>34139441228.712002</v>
      </c>
      <c r="E131" s="62">
        <f t="shared" si="78"/>
        <v>1.7811126825666154E-2</v>
      </c>
      <c r="F131" s="67">
        <v>150508.54339000001</v>
      </c>
      <c r="G131" s="67">
        <v>150508.54339000001</v>
      </c>
      <c r="H131" s="63">
        <v>788</v>
      </c>
      <c r="I131" s="92">
        <v>1E-4</v>
      </c>
      <c r="J131" s="89">
        <v>9.06E-2</v>
      </c>
      <c r="K131" s="67">
        <f>23649322*W136</f>
        <v>34891065051.615196</v>
      </c>
      <c r="L131" s="62">
        <f t="shared" si="67"/>
        <v>1.7880605846193689E-2</v>
      </c>
      <c r="M131" s="67">
        <f>103.69*W136</f>
        <v>152979.20740399999</v>
      </c>
      <c r="N131" s="67">
        <f>103.69*W136</f>
        <v>152979.20740399999</v>
      </c>
      <c r="O131" s="63">
        <v>793</v>
      </c>
      <c r="P131" s="92">
        <v>2.5999999999999999E-3</v>
      </c>
      <c r="Q131" s="89">
        <v>9.1700000000000004E-2</v>
      </c>
      <c r="R131" s="95">
        <f t="shared" si="68"/>
        <v>2.2016289542286436E-2</v>
      </c>
      <c r="S131" s="95">
        <f t="shared" si="69"/>
        <v>1.6415440335489515E-2</v>
      </c>
      <c r="T131" s="95">
        <f t="shared" si="70"/>
        <v>6.3451776649746192E-3</v>
      </c>
      <c r="U131" s="95">
        <f t="shared" si="71"/>
        <v>2.5000000000000001E-3</v>
      </c>
      <c r="V131" s="96">
        <f t="shared" si="72"/>
        <v>1.1000000000000038E-3</v>
      </c>
    </row>
    <row r="132" spans="1:24">
      <c r="A132" s="80">
        <v>117</v>
      </c>
      <c r="B132" s="59" t="s">
        <v>193</v>
      </c>
      <c r="C132" s="60" t="s">
        <v>49</v>
      </c>
      <c r="D132" s="67">
        <v>2518740887.0030699</v>
      </c>
      <c r="E132" s="62">
        <f t="shared" si="78"/>
        <v>1.3140699368469149E-3</v>
      </c>
      <c r="F132" s="67">
        <v>202982.08176999999</v>
      </c>
      <c r="G132" s="67">
        <v>210621.74002</v>
      </c>
      <c r="H132" s="63">
        <v>50</v>
      </c>
      <c r="I132" s="89">
        <v>0</v>
      </c>
      <c r="J132" s="89">
        <v>-2.4199999999999999E-2</v>
      </c>
      <c r="K132" s="67">
        <f>1730887.59*W136</f>
        <v>2553667775.3266439</v>
      </c>
      <c r="L132" s="62">
        <f t="shared" si="67"/>
        <v>1.3086767883179952E-3</v>
      </c>
      <c r="M132" s="67">
        <f>139.41*W136</f>
        <v>205678.76655599999</v>
      </c>
      <c r="N132" s="67">
        <f>144.74*W136</f>
        <v>213542.39058400001</v>
      </c>
      <c r="O132" s="63">
        <v>50</v>
      </c>
      <c r="P132" s="89">
        <v>0</v>
      </c>
      <c r="Q132" s="89">
        <v>-1</v>
      </c>
      <c r="R132" s="95">
        <f t="shared" ref="R132:R133" si="81">((K132-D132)/D132)</f>
        <v>1.3866804840386703E-2</v>
      </c>
      <c r="S132" s="95">
        <f t="shared" ref="S132:S133" si="82">((N132-G132)/G132)</f>
        <v>1.3866804840386725E-2</v>
      </c>
      <c r="T132" s="95">
        <f t="shared" ref="T132:T133" si="83">((O132-H132)/H132)</f>
        <v>0</v>
      </c>
      <c r="U132" s="95">
        <f t="shared" ref="U132:U133" si="84">P132-I132</f>
        <v>0</v>
      </c>
      <c r="V132" s="96">
        <f t="shared" ref="V132:V133" si="85">Q132-J132</f>
        <v>-0.9758</v>
      </c>
    </row>
    <row r="133" spans="1:24">
      <c r="A133" s="80">
        <v>118</v>
      </c>
      <c r="B133" s="59" t="s">
        <v>194</v>
      </c>
      <c r="C133" s="60" t="s">
        <v>56</v>
      </c>
      <c r="D133" s="61">
        <v>170884219927.48599</v>
      </c>
      <c r="E133" s="62">
        <f t="shared" si="78"/>
        <v>8.915320239845384E-2</v>
      </c>
      <c r="F133" s="67">
        <v>179755.20436900001</v>
      </c>
      <c r="G133" s="67">
        <v>179755.20436900001</v>
      </c>
      <c r="H133" s="63">
        <v>3982</v>
      </c>
      <c r="I133" s="89">
        <v>1.1000000000000001E-3</v>
      </c>
      <c r="J133" s="89">
        <v>8.5500000000000007E-2</v>
      </c>
      <c r="K133" s="61">
        <f>117462044.45*1479.19</f>
        <v>173748681529.99551</v>
      </c>
      <c r="L133" s="62">
        <f t="shared" si="67"/>
        <v>8.9040895889472546E-2</v>
      </c>
      <c r="M133" s="67">
        <f>123.4207*1479.19</f>
        <v>182562.66523300001</v>
      </c>
      <c r="N133" s="67">
        <f>123.4207*1479.19</f>
        <v>182562.66523300001</v>
      </c>
      <c r="O133" s="63">
        <v>4015</v>
      </c>
      <c r="P133" s="89">
        <v>2.0999999999999999E-3</v>
      </c>
      <c r="Q133" s="89">
        <v>8.3799999999999999E-2</v>
      </c>
      <c r="R133" s="95">
        <f t="shared" si="81"/>
        <v>1.6762586994428414E-2</v>
      </c>
      <c r="S133" s="95">
        <f t="shared" si="82"/>
        <v>1.5618245234429267E-2</v>
      </c>
      <c r="T133" s="95">
        <f t="shared" si="83"/>
        <v>8.2872928176795577E-3</v>
      </c>
      <c r="U133" s="95">
        <f t="shared" si="84"/>
        <v>9.999999999999998E-4</v>
      </c>
      <c r="V133" s="96">
        <f t="shared" si="85"/>
        <v>-1.7000000000000071E-3</v>
      </c>
    </row>
    <row r="134" spans="1:24" ht="6" customHeight="1">
      <c r="A134" s="110"/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  <c r="R134" s="185"/>
      <c r="S134" s="185"/>
      <c r="T134" s="185"/>
      <c r="U134" s="185"/>
      <c r="V134" s="185"/>
    </row>
    <row r="135" spans="1:24">
      <c r="A135" s="186" t="s">
        <v>195</v>
      </c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  <c r="P135" s="186"/>
      <c r="Q135" s="186"/>
      <c r="R135" s="186"/>
      <c r="S135" s="186"/>
      <c r="T135" s="186"/>
      <c r="U135" s="186"/>
      <c r="V135" s="186"/>
    </row>
    <row r="136" spans="1:24">
      <c r="A136" s="174">
        <v>119</v>
      </c>
      <c r="B136" s="175" t="s">
        <v>196</v>
      </c>
      <c r="C136" s="177" t="s">
        <v>67</v>
      </c>
      <c r="D136" s="61">
        <v>1502752937.0983</v>
      </c>
      <c r="E136" s="62">
        <f>(D136/$D$155)</f>
        <v>7.8401175259393491E-4</v>
      </c>
      <c r="F136" s="67">
        <v>165991.58411</v>
      </c>
      <c r="G136" s="67">
        <v>165991.58411</v>
      </c>
      <c r="H136" s="63">
        <v>23</v>
      </c>
      <c r="I136" s="89">
        <v>-8.8000000000000005E-3</v>
      </c>
      <c r="J136" s="89">
        <v>0.13009999999999999</v>
      </c>
      <c r="K136" s="61">
        <f>956636.35*W136</f>
        <v>1411374969.5906599</v>
      </c>
      <c r="L136" s="62">
        <f t="shared" ref="L136:L154" si="86">(K136/$K$155)</f>
        <v>7.232865920000324E-4</v>
      </c>
      <c r="M136" s="67">
        <f>114.83*W136</f>
        <v>169414.624228</v>
      </c>
      <c r="N136" s="67">
        <f>114.83*W136</f>
        <v>169414.624228</v>
      </c>
      <c r="O136" s="63">
        <v>23</v>
      </c>
      <c r="P136" s="89">
        <v>6.4000000000000003E-3</v>
      </c>
      <c r="Q136" s="89">
        <v>0.13589999999999999</v>
      </c>
      <c r="R136" s="95">
        <f>((K136-D136)/D136)</f>
        <v>-6.0807046355925896E-2</v>
      </c>
      <c r="S136" s="95">
        <f>((N136-G136)/G136)</f>
        <v>2.0621769087591873E-2</v>
      </c>
      <c r="T136" s="95">
        <f>((O136-H136)/H136)</f>
        <v>0</v>
      </c>
      <c r="U136" s="95">
        <f>P136-I136</f>
        <v>1.5200000000000002E-2</v>
      </c>
      <c r="V136" s="96">
        <f>Q136-J136</f>
        <v>5.7999999999999996E-3</v>
      </c>
      <c r="W136" s="117">
        <v>1475.3516</v>
      </c>
    </row>
    <row r="137" spans="1:24">
      <c r="A137" s="174">
        <v>120</v>
      </c>
      <c r="B137" s="177" t="s">
        <v>197</v>
      </c>
      <c r="C137" s="177" t="s">
        <v>29</v>
      </c>
      <c r="D137" s="67">
        <v>22837691958.497101</v>
      </c>
      <c r="E137" s="62">
        <f t="shared" ref="E137:E154" si="87">(D137/$D$155)</f>
        <v>1.1914812112864631E-2</v>
      </c>
      <c r="F137" s="61">
        <v>195575.2512</v>
      </c>
      <c r="G137" s="61">
        <v>195575.2512</v>
      </c>
      <c r="H137" s="63">
        <v>629</v>
      </c>
      <c r="I137" s="89">
        <v>5.0000000000000001E-4</v>
      </c>
      <c r="J137" s="89">
        <v>4.9500000000000002E-2</v>
      </c>
      <c r="K137" s="67">
        <f>15719790.51*W136</f>
        <v>23192218080.593315</v>
      </c>
      <c r="L137" s="62">
        <f t="shared" si="86"/>
        <v>1.1885303861736335E-2</v>
      </c>
      <c r="M137" s="61">
        <f>134.57*W136</f>
        <v>198538.064812</v>
      </c>
      <c r="N137" s="61">
        <f>134.57*W136</f>
        <v>198538.064812</v>
      </c>
      <c r="O137" s="63">
        <v>631</v>
      </c>
      <c r="P137" s="89">
        <v>5.0000000000000001E-4</v>
      </c>
      <c r="Q137" s="89">
        <v>5.0700000000000002E-2</v>
      </c>
      <c r="R137" s="95">
        <f t="shared" ref="R137:R155" si="88">((K137-D137)/D137)</f>
        <v>1.5523728174479891E-2</v>
      </c>
      <c r="S137" s="95">
        <f t="shared" ref="S137:S155" si="89">((N137-G137)/G137)</f>
        <v>1.5149225650080608E-2</v>
      </c>
      <c r="T137" s="95">
        <f t="shared" ref="T137:T155" si="90">((O137-H137)/H137)</f>
        <v>3.1796502384737681E-3</v>
      </c>
      <c r="U137" s="95">
        <f t="shared" ref="U137:U155" si="91">P137-I137</f>
        <v>0</v>
      </c>
      <c r="V137" s="96">
        <f t="shared" ref="V137:V155" si="92">Q137-J137</f>
        <v>1.1999999999999997E-3</v>
      </c>
    </row>
    <row r="138" spans="1:24">
      <c r="A138" s="174">
        <v>121</v>
      </c>
      <c r="B138" s="177" t="s">
        <v>198</v>
      </c>
      <c r="C138" s="177" t="s">
        <v>139</v>
      </c>
      <c r="D138" s="67">
        <v>322035052.62625998</v>
      </c>
      <c r="E138" s="62">
        <f t="shared" si="87"/>
        <v>1.6801116123167401E-4</v>
      </c>
      <c r="F138" s="61">
        <v>145517.29999999999</v>
      </c>
      <c r="G138" s="61">
        <v>145517.29999999999</v>
      </c>
      <c r="H138" s="63">
        <v>12</v>
      </c>
      <c r="I138" s="89">
        <v>0</v>
      </c>
      <c r="J138" s="89">
        <v>7.7000000000000002E-3</v>
      </c>
      <c r="K138" s="67">
        <f>244936.1*W136</f>
        <v>361366867.03276002</v>
      </c>
      <c r="L138" s="62">
        <f t="shared" si="86"/>
        <v>1.8518948922103908E-4</v>
      </c>
      <c r="M138" s="61">
        <f>100*W136</f>
        <v>147535.16</v>
      </c>
      <c r="N138" s="61">
        <f>100*W136</f>
        <v>147535.16</v>
      </c>
      <c r="O138" s="63">
        <v>13</v>
      </c>
      <c r="P138" s="89">
        <v>2.0300000000000001E-3</v>
      </c>
      <c r="Q138" s="89">
        <v>2.0999999999999999E-3</v>
      </c>
      <c r="R138" s="95">
        <v>0</v>
      </c>
      <c r="S138" s="95">
        <f t="shared" ref="S138" si="93">((N138-G138)/G138)</f>
        <v>1.3866804840386781E-2</v>
      </c>
      <c r="T138" s="95">
        <f t="shared" ref="T138" si="94">((O138-H138)/H138)</f>
        <v>8.3333333333333329E-2</v>
      </c>
      <c r="U138" s="95">
        <f t="shared" ref="U138" si="95">P138-I138</f>
        <v>2.0300000000000001E-3</v>
      </c>
      <c r="V138" s="96">
        <f t="shared" ref="V138" si="96">Q138-J138</f>
        <v>-5.6000000000000008E-3</v>
      </c>
    </row>
    <row r="139" spans="1:24">
      <c r="A139" s="174">
        <v>122</v>
      </c>
      <c r="B139" s="59" t="s">
        <v>199</v>
      </c>
      <c r="C139" s="60" t="s">
        <v>76</v>
      </c>
      <c r="D139" s="61">
        <v>16357597091.08</v>
      </c>
      <c r="E139" s="62">
        <f t="shared" si="87"/>
        <v>8.5340364653462564E-3</v>
      </c>
      <c r="F139" s="61">
        <v>171976.2</v>
      </c>
      <c r="G139" s="61">
        <v>171976.2</v>
      </c>
      <c r="H139" s="63">
        <v>442</v>
      </c>
      <c r="I139" s="89">
        <v>3.8E-3</v>
      </c>
      <c r="J139" s="89">
        <v>6.6500000000000004E-2</v>
      </c>
      <c r="K139" s="61">
        <v>16416877074.360001</v>
      </c>
      <c r="L139" s="62">
        <f t="shared" ref="L139:L140" si="97">(K139/$K$113)</f>
        <v>6.8327502165864792E-2</v>
      </c>
      <c r="M139" s="61">
        <v>172196.4</v>
      </c>
      <c r="N139" s="61">
        <v>172196.4</v>
      </c>
      <c r="O139" s="63">
        <v>442</v>
      </c>
      <c r="P139" s="89">
        <v>1.2999999999999999E-3</v>
      </c>
      <c r="Q139" s="89">
        <v>6.6500000000000004E-2</v>
      </c>
      <c r="R139" s="95">
        <f t="shared" si="88"/>
        <v>3.6240031436112824E-3</v>
      </c>
      <c r="S139" s="95">
        <f t="shared" si="89"/>
        <v>1.2804097311138549E-3</v>
      </c>
      <c r="T139" s="95">
        <f t="shared" si="90"/>
        <v>0</v>
      </c>
      <c r="U139" s="95">
        <f t="shared" si="91"/>
        <v>-2.5000000000000001E-3</v>
      </c>
      <c r="V139" s="96">
        <f t="shared" si="92"/>
        <v>0</v>
      </c>
    </row>
    <row r="140" spans="1:24">
      <c r="A140" s="174">
        <v>123</v>
      </c>
      <c r="B140" s="59" t="s">
        <v>200</v>
      </c>
      <c r="C140" s="60" t="s">
        <v>78</v>
      </c>
      <c r="D140" s="67">
        <v>183949117.41304001</v>
      </c>
      <c r="E140" s="62">
        <f t="shared" ref="E140" si="98">(D140/$D$113)</f>
        <v>7.6715703298530023E-4</v>
      </c>
      <c r="F140" s="66">
        <v>1452.5536886</v>
      </c>
      <c r="G140" s="66">
        <v>1452.5536886</v>
      </c>
      <c r="H140" s="63">
        <v>3</v>
      </c>
      <c r="I140" s="89">
        <v>1.1999999999999999E-3</v>
      </c>
      <c r="J140" s="89">
        <v>5.4699999999999999E-2</v>
      </c>
      <c r="K140" s="67">
        <f>126570.9*W136</f>
        <v>186736579.82843998</v>
      </c>
      <c r="L140" s="62">
        <f t="shared" si="97"/>
        <v>7.7720287511937329E-4</v>
      </c>
      <c r="M140" s="66">
        <f>0.9995*W136</f>
        <v>1474.6139242000002</v>
      </c>
      <c r="N140" s="66">
        <f>0.9995*W136</f>
        <v>1474.6139242000002</v>
      </c>
      <c r="O140" s="63">
        <v>3</v>
      </c>
      <c r="P140" s="89">
        <v>1.2999999999999999E-3</v>
      </c>
      <c r="Q140" s="89">
        <v>5.6000000000000001E-2</v>
      </c>
      <c r="R140" s="94">
        <f t="shared" si="88"/>
        <v>1.5153442726996022E-2</v>
      </c>
      <c r="S140" s="94">
        <f t="shared" si="89"/>
        <v>1.5187208413110198E-2</v>
      </c>
      <c r="T140" s="94">
        <f t="shared" si="90"/>
        <v>0</v>
      </c>
      <c r="U140" s="95">
        <f t="shared" si="91"/>
        <v>1.0000000000000005E-4</v>
      </c>
      <c r="V140" s="96">
        <f t="shared" si="92"/>
        <v>1.3000000000000025E-3</v>
      </c>
    </row>
    <row r="141" spans="1:24">
      <c r="A141" s="174">
        <v>124</v>
      </c>
      <c r="B141" s="59" t="s">
        <v>201</v>
      </c>
      <c r="C141" s="60" t="s">
        <v>74</v>
      </c>
      <c r="D141" s="61">
        <v>10157231556.440001</v>
      </c>
      <c r="E141" s="62">
        <f t="shared" si="87"/>
        <v>5.2992003658589651E-3</v>
      </c>
      <c r="F141" s="61">
        <v>1936.42</v>
      </c>
      <c r="G141" s="61">
        <v>1936.42</v>
      </c>
      <c r="H141" s="63">
        <v>293</v>
      </c>
      <c r="I141" s="89">
        <v>6.6699999999999995E-2</v>
      </c>
      <c r="J141" s="89">
        <v>6.6600000000000006E-2</v>
      </c>
      <c r="K141" s="61">
        <v>10672700249.845501</v>
      </c>
      <c r="L141" s="62">
        <f t="shared" si="86"/>
        <v>5.4694331113067035E-3</v>
      </c>
      <c r="M141" s="61">
        <v>1964.9293083193099</v>
      </c>
      <c r="N141" s="61">
        <v>1964.9293083193099</v>
      </c>
      <c r="O141" s="63">
        <v>295</v>
      </c>
      <c r="P141" s="89">
        <v>6.4899999999999999E-2</v>
      </c>
      <c r="Q141" s="89">
        <v>6.6699999999999995E-2</v>
      </c>
      <c r="R141" s="95">
        <f t="shared" si="88"/>
        <v>5.0748935922276701E-2</v>
      </c>
      <c r="S141" s="95">
        <f t="shared" si="89"/>
        <v>1.4722688424675362E-2</v>
      </c>
      <c r="T141" s="94">
        <f t="shared" si="90"/>
        <v>6.8259385665529011E-3</v>
      </c>
      <c r="U141" s="95">
        <f t="shared" si="91"/>
        <v>-1.799999999999996E-3</v>
      </c>
      <c r="V141" s="96">
        <f t="shared" si="92"/>
        <v>9.9999999999988987E-5</v>
      </c>
    </row>
    <row r="142" spans="1:24">
      <c r="A142" s="174">
        <v>125</v>
      </c>
      <c r="B142" s="59" t="s">
        <v>202</v>
      </c>
      <c r="C142" s="60" t="s">
        <v>95</v>
      </c>
      <c r="D142" s="61">
        <v>482403368.05716997</v>
      </c>
      <c r="E142" s="62">
        <f t="shared" si="87"/>
        <v>2.5167803749431562E-4</v>
      </c>
      <c r="F142" s="61">
        <v>1484.27646</v>
      </c>
      <c r="G142" s="61">
        <v>1484.27646</v>
      </c>
      <c r="H142" s="63">
        <v>14</v>
      </c>
      <c r="I142" s="89">
        <v>4.0000000000000002E-4</v>
      </c>
      <c r="J142" s="89">
        <v>2.35E-2</v>
      </c>
      <c r="K142" s="61">
        <f>331627.9*W136</f>
        <v>489267752.86963999</v>
      </c>
      <c r="L142" s="62">
        <f t="shared" si="86"/>
        <v>2.5073478924685181E-4</v>
      </c>
      <c r="M142" s="61">
        <f>1.02*W136</f>
        <v>1504.8586319999999</v>
      </c>
      <c r="N142" s="61">
        <f>1.02*W136</f>
        <v>1504.8586319999999</v>
      </c>
      <c r="O142" s="63">
        <v>9</v>
      </c>
      <c r="P142" s="89">
        <v>2.9999999999999997E-4</v>
      </c>
      <c r="Q142" s="89">
        <v>2.3800000000000002E-2</v>
      </c>
      <c r="R142" s="95">
        <f t="shared" si="88"/>
        <v>1.422955407653065E-2</v>
      </c>
      <c r="S142" s="95">
        <f t="shared" si="89"/>
        <v>1.3866804840386607E-2</v>
      </c>
      <c r="T142" s="94">
        <f t="shared" si="90"/>
        <v>-0.35714285714285715</v>
      </c>
      <c r="U142" s="95">
        <f t="shared" si="91"/>
        <v>-1.0000000000000005E-4</v>
      </c>
      <c r="V142" s="96">
        <f t="shared" si="92"/>
        <v>3.0000000000000165E-4</v>
      </c>
    </row>
    <row r="143" spans="1:24">
      <c r="A143" s="174">
        <v>126</v>
      </c>
      <c r="B143" s="59" t="s">
        <v>203</v>
      </c>
      <c r="C143" s="60" t="s">
        <v>41</v>
      </c>
      <c r="D143" s="61">
        <v>103804423648.76401</v>
      </c>
      <c r="E143" s="62">
        <f t="shared" si="87"/>
        <v>5.4156532389826352E-2</v>
      </c>
      <c r="F143" s="61">
        <v>147535</v>
      </c>
      <c r="G143" s="61">
        <v>147535</v>
      </c>
      <c r="H143" s="63">
        <v>2046</v>
      </c>
      <c r="I143" s="89">
        <v>6.0100000000000001E-2</v>
      </c>
      <c r="J143" s="89">
        <v>5.1900000000000002E-2</v>
      </c>
      <c r="K143" s="61">
        <v>105336453497.52901</v>
      </c>
      <c r="L143" s="62">
        <f t="shared" si="86"/>
        <v>5.3981717194328968E-2</v>
      </c>
      <c r="M143" s="61">
        <f>100*1475.35</f>
        <v>147535</v>
      </c>
      <c r="N143" s="61">
        <f>100*1475.35</f>
        <v>147535</v>
      </c>
      <c r="O143" s="63">
        <v>2065</v>
      </c>
      <c r="P143" s="89">
        <v>5.62E-2</v>
      </c>
      <c r="Q143" s="89">
        <v>5.1999999999999998E-2</v>
      </c>
      <c r="R143" s="95">
        <f t="shared" si="88"/>
        <v>1.4758810799324168E-2</v>
      </c>
      <c r="S143" s="95">
        <f t="shared" si="89"/>
        <v>0</v>
      </c>
      <c r="T143" s="95">
        <f t="shared" si="90"/>
        <v>9.2864125122189643E-3</v>
      </c>
      <c r="U143" s="95">
        <f t="shared" si="91"/>
        <v>-3.9000000000000007E-3</v>
      </c>
      <c r="V143" s="96">
        <f t="shared" si="92"/>
        <v>9.9999999999995925E-5</v>
      </c>
    </row>
    <row r="144" spans="1:24" ht="15.6">
      <c r="A144" s="174">
        <v>127</v>
      </c>
      <c r="B144" s="175" t="s">
        <v>204</v>
      </c>
      <c r="C144" s="177" t="s">
        <v>153</v>
      </c>
      <c r="D144" s="61">
        <v>1350644401.89134</v>
      </c>
      <c r="E144" s="62">
        <f t="shared" si="87"/>
        <v>7.0465414408220112E-4</v>
      </c>
      <c r="F144" s="61">
        <v>1615.2420300000001</v>
      </c>
      <c r="G144" s="61">
        <v>1615.2420300000001</v>
      </c>
      <c r="H144" s="63">
        <v>53</v>
      </c>
      <c r="I144" s="89">
        <v>1.9E-3</v>
      </c>
      <c r="J144" s="89">
        <v>9.1700000000000004E-2</v>
      </c>
      <c r="K144" s="61">
        <f>953344.57*W136</f>
        <v>1406518436.7008119</v>
      </c>
      <c r="L144" s="62">
        <f t="shared" si="86"/>
        <v>7.2079776713171765E-4</v>
      </c>
      <c r="M144" s="61">
        <f>1.12*W136</f>
        <v>1652.3937920000001</v>
      </c>
      <c r="N144" s="61">
        <f>1.12*W136</f>
        <v>1652.3937920000001</v>
      </c>
      <c r="O144" s="63">
        <v>53</v>
      </c>
      <c r="P144" s="89">
        <v>1.9E-3</v>
      </c>
      <c r="Q144" s="89">
        <v>9.1700000000000004E-2</v>
      </c>
      <c r="R144" s="95">
        <f t="shared" si="88"/>
        <v>4.1368427345665586E-2</v>
      </c>
      <c r="S144" s="95">
        <f t="shared" si="89"/>
        <v>2.3000740019128874E-2</v>
      </c>
      <c r="T144" s="95">
        <f t="shared" si="90"/>
        <v>0</v>
      </c>
      <c r="U144" s="95">
        <f t="shared" si="91"/>
        <v>0</v>
      </c>
      <c r="V144" s="96">
        <f t="shared" si="92"/>
        <v>0</v>
      </c>
      <c r="X144" s="118"/>
    </row>
    <row r="145" spans="1:24" ht="15.6">
      <c r="A145" s="174">
        <v>128</v>
      </c>
      <c r="B145" s="59" t="s">
        <v>205</v>
      </c>
      <c r="C145" s="60" t="s">
        <v>47</v>
      </c>
      <c r="D145" s="67">
        <v>7771426915.4269695</v>
      </c>
      <c r="E145" s="62">
        <f t="shared" si="87"/>
        <v>4.0544855283294115E-3</v>
      </c>
      <c r="F145" s="61">
        <v>15599.45456</v>
      </c>
      <c r="G145" s="61">
        <v>15599.45456</v>
      </c>
      <c r="H145" s="63">
        <v>157</v>
      </c>
      <c r="I145" s="89">
        <v>7.0599999999999996E-2</v>
      </c>
      <c r="J145" s="89">
        <v>9.0399999999999994E-2</v>
      </c>
      <c r="K145" s="67">
        <f>5596496.27*W136</f>
        <v>8256799726.3385315</v>
      </c>
      <c r="L145" s="62">
        <f t="shared" si="86"/>
        <v>4.2313578344260003E-3</v>
      </c>
      <c r="M145" s="61">
        <f>10.74*W136</f>
        <v>15845.276184</v>
      </c>
      <c r="N145" s="61">
        <f>10.74*W136</f>
        <v>15845.276184</v>
      </c>
      <c r="O145" s="63">
        <v>158</v>
      </c>
      <c r="P145" s="89">
        <v>7.1499999999999994E-2</v>
      </c>
      <c r="Q145" s="89">
        <v>9.1300000000000006E-2</v>
      </c>
      <c r="R145" s="95">
        <f t="shared" si="88"/>
        <v>6.245607353625806E-2</v>
      </c>
      <c r="S145" s="95">
        <f t="shared" si="89"/>
        <v>1.5758347386730692E-2</v>
      </c>
      <c r="T145" s="95">
        <f t="shared" si="90"/>
        <v>6.369426751592357E-3</v>
      </c>
      <c r="U145" s="95">
        <f t="shared" si="91"/>
        <v>8.9999999999999802E-4</v>
      </c>
      <c r="V145" s="96">
        <f t="shared" si="92"/>
        <v>9.000000000000119E-4</v>
      </c>
      <c r="X145" s="118"/>
    </row>
    <row r="146" spans="1:24" ht="15.6">
      <c r="A146" s="174">
        <v>129</v>
      </c>
      <c r="B146" s="177" t="s">
        <v>206</v>
      </c>
      <c r="C146" s="179" t="s">
        <v>51</v>
      </c>
      <c r="D146" s="61">
        <v>27224732724.240002</v>
      </c>
      <c r="E146" s="62">
        <f t="shared" si="87"/>
        <v>1.4203605855695387E-2</v>
      </c>
      <c r="F146" s="61">
        <v>1571.5868399999999</v>
      </c>
      <c r="G146" s="61">
        <v>1571.5868399999999</v>
      </c>
      <c r="H146" s="63">
        <v>460</v>
      </c>
      <c r="I146" s="89">
        <v>5.9999999999999995E-4</v>
      </c>
      <c r="J146" s="89">
        <v>9.8299999999999998E-2</v>
      </c>
      <c r="K146" s="61">
        <v>27459091378.689999</v>
      </c>
      <c r="L146" s="62">
        <f t="shared" si="86"/>
        <v>1.407194618767426E-2</v>
      </c>
      <c r="M146" s="61">
        <f>1.08*W136</f>
        <v>1593.3797280000001</v>
      </c>
      <c r="N146" s="61">
        <f>1.08*W136</f>
        <v>1593.3797280000001</v>
      </c>
      <c r="O146" s="63">
        <v>460</v>
      </c>
      <c r="P146" s="89">
        <v>-7.9999999999999996E-6</v>
      </c>
      <c r="Q146" s="89">
        <v>9.5799999999999996E-2</v>
      </c>
      <c r="R146" s="95">
        <f t="shared" si="88"/>
        <v>8.6082995496713083E-3</v>
      </c>
      <c r="S146" s="95">
        <f t="shared" si="89"/>
        <v>1.3866804840386788E-2</v>
      </c>
      <c r="T146" s="95">
        <f t="shared" si="90"/>
        <v>0</v>
      </c>
      <c r="U146" s="95">
        <f t="shared" si="91"/>
        <v>-6.0799999999999993E-4</v>
      </c>
      <c r="V146" s="96">
        <f t="shared" si="92"/>
        <v>-2.5000000000000022E-3</v>
      </c>
      <c r="X146" s="118"/>
    </row>
    <row r="147" spans="1:24">
      <c r="A147" s="174">
        <v>130</v>
      </c>
      <c r="B147" s="59" t="s">
        <v>207</v>
      </c>
      <c r="C147" s="60" t="s">
        <v>107</v>
      </c>
      <c r="D147" s="67">
        <v>435188370.19069999</v>
      </c>
      <c r="E147" s="62">
        <f t="shared" si="87"/>
        <v>2.2704517049923443E-4</v>
      </c>
      <c r="F147" s="61">
        <v>1809.9164000000001</v>
      </c>
      <c r="G147" s="61">
        <v>1809.9164000000001</v>
      </c>
      <c r="H147" s="63">
        <v>2</v>
      </c>
      <c r="I147" s="89">
        <v>-6.6559999999999996E-3</v>
      </c>
      <c r="J147" s="89">
        <v>0.11892999999999999</v>
      </c>
      <c r="K147" s="67">
        <f>299263.15*1479.19</f>
        <v>442667058.84850007</v>
      </c>
      <c r="L147" s="62">
        <f t="shared" si="86"/>
        <v>2.2685335597107096E-4</v>
      </c>
      <c r="M147" s="61">
        <f>1.25*1479.19</f>
        <v>1848.9875000000002</v>
      </c>
      <c r="N147" s="61">
        <f>1.25*1479.19</f>
        <v>1848.9875000000002</v>
      </c>
      <c r="O147" s="63">
        <v>2</v>
      </c>
      <c r="P147" s="89">
        <v>3.7200000000000002E-3</v>
      </c>
      <c r="Q147" s="89">
        <v>0.12309299999999999</v>
      </c>
      <c r="R147" s="95">
        <f t="shared" si="88"/>
        <v>1.7184946037328407E-2</v>
      </c>
      <c r="S147" s="95">
        <f t="shared" si="89"/>
        <v>2.1587240162031857E-2</v>
      </c>
      <c r="T147" s="95">
        <f t="shared" si="90"/>
        <v>0</v>
      </c>
      <c r="U147" s="95">
        <f t="shared" ref="U147" si="99">P147-I147</f>
        <v>1.0376E-2</v>
      </c>
      <c r="V147" s="96">
        <f t="shared" ref="V147" si="100">Q147-J147</f>
        <v>4.163E-3</v>
      </c>
    </row>
    <row r="148" spans="1:24">
      <c r="A148" s="174">
        <v>131</v>
      </c>
      <c r="B148" s="175" t="s">
        <v>208</v>
      </c>
      <c r="C148" s="177" t="s">
        <v>112</v>
      </c>
      <c r="D148" s="67">
        <v>966707162.94887996</v>
      </c>
      <c r="E148" s="62">
        <f t="shared" si="87"/>
        <v>5.0434755997358241E-4</v>
      </c>
      <c r="F148" s="61">
        <v>1514.1075065</v>
      </c>
      <c r="G148" s="61">
        <v>1514.1075065</v>
      </c>
      <c r="H148" s="63">
        <v>8</v>
      </c>
      <c r="I148" s="89">
        <v>6.7799999999999999E-2</v>
      </c>
      <c r="J148" s="89">
        <v>6.9400000000000003E-2</v>
      </c>
      <c r="K148" s="67">
        <f>665220.88*W136</f>
        <v>981434689.66140795</v>
      </c>
      <c r="L148" s="62">
        <f t="shared" si="86"/>
        <v>5.0295532176094138E-4</v>
      </c>
      <c r="M148" s="61">
        <f>1.0419*W136</f>
        <v>1537.1688320400001</v>
      </c>
      <c r="N148" s="61">
        <f>1.0419*W136</f>
        <v>1537.1688320400001</v>
      </c>
      <c r="O148" s="63">
        <v>8</v>
      </c>
      <c r="P148" s="89">
        <v>6.7799999999999999E-2</v>
      </c>
      <c r="Q148" s="89">
        <v>6.9500000000000006E-2</v>
      </c>
      <c r="R148" s="95">
        <f t="shared" ref="R148" si="101">((K148-D148)/D148)</f>
        <v>1.5234734236997467E-2</v>
      </c>
      <c r="S148" s="95">
        <f t="shared" ref="S148" si="102">((N148-G148)/G148)</f>
        <v>1.5230969690724598E-2</v>
      </c>
      <c r="T148" s="95">
        <f t="shared" si="90"/>
        <v>0</v>
      </c>
      <c r="U148" s="95">
        <f t="shared" si="91"/>
        <v>0</v>
      </c>
      <c r="V148" s="96">
        <f t="shared" si="92"/>
        <v>1.0000000000000286E-4</v>
      </c>
    </row>
    <row r="149" spans="1:24">
      <c r="A149" s="174">
        <v>132</v>
      </c>
      <c r="B149" s="59" t="s">
        <v>209</v>
      </c>
      <c r="C149" s="60" t="s">
        <v>53</v>
      </c>
      <c r="D149" s="67">
        <v>1034901285341.77</v>
      </c>
      <c r="E149" s="62">
        <f t="shared" si="87"/>
        <v>0.53992559285841035</v>
      </c>
      <c r="F149" s="61">
        <v>2418.7199999999998</v>
      </c>
      <c r="G149" s="61">
        <v>2418.7199999999998</v>
      </c>
      <c r="H149" s="63">
        <v>12279</v>
      </c>
      <c r="I149" s="89">
        <v>8.9999999999999998E-4</v>
      </c>
      <c r="J149" s="89">
        <v>5.2400000000000002E-2</v>
      </c>
      <c r="K149" s="67">
        <v>1052587023673.37</v>
      </c>
      <c r="L149" s="62">
        <f t="shared" si="86"/>
        <v>0.5394187211333179</v>
      </c>
      <c r="M149" s="61">
        <v>2453.38</v>
      </c>
      <c r="N149" s="61">
        <v>2453.38</v>
      </c>
      <c r="O149" s="63">
        <v>12329</v>
      </c>
      <c r="P149" s="89">
        <v>8.9999999999999998E-4</v>
      </c>
      <c r="Q149" s="89">
        <v>5.33E-2</v>
      </c>
      <c r="R149" s="95">
        <f t="shared" si="88"/>
        <v>1.7089299802888317E-2</v>
      </c>
      <c r="S149" s="95">
        <f t="shared" si="89"/>
        <v>1.4329893497387176E-2</v>
      </c>
      <c r="T149" s="95">
        <f t="shared" si="90"/>
        <v>4.0719928332926137E-3</v>
      </c>
      <c r="U149" s="95">
        <f t="shared" si="91"/>
        <v>0</v>
      </c>
      <c r="V149" s="96">
        <f t="shared" si="92"/>
        <v>8.9999999999999802E-4</v>
      </c>
    </row>
    <row r="150" spans="1:24">
      <c r="A150" s="174">
        <v>133</v>
      </c>
      <c r="B150" s="59" t="s">
        <v>210</v>
      </c>
      <c r="C150" s="59" t="s">
        <v>118</v>
      </c>
      <c r="D150" s="67">
        <v>532491950.64881998</v>
      </c>
      <c r="E150" s="62">
        <f t="shared" si="87"/>
        <v>2.7781010248861403E-4</v>
      </c>
      <c r="F150" s="61">
        <v>153826.33783</v>
      </c>
      <c r="G150" s="61">
        <v>153826.33783</v>
      </c>
      <c r="H150" s="63">
        <v>29</v>
      </c>
      <c r="I150" s="89">
        <v>0</v>
      </c>
      <c r="J150" s="89">
        <v>7.6799999999999993E-2</v>
      </c>
      <c r="K150" s="67">
        <f>421469.83*W136</f>
        <v>621816188.04222798</v>
      </c>
      <c r="L150" s="62">
        <f t="shared" si="86"/>
        <v>3.1866181644836413E-4</v>
      </c>
      <c r="M150" s="61">
        <f>105.82*W136</f>
        <v>156121.70631199999</v>
      </c>
      <c r="N150" s="61">
        <f>105.82*W136</f>
        <v>156121.70631199999</v>
      </c>
      <c r="O150" s="63">
        <v>29</v>
      </c>
      <c r="P150" s="89">
        <v>0</v>
      </c>
      <c r="Q150" s="89">
        <v>7.6799999999999993E-2</v>
      </c>
      <c r="R150" s="95">
        <f t="shared" ref="R150" si="103">((K150-D150)/D150)</f>
        <v>0.16774758244621354</v>
      </c>
      <c r="S150" s="95">
        <f t="shared" ref="S150" si="104">((N150-G150)/G150)</f>
        <v>1.4921817124299609E-2</v>
      </c>
      <c r="T150" s="95">
        <f t="shared" ref="T150" si="105">((O150-H150)/H150)</f>
        <v>0</v>
      </c>
      <c r="U150" s="95">
        <f t="shared" ref="U150" si="106">P150-I150</f>
        <v>0</v>
      </c>
      <c r="V150" s="96">
        <f t="shared" ref="V150" si="107">Q150-J150</f>
        <v>0</v>
      </c>
    </row>
    <row r="151" spans="1:24" ht="16.5" customHeight="1">
      <c r="A151" s="174">
        <v>134</v>
      </c>
      <c r="B151" s="59" t="s">
        <v>211</v>
      </c>
      <c r="C151" s="60" t="s">
        <v>56</v>
      </c>
      <c r="D151" s="67">
        <v>160215671663.229</v>
      </c>
      <c r="E151" s="62">
        <f t="shared" si="87"/>
        <v>8.3587239414249753E-2</v>
      </c>
      <c r="F151" s="61">
        <v>1797.5097149999999</v>
      </c>
      <c r="G151" s="61">
        <v>1797.5097149999999</v>
      </c>
      <c r="H151" s="63">
        <v>860</v>
      </c>
      <c r="I151" s="89">
        <v>8.0000000000000004E-4</v>
      </c>
      <c r="J151" s="89">
        <v>9.6600000000000005E-2</v>
      </c>
      <c r="K151" s="67">
        <f>109972126.23*1479.19</f>
        <v>162669669398.15372</v>
      </c>
      <c r="L151" s="62">
        <f t="shared" si="86"/>
        <v>8.3363240340649153E-2</v>
      </c>
      <c r="M151" s="61">
        <f>1.2338*1479.19</f>
        <v>1825.0246220000001</v>
      </c>
      <c r="N151" s="61">
        <f>1.2338*1479.19</f>
        <v>1825.0246220000001</v>
      </c>
      <c r="O151" s="63">
        <v>865</v>
      </c>
      <c r="P151" s="89">
        <v>1.9E-3</v>
      </c>
      <c r="Q151" s="89">
        <v>9.6699999999999994E-2</v>
      </c>
      <c r="R151" s="95">
        <f t="shared" si="88"/>
        <v>1.5316839541658449E-2</v>
      </c>
      <c r="S151" s="95">
        <f t="shared" si="89"/>
        <v>1.5307236879106505E-2</v>
      </c>
      <c r="T151" s="95">
        <f t="shared" si="90"/>
        <v>5.8139534883720929E-3</v>
      </c>
      <c r="U151" s="95">
        <f t="shared" si="91"/>
        <v>1.0999999999999998E-3</v>
      </c>
      <c r="V151" s="96">
        <f t="shared" si="92"/>
        <v>9.9999999999988987E-5</v>
      </c>
    </row>
    <row r="152" spans="1:24" ht="16.5" customHeight="1">
      <c r="A152" s="174">
        <v>135</v>
      </c>
      <c r="B152" s="59" t="s">
        <v>212</v>
      </c>
      <c r="C152" s="60" t="s">
        <v>114</v>
      </c>
      <c r="D152" s="61">
        <v>1973195577.56617</v>
      </c>
      <c r="E152" s="62">
        <f t="shared" si="87"/>
        <v>1.0294496751844043E-3</v>
      </c>
      <c r="F152" s="61">
        <v>157580.68416999999</v>
      </c>
      <c r="G152" s="61">
        <v>157580.68416999999</v>
      </c>
      <c r="H152" s="63">
        <v>31</v>
      </c>
      <c r="I152" s="89">
        <v>6.9999999999999999E-4</v>
      </c>
      <c r="J152" s="89">
        <v>6.6400000000000001E-2</v>
      </c>
      <c r="K152" s="61">
        <f>1357336.65243957*W136</f>
        <v>2002548801.9153636</v>
      </c>
      <c r="L152" s="62">
        <f t="shared" si="86"/>
        <v>1.0262451364510131E-3</v>
      </c>
      <c r="M152" s="61">
        <f>108.4*W136</f>
        <v>159928.11344000002</v>
      </c>
      <c r="N152" s="61">
        <f>108.4*W136</f>
        <v>159928.11344000002</v>
      </c>
      <c r="O152" s="63">
        <v>31</v>
      </c>
      <c r="P152" s="89">
        <v>1E-3</v>
      </c>
      <c r="Q152" s="89">
        <v>6.6100000000000006E-2</v>
      </c>
      <c r="R152" s="95">
        <f t="shared" si="88"/>
        <v>1.4875983244093414E-2</v>
      </c>
      <c r="S152" s="95">
        <f t="shared" si="89"/>
        <v>1.489668154675345E-2</v>
      </c>
      <c r="T152" s="95">
        <f t="shared" si="90"/>
        <v>0</v>
      </c>
      <c r="U152" s="95">
        <f t="shared" si="91"/>
        <v>3.0000000000000003E-4</v>
      </c>
      <c r="V152" s="96">
        <f t="shared" si="92"/>
        <v>-2.9999999999999472E-4</v>
      </c>
    </row>
    <row r="153" spans="1:24" ht="16.5" customHeight="1">
      <c r="A153" s="174">
        <v>136</v>
      </c>
      <c r="B153" s="59" t="s">
        <v>213</v>
      </c>
      <c r="C153" s="60" t="s">
        <v>125</v>
      </c>
      <c r="D153" s="61">
        <v>2893049246.2045298</v>
      </c>
      <c r="E153" s="62">
        <f t="shared" si="87"/>
        <v>1.5093529707132466E-3</v>
      </c>
      <c r="F153" s="61">
        <v>1571.5868399999999</v>
      </c>
      <c r="G153" s="61">
        <v>1571.5868399999999</v>
      </c>
      <c r="H153" s="63">
        <v>31</v>
      </c>
      <c r="I153" s="89">
        <v>9.0300000000000005E-2</v>
      </c>
      <c r="J153" s="89">
        <v>8.5500000000000007E-2</v>
      </c>
      <c r="K153" s="61">
        <f>2018411.22*W136</f>
        <v>2977866222.8849521</v>
      </c>
      <c r="L153" s="62">
        <f t="shared" si="86"/>
        <v>1.5260655447270303E-3</v>
      </c>
      <c r="M153" s="61">
        <f>1.08*W136</f>
        <v>1593.3797280000001</v>
      </c>
      <c r="N153" s="61">
        <f>1.08*W136</f>
        <v>1593.3797280000001</v>
      </c>
      <c r="O153" s="63">
        <v>32</v>
      </c>
      <c r="P153" s="89">
        <v>8.5800000000000001E-2</v>
      </c>
      <c r="Q153" s="89">
        <v>8.9599999999999999E-2</v>
      </c>
      <c r="R153" s="95">
        <f t="shared" ref="R153" si="108">((K153-D153)/D153)</f>
        <v>2.9317501868209125E-2</v>
      </c>
      <c r="S153" s="95">
        <f t="shared" ref="S153" si="109">((N153-G153)/G153)</f>
        <v>1.3866804840386788E-2</v>
      </c>
      <c r="T153" s="95">
        <f t="shared" si="90"/>
        <v>3.2258064516129031E-2</v>
      </c>
      <c r="U153" s="95">
        <f t="shared" si="91"/>
        <v>-4.500000000000004E-3</v>
      </c>
      <c r="V153" s="96">
        <f t="shared" si="92"/>
        <v>4.0999999999999925E-3</v>
      </c>
    </row>
    <row r="154" spans="1:24">
      <c r="A154" s="174">
        <v>137</v>
      </c>
      <c r="B154" s="175" t="s">
        <v>214</v>
      </c>
      <c r="C154" s="177" t="s">
        <v>127</v>
      </c>
      <c r="D154" s="61">
        <v>1659875823.8425</v>
      </c>
      <c r="E154" s="62">
        <f t="shared" si="87"/>
        <v>8.6598543354165049E-4</v>
      </c>
      <c r="F154" s="61">
        <v>2037.2421999999999</v>
      </c>
      <c r="G154" s="61">
        <v>2037.2421999999999</v>
      </c>
      <c r="H154" s="63">
        <v>115</v>
      </c>
      <c r="I154" s="89">
        <v>-6.6E-3</v>
      </c>
      <c r="J154" s="89">
        <v>0.1273</v>
      </c>
      <c r="K154" s="61">
        <f>1149640.62*W136</f>
        <v>1696124128.1419921</v>
      </c>
      <c r="L154" s="62">
        <f t="shared" si="86"/>
        <v>8.6921184425472065E-4</v>
      </c>
      <c r="M154" s="61">
        <f>1.41*W136</f>
        <v>2080.2457559999998</v>
      </c>
      <c r="N154" s="61">
        <f>1.41*W136</f>
        <v>2080.2457559999998</v>
      </c>
      <c r="O154" s="63">
        <v>117</v>
      </c>
      <c r="P154" s="89">
        <v>4.4000000000000003E-3</v>
      </c>
      <c r="Q154" s="89">
        <v>0.13270000000000001</v>
      </c>
      <c r="R154" s="95">
        <f t="shared" si="88"/>
        <v>2.183796147809404E-2</v>
      </c>
      <c r="S154" s="95">
        <f t="shared" si="89"/>
        <v>2.1108710589246526E-2</v>
      </c>
      <c r="T154" s="95">
        <f t="shared" si="90"/>
        <v>1.7391304347826087E-2</v>
      </c>
      <c r="U154" s="95">
        <f t="shared" si="91"/>
        <v>1.0999999999999999E-2</v>
      </c>
      <c r="V154" s="96">
        <f t="shared" si="92"/>
        <v>5.4000000000000159E-3</v>
      </c>
    </row>
    <row r="155" spans="1:24">
      <c r="A155" s="71"/>
      <c r="B155" s="72"/>
      <c r="C155" s="111" t="s">
        <v>59</v>
      </c>
      <c r="D155" s="98">
        <f>SUM(D117:D154)</f>
        <v>1916747972369.522</v>
      </c>
      <c r="E155" s="75">
        <f>(D155/$D$229)</f>
        <v>0.27676027267029957</v>
      </c>
      <c r="F155" s="76"/>
      <c r="G155" s="83"/>
      <c r="H155" s="78">
        <f>SUM(H117:H154)</f>
        <v>27470</v>
      </c>
      <c r="I155" s="115"/>
      <c r="J155" s="115"/>
      <c r="K155" s="98">
        <f>SUM(K117:K154)</f>
        <v>1951335729434.6147</v>
      </c>
      <c r="L155" s="75">
        <f>(K155/$K$229)</f>
        <v>0.27795965887249002</v>
      </c>
      <c r="M155" s="76"/>
      <c r="N155" s="83"/>
      <c r="O155" s="78">
        <f>SUM(O117:O154)</f>
        <v>27585</v>
      </c>
      <c r="P155" s="115"/>
      <c r="Q155" s="115"/>
      <c r="R155" s="95">
        <f t="shared" si="88"/>
        <v>1.8045020818430658E-2</v>
      </c>
      <c r="S155" s="95" t="e">
        <f t="shared" si="89"/>
        <v>#DIV/0!</v>
      </c>
      <c r="T155" s="95">
        <f t="shared" si="90"/>
        <v>4.1863851474335636E-3</v>
      </c>
      <c r="U155" s="95">
        <f t="shared" si="91"/>
        <v>0</v>
      </c>
      <c r="V155" s="96">
        <f t="shared" si="92"/>
        <v>0</v>
      </c>
    </row>
    <row r="156" spans="1:24" ht="6" customHeight="1">
      <c r="A156" s="71"/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  <c r="R156" s="185"/>
      <c r="S156" s="185"/>
      <c r="T156" s="185"/>
      <c r="U156" s="185"/>
      <c r="V156" s="185"/>
    </row>
    <row r="157" spans="1:24">
      <c r="A157" s="187" t="s">
        <v>215</v>
      </c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L157" s="187"/>
      <c r="M157" s="187"/>
      <c r="N157" s="187"/>
      <c r="O157" s="187"/>
      <c r="P157" s="187"/>
      <c r="Q157" s="187"/>
      <c r="R157" s="187"/>
      <c r="S157" s="187"/>
      <c r="T157" s="187"/>
      <c r="U157" s="187"/>
      <c r="V157" s="187"/>
    </row>
    <row r="158" spans="1:24">
      <c r="A158" s="80">
        <v>138</v>
      </c>
      <c r="B158" s="59" t="s">
        <v>216</v>
      </c>
      <c r="C158" s="60" t="s">
        <v>217</v>
      </c>
      <c r="D158" s="112">
        <v>2548778987.4818602</v>
      </c>
      <c r="E158" s="62">
        <f>(D158/$D$164)</f>
        <v>6.9266129801894049E-3</v>
      </c>
      <c r="F158" s="99">
        <v>120.112110625912</v>
      </c>
      <c r="G158" s="99">
        <v>120.112110625912</v>
      </c>
      <c r="H158" s="63">
        <v>8</v>
      </c>
      <c r="I158" s="89">
        <v>2E-3</v>
      </c>
      <c r="J158" s="89">
        <v>0.13917362835470501</v>
      </c>
      <c r="K158" s="112">
        <v>2553876545.45682</v>
      </c>
      <c r="L158" s="62">
        <f>(K158/$K$164)</f>
        <v>6.9328145009254607E-3</v>
      </c>
      <c r="M158" s="99">
        <v>120.35</v>
      </c>
      <c r="N158" s="99">
        <v>120.35</v>
      </c>
      <c r="O158" s="63">
        <v>8</v>
      </c>
      <c r="P158" s="89">
        <v>2E-3</v>
      </c>
      <c r="Q158" s="89">
        <v>0.14149999999999999</v>
      </c>
      <c r="R158" s="95">
        <f t="shared" ref="R158:R164" si="110">((K158-D158)/D158)</f>
        <v>1.9999999999984817E-3</v>
      </c>
      <c r="S158" s="95">
        <f t="shared" ref="S158:T164" si="111">((N158-G158)/G158)</f>
        <v>1.9805611011940584E-3</v>
      </c>
      <c r="T158" s="95">
        <f t="shared" si="111"/>
        <v>0</v>
      </c>
      <c r="U158" s="95">
        <f t="shared" ref="U158:V164" si="112">P158-I158</f>
        <v>0</v>
      </c>
      <c r="V158" s="96">
        <f t="shared" si="112"/>
        <v>2.3263716452949779E-3</v>
      </c>
    </row>
    <row r="159" spans="1:24">
      <c r="A159" s="80">
        <v>139</v>
      </c>
      <c r="B159" s="59" t="s">
        <v>218</v>
      </c>
      <c r="C159" s="60" t="s">
        <v>27</v>
      </c>
      <c r="D159" s="112">
        <v>262416390080.85001</v>
      </c>
      <c r="E159" s="62">
        <v>0</v>
      </c>
      <c r="F159" s="99">
        <v>104.9666</v>
      </c>
      <c r="G159" s="99">
        <v>104.9666</v>
      </c>
      <c r="H159" s="63">
        <v>45</v>
      </c>
      <c r="I159" s="89">
        <v>5.5100000000000003E-2</v>
      </c>
      <c r="J159" s="89">
        <v>8.7599999999999997E-2</v>
      </c>
      <c r="K159" s="112">
        <v>262794469780.32999</v>
      </c>
      <c r="L159" s="62">
        <f t="shared" ref="L159:L163" si="113">(K159/$K$164)</f>
        <v>0.71338816831108787</v>
      </c>
      <c r="M159" s="99">
        <v>105.1178</v>
      </c>
      <c r="N159" s="99">
        <v>105.1178</v>
      </c>
      <c r="O159" s="63">
        <v>45</v>
      </c>
      <c r="P159" s="89">
        <v>7.51E-2</v>
      </c>
      <c r="Q159" s="89">
        <v>8.7300000000000003E-2</v>
      </c>
      <c r="R159" s="95">
        <f t="shared" ref="R159" si="114">((K159-D159)/D159)</f>
        <v>1.4407625200678006E-3</v>
      </c>
      <c r="S159" s="95">
        <f t="shared" ref="S159" si="115">((N159-G159)/G159)</f>
        <v>1.4404582028950436E-3</v>
      </c>
      <c r="T159" s="95">
        <f t="shared" ref="T159" si="116">((O159-H159)/H159)</f>
        <v>0</v>
      </c>
      <c r="U159" s="95">
        <f t="shared" ref="U159" si="117">P159-I159</f>
        <v>1.9999999999999997E-2</v>
      </c>
      <c r="V159" s="96">
        <f t="shared" ref="V159" si="118">Q159-J159</f>
        <v>-2.9999999999999472E-4</v>
      </c>
    </row>
    <row r="160" spans="1:24">
      <c r="A160" s="174">
        <v>140</v>
      </c>
      <c r="B160" s="175" t="s">
        <v>219</v>
      </c>
      <c r="C160" s="177" t="s">
        <v>51</v>
      </c>
      <c r="D160" s="67">
        <v>57062508820</v>
      </c>
      <c r="E160" s="62">
        <f>(D160/$D$164)</f>
        <v>0.155074220329038</v>
      </c>
      <c r="F160" s="99">
        <v>102.5</v>
      </c>
      <c r="G160" s="99">
        <v>102.5</v>
      </c>
      <c r="H160" s="63">
        <v>645</v>
      </c>
      <c r="I160" s="89">
        <v>8.3900000000000002E-2</v>
      </c>
      <c r="J160" s="89">
        <v>8.3900000000000002E-2</v>
      </c>
      <c r="K160" s="67">
        <v>57062508820</v>
      </c>
      <c r="L160" s="62">
        <f t="shared" si="113"/>
        <v>0.15490325454855536</v>
      </c>
      <c r="M160" s="99">
        <v>102.5</v>
      </c>
      <c r="N160" s="99">
        <v>102.5</v>
      </c>
      <c r="O160" s="63">
        <v>645</v>
      </c>
      <c r="P160" s="89">
        <v>8.3900000000000002E-2</v>
      </c>
      <c r="Q160" s="89">
        <v>8.3900000000000002E-2</v>
      </c>
      <c r="R160" s="95">
        <f t="shared" si="110"/>
        <v>0</v>
      </c>
      <c r="S160" s="95">
        <f t="shared" si="111"/>
        <v>0</v>
      </c>
      <c r="T160" s="95">
        <f t="shared" si="111"/>
        <v>0</v>
      </c>
      <c r="U160" s="95">
        <f t="shared" si="112"/>
        <v>0</v>
      </c>
      <c r="V160" s="96">
        <f t="shared" si="112"/>
        <v>0</v>
      </c>
    </row>
    <row r="161" spans="1:22" ht="15.75" customHeight="1">
      <c r="A161" s="174">
        <v>141</v>
      </c>
      <c r="B161" s="175" t="s">
        <v>220</v>
      </c>
      <c r="C161" s="177" t="s">
        <v>163</v>
      </c>
      <c r="D161" s="67">
        <v>2605774827.5149498</v>
      </c>
      <c r="E161" s="62">
        <f>(D161/$D$164)</f>
        <v>7.0815060200837892E-3</v>
      </c>
      <c r="F161" s="99">
        <v>381.11</v>
      </c>
      <c r="G161" s="99">
        <v>381.11</v>
      </c>
      <c r="H161" s="63">
        <v>3871</v>
      </c>
      <c r="I161" s="89">
        <v>5.3800000000000001E-2</v>
      </c>
      <c r="J161" s="89">
        <v>9.1700000000000004E-2</v>
      </c>
      <c r="K161" s="67">
        <v>2610774827.5149498</v>
      </c>
      <c r="L161" s="62">
        <f t="shared" si="113"/>
        <v>7.0872719415688143E-3</v>
      </c>
      <c r="M161" s="99">
        <v>418.75</v>
      </c>
      <c r="N161" s="99">
        <v>418.75</v>
      </c>
      <c r="O161" s="63">
        <v>3871</v>
      </c>
      <c r="P161" s="89">
        <v>0.1202</v>
      </c>
      <c r="Q161" s="89">
        <v>9.35E-2</v>
      </c>
      <c r="R161" s="95">
        <f t="shared" si="110"/>
        <v>1.9188150669059735E-3</v>
      </c>
      <c r="S161" s="95">
        <f t="shared" si="111"/>
        <v>9.8764136338589867E-2</v>
      </c>
      <c r="T161" s="95">
        <f t="shared" si="111"/>
        <v>0</v>
      </c>
      <c r="U161" s="95">
        <f t="shared" si="112"/>
        <v>6.6400000000000001E-2</v>
      </c>
      <c r="V161" s="96">
        <f t="shared" si="112"/>
        <v>1.799999999999996E-3</v>
      </c>
    </row>
    <row r="162" spans="1:22">
      <c r="A162" s="174">
        <v>142</v>
      </c>
      <c r="B162" s="175" t="s">
        <v>221</v>
      </c>
      <c r="C162" s="177" t="s">
        <v>163</v>
      </c>
      <c r="D162" s="67">
        <v>10353809921.799999</v>
      </c>
      <c r="E162" s="62">
        <f>(D162/$D$164)</f>
        <v>2.8137721846808083E-2</v>
      </c>
      <c r="F162" s="99">
        <v>51.85</v>
      </c>
      <c r="G162" s="99">
        <v>51.85</v>
      </c>
      <c r="H162" s="63">
        <v>5970</v>
      </c>
      <c r="I162" s="89">
        <v>8.6999999999999994E-3</v>
      </c>
      <c r="J162" s="89">
        <v>0.14319999999999999</v>
      </c>
      <c r="K162" s="67">
        <v>10363602437.059999</v>
      </c>
      <c r="L162" s="62">
        <f t="shared" si="113"/>
        <v>2.81332836488477E-2</v>
      </c>
      <c r="M162" s="99">
        <v>51.8</v>
      </c>
      <c r="N162" s="99">
        <v>51.8</v>
      </c>
      <c r="O162" s="63">
        <v>5970</v>
      </c>
      <c r="P162" s="89">
        <v>2.1700000000000001E-2</v>
      </c>
      <c r="Q162" s="89">
        <v>0.14180000000000001</v>
      </c>
      <c r="R162" s="95">
        <f t="shared" si="110"/>
        <v>9.4578858738579292E-4</v>
      </c>
      <c r="S162" s="95">
        <f t="shared" si="111"/>
        <v>-9.643201542913069E-4</v>
      </c>
      <c r="T162" s="95">
        <f t="shared" si="111"/>
        <v>0</v>
      </c>
      <c r="U162" s="95">
        <f t="shared" si="112"/>
        <v>1.3000000000000001E-2</v>
      </c>
      <c r="V162" s="96">
        <f t="shared" si="112"/>
        <v>-1.3999999999999846E-3</v>
      </c>
    </row>
    <row r="163" spans="1:22">
      <c r="A163" s="80">
        <v>143</v>
      </c>
      <c r="B163" s="59" t="s">
        <v>222</v>
      </c>
      <c r="C163" s="60" t="s">
        <v>53</v>
      </c>
      <c r="D163" s="67">
        <v>32981756964.220001</v>
      </c>
      <c r="E163" s="62">
        <f>(D163/$D$164)</f>
        <v>8.9631885314436055E-2</v>
      </c>
      <c r="F163" s="99">
        <v>7.15</v>
      </c>
      <c r="G163" s="99">
        <v>7.15</v>
      </c>
      <c r="H163" s="63">
        <v>210195</v>
      </c>
      <c r="I163" s="89">
        <v>-6.8999999999999999E-3</v>
      </c>
      <c r="J163" s="89">
        <v>0.43</v>
      </c>
      <c r="K163" s="67">
        <v>32989912361.779999</v>
      </c>
      <c r="L163" s="62">
        <f t="shared" si="113"/>
        <v>8.9555207049014915E-2</v>
      </c>
      <c r="M163" s="99">
        <v>7.3</v>
      </c>
      <c r="N163" s="99">
        <v>7.3</v>
      </c>
      <c r="O163" s="63">
        <v>210195</v>
      </c>
      <c r="P163" s="89">
        <v>2.1000000000000001E-2</v>
      </c>
      <c r="Q163" s="89">
        <v>0.46</v>
      </c>
      <c r="R163" s="95">
        <f t="shared" si="110"/>
        <v>2.4726995498890121E-4</v>
      </c>
      <c r="S163" s="95">
        <f t="shared" si="111"/>
        <v>2.0979020979020904E-2</v>
      </c>
      <c r="T163" s="95">
        <f t="shared" si="111"/>
        <v>0</v>
      </c>
      <c r="U163" s="95">
        <f t="shared" si="112"/>
        <v>2.7900000000000001E-2</v>
      </c>
      <c r="V163" s="96">
        <f t="shared" si="112"/>
        <v>3.0000000000000027E-2</v>
      </c>
    </row>
    <row r="164" spans="1:22">
      <c r="A164" s="71"/>
      <c r="B164" s="113"/>
      <c r="C164" s="73" t="s">
        <v>59</v>
      </c>
      <c r="D164" s="74">
        <f>SUM(D158:D163)</f>
        <v>367969019601.86682</v>
      </c>
      <c r="E164" s="75">
        <f>(D164/$D$229)</f>
        <v>5.3131245039659443E-2</v>
      </c>
      <c r="F164" s="76"/>
      <c r="G164" s="114"/>
      <c r="H164" s="78">
        <f>SUM(H158:H163)</f>
        <v>220734</v>
      </c>
      <c r="I164" s="116"/>
      <c r="J164" s="116"/>
      <c r="K164" s="74">
        <f>SUM(K158:K163)</f>
        <v>368375144772.14172</v>
      </c>
      <c r="L164" s="75">
        <f>(K164/$K$229)</f>
        <v>5.2473507266551402E-2</v>
      </c>
      <c r="M164" s="76"/>
      <c r="N164" s="114"/>
      <c r="O164" s="78">
        <f>SUM(O158:O163)</f>
        <v>220734</v>
      </c>
      <c r="P164" s="116"/>
      <c r="Q164" s="116"/>
      <c r="R164" s="95">
        <f t="shared" si="110"/>
        <v>1.1036939216087253E-3</v>
      </c>
      <c r="S164" s="95" t="e">
        <f t="shared" si="111"/>
        <v>#DIV/0!</v>
      </c>
      <c r="T164" s="95">
        <f t="shared" si="111"/>
        <v>0</v>
      </c>
      <c r="U164" s="95">
        <f t="shared" si="112"/>
        <v>0</v>
      </c>
      <c r="V164" s="96">
        <f t="shared" si="112"/>
        <v>0</v>
      </c>
    </row>
    <row r="165" spans="1:22" ht="5.25" customHeight="1">
      <c r="A165" s="71"/>
      <c r="B165" s="185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  <c r="R165" s="185"/>
      <c r="S165" s="185"/>
      <c r="T165" s="185"/>
      <c r="U165" s="185"/>
      <c r="V165" s="185"/>
    </row>
    <row r="166" spans="1:22" ht="15" customHeight="1">
      <c r="A166" s="187" t="s">
        <v>223</v>
      </c>
      <c r="B166" s="187"/>
      <c r="C166" s="187"/>
      <c r="D166" s="187"/>
      <c r="E166" s="187"/>
      <c r="F166" s="187"/>
      <c r="G166" s="187"/>
      <c r="H166" s="187"/>
      <c r="I166" s="187"/>
      <c r="J166" s="187"/>
      <c r="K166" s="187"/>
      <c r="L166" s="187"/>
      <c r="M166" s="187"/>
      <c r="N166" s="187"/>
      <c r="O166" s="187"/>
      <c r="P166" s="187"/>
      <c r="Q166" s="187"/>
      <c r="R166" s="187"/>
      <c r="S166" s="187"/>
      <c r="T166" s="187"/>
      <c r="U166" s="187"/>
      <c r="V166" s="187"/>
    </row>
    <row r="167" spans="1:22">
      <c r="A167" s="82">
        <v>144</v>
      </c>
      <c r="B167" s="59" t="s">
        <v>224</v>
      </c>
      <c r="C167" s="60" t="s">
        <v>63</v>
      </c>
      <c r="D167" s="61">
        <v>577678319.82000005</v>
      </c>
      <c r="E167" s="62">
        <f t="shared" ref="E167:E194" si="119">(D167/$D$195)</f>
        <v>7.4072036614138944E-3</v>
      </c>
      <c r="F167" s="61">
        <v>7.58</v>
      </c>
      <c r="G167" s="61">
        <v>7.68</v>
      </c>
      <c r="H167" s="65">
        <v>11918</v>
      </c>
      <c r="I167" s="90">
        <v>9.0489999999999998E-3</v>
      </c>
      <c r="J167" s="90">
        <v>0.32589499999999999</v>
      </c>
      <c r="K167" s="61">
        <v>579120344.80999994</v>
      </c>
      <c r="L167" s="93">
        <f t="shared" ref="L167:L194" si="120">(K167/$K$195)</f>
        <v>7.3257692254635274E-3</v>
      </c>
      <c r="M167" s="61">
        <v>7.55</v>
      </c>
      <c r="N167" s="61">
        <v>7.65</v>
      </c>
      <c r="O167" s="65">
        <v>11919</v>
      </c>
      <c r="P167" s="90">
        <v>-5.1110000000000001E-3</v>
      </c>
      <c r="Q167" s="90">
        <v>0.32078400000000001</v>
      </c>
      <c r="R167" s="95">
        <f>((K167-D167)/D167)</f>
        <v>2.4962421827587605E-3</v>
      </c>
      <c r="S167" s="95">
        <f>((N167-G167)/G167)</f>
        <v>-3.9062499999999167E-3</v>
      </c>
      <c r="T167" s="95">
        <f>((O167-H167)/H167)</f>
        <v>8.39066957543212E-5</v>
      </c>
      <c r="U167" s="95">
        <f>P167-I167</f>
        <v>-1.4159999999999999E-2</v>
      </c>
      <c r="V167" s="96">
        <f>Q167-J167</f>
        <v>-5.1109999999999767E-3</v>
      </c>
    </row>
    <row r="168" spans="1:22">
      <c r="A168" s="82">
        <v>145</v>
      </c>
      <c r="B168" s="59" t="s">
        <v>225</v>
      </c>
      <c r="C168" s="59" t="s">
        <v>226</v>
      </c>
      <c r="D168" s="61">
        <v>1065480926.8019</v>
      </c>
      <c r="E168" s="62">
        <f t="shared" si="119"/>
        <v>1.3661987911599073E-2</v>
      </c>
      <c r="F168" s="61">
        <v>2167.2882541980498</v>
      </c>
      <c r="G168" s="61">
        <v>2192.0849985923901</v>
      </c>
      <c r="H168" s="65">
        <v>155</v>
      </c>
      <c r="I168" s="90">
        <v>2.5100000000000001E-2</v>
      </c>
      <c r="J168" s="90">
        <v>0.43919999999999998</v>
      </c>
      <c r="K168" s="61">
        <v>1079363861.2353401</v>
      </c>
      <c r="L168" s="93">
        <f t="shared" si="120"/>
        <v>1.3653760619149989E-2</v>
      </c>
      <c r="M168" s="61">
        <v>2185.3209172378902</v>
      </c>
      <c r="N168" s="61">
        <v>2210.21158101643</v>
      </c>
      <c r="O168" s="65">
        <v>157</v>
      </c>
      <c r="P168" s="90">
        <v>8.3000000000000001E-3</v>
      </c>
      <c r="Q168" s="90">
        <v>0.4511</v>
      </c>
      <c r="R168" s="95">
        <f>((K168-D168)/D168)</f>
        <v>1.3029735290626445E-2</v>
      </c>
      <c r="S168" s="95">
        <f>((N168-G168)/G168)</f>
        <v>8.2691056394618035E-3</v>
      </c>
      <c r="T168" s="95">
        <f>((O168-H168)/H168)</f>
        <v>1.2903225806451613E-2</v>
      </c>
      <c r="U168" s="95">
        <f>P168-I168</f>
        <v>-1.6800000000000002E-2</v>
      </c>
      <c r="V168" s="96">
        <f>Q168-J168</f>
        <v>1.1900000000000022E-2</v>
      </c>
    </row>
    <row r="169" spans="1:22">
      <c r="A169" s="82">
        <v>146</v>
      </c>
      <c r="B169" s="59" t="s">
        <v>227</v>
      </c>
      <c r="C169" s="60" t="s">
        <v>27</v>
      </c>
      <c r="D169" s="61">
        <v>9196089437.3700008</v>
      </c>
      <c r="E169" s="62">
        <f t="shared" si="119"/>
        <v>0.11791563749943311</v>
      </c>
      <c r="F169" s="61">
        <v>1012.5626</v>
      </c>
      <c r="G169" s="61">
        <v>1043.0922</v>
      </c>
      <c r="H169" s="65">
        <v>21915</v>
      </c>
      <c r="I169" s="90">
        <v>0.60709999999999997</v>
      </c>
      <c r="J169" s="90">
        <v>0.35320000000000001</v>
      </c>
      <c r="K169" s="61">
        <v>9259982518.4200001</v>
      </c>
      <c r="L169" s="93">
        <f t="shared" si="120"/>
        <v>0.1171371297342827</v>
      </c>
      <c r="M169" s="61">
        <v>1017.8439</v>
      </c>
      <c r="N169" s="61">
        <v>1048.5327</v>
      </c>
      <c r="O169" s="65">
        <v>21964</v>
      </c>
      <c r="P169" s="90">
        <v>0.27200000000000002</v>
      </c>
      <c r="Q169" s="90">
        <v>0.35299999999999998</v>
      </c>
      <c r="R169" s="95">
        <f t="shared" ref="R169:R194" si="121">((K169-D169)/D169)</f>
        <v>6.9478533767144491E-3</v>
      </c>
      <c r="S169" s="95">
        <f t="shared" ref="S169:T194" si="122">((N169-G169)/G169)</f>
        <v>5.2157421942182376E-3</v>
      </c>
      <c r="T169" s="95">
        <f t="shared" si="122"/>
        <v>2.2359114761578828E-3</v>
      </c>
      <c r="U169" s="95">
        <f t="shared" ref="U169:V194" si="123">P169-I169</f>
        <v>-0.33509999999999995</v>
      </c>
      <c r="V169" s="96">
        <f t="shared" si="123"/>
        <v>-2.0000000000003348E-4</v>
      </c>
    </row>
    <row r="170" spans="1:22">
      <c r="A170" s="178">
        <v>147</v>
      </c>
      <c r="B170" s="175" t="s">
        <v>228</v>
      </c>
      <c r="C170" s="177" t="s">
        <v>129</v>
      </c>
      <c r="D170" s="61">
        <v>5711330386.3599997</v>
      </c>
      <c r="E170" s="62">
        <f t="shared" si="119"/>
        <v>7.3232776612721276E-2</v>
      </c>
      <c r="F170" s="61">
        <v>33.157200000000003</v>
      </c>
      <c r="G170" s="61">
        <v>33.5533</v>
      </c>
      <c r="H170" s="63">
        <v>6155</v>
      </c>
      <c r="I170" s="89">
        <v>1.8599999999999998E-2</v>
      </c>
      <c r="J170" s="89">
        <v>0.56759999999999999</v>
      </c>
      <c r="K170" s="61">
        <v>5746677407.75</v>
      </c>
      <c r="L170" s="93">
        <f t="shared" si="120"/>
        <v>7.2694445773914956E-2</v>
      </c>
      <c r="M170" s="61">
        <v>33.633499999999998</v>
      </c>
      <c r="N170" s="61">
        <v>34.037100000000002</v>
      </c>
      <c r="O170" s="63">
        <v>6161</v>
      </c>
      <c r="P170" s="89">
        <v>1.1299999999999999E-2</v>
      </c>
      <c r="Q170" s="89">
        <v>0.58150000000000002</v>
      </c>
      <c r="R170" s="95">
        <f t="shared" si="121"/>
        <v>6.1889295486069838E-3</v>
      </c>
      <c r="S170" s="95">
        <f t="shared" si="122"/>
        <v>1.4418850008792047E-2</v>
      </c>
      <c r="T170" s="95">
        <f t="shared" si="122"/>
        <v>9.7481722177091793E-4</v>
      </c>
      <c r="U170" s="95">
        <f t="shared" si="123"/>
        <v>-7.2999999999999992E-3</v>
      </c>
      <c r="V170" s="96">
        <f t="shared" si="123"/>
        <v>1.3900000000000023E-2</v>
      </c>
    </row>
    <row r="171" spans="1:22">
      <c r="A171" s="82">
        <v>148</v>
      </c>
      <c r="B171" s="59" t="s">
        <v>229</v>
      </c>
      <c r="C171" s="60" t="s">
        <v>137</v>
      </c>
      <c r="D171" s="67">
        <v>2422438378.8800001</v>
      </c>
      <c r="E171" s="62">
        <f t="shared" si="119"/>
        <v>3.1061394921624418E-2</v>
      </c>
      <c r="F171" s="61">
        <v>5.7885999999999997</v>
      </c>
      <c r="G171" s="61">
        <v>5.9208999999999996</v>
      </c>
      <c r="H171" s="63">
        <v>2737</v>
      </c>
      <c r="I171" s="89">
        <v>0.90580000000000005</v>
      </c>
      <c r="J171" s="89">
        <v>0.41639999999999999</v>
      </c>
      <c r="K171" s="67">
        <v>2441080215.8800001</v>
      </c>
      <c r="L171" s="93">
        <f t="shared" si="120"/>
        <v>3.0879229995362405E-2</v>
      </c>
      <c r="M171" s="61">
        <v>5.8327</v>
      </c>
      <c r="N171" s="61">
        <v>5.9669999999999996</v>
      </c>
      <c r="O171" s="63">
        <v>2737</v>
      </c>
      <c r="P171" s="89">
        <v>0.40600000000000003</v>
      </c>
      <c r="Q171" s="89">
        <v>0.41880000000000001</v>
      </c>
      <c r="R171" s="95">
        <f t="shared" si="121"/>
        <v>7.6954845012895401E-3</v>
      </c>
      <c r="S171" s="95">
        <f t="shared" si="122"/>
        <v>7.7859784830009004E-3</v>
      </c>
      <c r="T171" s="95">
        <f t="shared" si="122"/>
        <v>0</v>
      </c>
      <c r="U171" s="95">
        <f t="shared" si="123"/>
        <v>-0.49980000000000002</v>
      </c>
      <c r="V171" s="96">
        <f t="shared" si="123"/>
        <v>2.4000000000000132E-3</v>
      </c>
    </row>
    <row r="172" spans="1:22">
      <c r="A172" s="82">
        <v>149</v>
      </c>
      <c r="B172" s="175" t="s">
        <v>230</v>
      </c>
      <c r="C172" s="177" t="s">
        <v>31</v>
      </c>
      <c r="D172" s="67">
        <v>926549181.40999997</v>
      </c>
      <c r="E172" s="62">
        <f t="shared" si="119"/>
        <v>1.1880554027297921E-2</v>
      </c>
      <c r="F172" s="61">
        <v>1.1377999999999999</v>
      </c>
      <c r="G172" s="61">
        <v>1.145</v>
      </c>
      <c r="H172" s="63">
        <v>208</v>
      </c>
      <c r="I172" s="89">
        <v>1.9699999999999999E-2</v>
      </c>
      <c r="J172" s="89">
        <v>0.1414</v>
      </c>
      <c r="K172" s="67">
        <v>904441661.13</v>
      </c>
      <c r="L172" s="93">
        <f t="shared" si="120"/>
        <v>1.1441025939966005E-2</v>
      </c>
      <c r="M172" s="61">
        <v>1.1420999999999999</v>
      </c>
      <c r="N172" s="61">
        <v>1.1496</v>
      </c>
      <c r="O172" s="63">
        <v>207</v>
      </c>
      <c r="P172" s="89">
        <v>3.8999999999999998E-3</v>
      </c>
      <c r="Q172" s="89">
        <v>0.14580000000000001</v>
      </c>
      <c r="R172" s="95">
        <f t="shared" ref="R172" si="124">((K172-D172)/D172)</f>
        <v>-2.3860061315209718E-2</v>
      </c>
      <c r="S172" s="95">
        <f t="shared" ref="S172" si="125">((N172-G172)/G172)</f>
        <v>4.0174672489082424E-3</v>
      </c>
      <c r="T172" s="95">
        <f t="shared" ref="T172" si="126">((O172-H172)/H172)</f>
        <v>-4.807692307692308E-3</v>
      </c>
      <c r="U172" s="95">
        <f t="shared" ref="U172" si="127">P172-I172</f>
        <v>-1.5799999999999998E-2</v>
      </c>
      <c r="V172" s="96">
        <f t="shared" ref="V172" si="128">Q172-J172</f>
        <v>4.400000000000015E-3</v>
      </c>
    </row>
    <row r="173" spans="1:22">
      <c r="A173" s="82">
        <v>150</v>
      </c>
      <c r="B173" s="59" t="s">
        <v>231</v>
      </c>
      <c r="C173" s="60" t="s">
        <v>74</v>
      </c>
      <c r="D173" s="61">
        <v>6081724039.2399998</v>
      </c>
      <c r="E173" s="62">
        <f t="shared" si="119"/>
        <v>7.7982100116210346E-2</v>
      </c>
      <c r="F173" s="61">
        <v>11346.42</v>
      </c>
      <c r="G173" s="61">
        <v>11435.95</v>
      </c>
      <c r="H173" s="63">
        <v>1271</v>
      </c>
      <c r="I173" s="89">
        <v>5.2200000000000003E-2</v>
      </c>
      <c r="J173" s="89">
        <v>0.64119999999999999</v>
      </c>
      <c r="K173" s="61">
        <v>6174677298.2910404</v>
      </c>
      <c r="L173" s="93">
        <f t="shared" si="120"/>
        <v>7.8108568166137232E-2</v>
      </c>
      <c r="M173" s="61">
        <v>11457.1638652033</v>
      </c>
      <c r="N173" s="61">
        <v>11457.1638652033</v>
      </c>
      <c r="O173" s="63">
        <v>1293</v>
      </c>
      <c r="P173" s="89">
        <v>0.1593</v>
      </c>
      <c r="Q173" s="89">
        <v>0.62849999999999995</v>
      </c>
      <c r="R173" s="95">
        <f t="shared" si="121"/>
        <v>1.5284031049632519E-2</v>
      </c>
      <c r="S173" s="95">
        <f t="shared" si="122"/>
        <v>1.8550155608671832E-3</v>
      </c>
      <c r="T173" s="95">
        <f t="shared" si="122"/>
        <v>1.7309205350118019E-2</v>
      </c>
      <c r="U173" s="95">
        <f t="shared" si="123"/>
        <v>0.1071</v>
      </c>
      <c r="V173" s="96">
        <f t="shared" si="123"/>
        <v>-1.2700000000000045E-2</v>
      </c>
    </row>
    <row r="174" spans="1:22">
      <c r="A174" s="82">
        <v>151</v>
      </c>
      <c r="B174" s="59" t="s">
        <v>232</v>
      </c>
      <c r="C174" s="60" t="s">
        <v>76</v>
      </c>
      <c r="D174" s="61">
        <v>1166597750.6300001</v>
      </c>
      <c r="E174" s="62">
        <f t="shared" si="119"/>
        <v>1.4958544978036024E-2</v>
      </c>
      <c r="F174" s="61">
        <v>230.47</v>
      </c>
      <c r="G174" s="61">
        <v>232.09</v>
      </c>
      <c r="H174" s="63">
        <v>508</v>
      </c>
      <c r="I174" s="89">
        <v>1.95E-2</v>
      </c>
      <c r="J174" s="89">
        <v>0.25030000000000002</v>
      </c>
      <c r="K174" s="61">
        <v>1198406610</v>
      </c>
      <c r="L174" s="93">
        <f t="shared" si="120"/>
        <v>1.5159630190526983E-2</v>
      </c>
      <c r="M174" s="61">
        <v>231.12</v>
      </c>
      <c r="N174" s="61">
        <v>232.8</v>
      </c>
      <c r="O174" s="63">
        <v>508</v>
      </c>
      <c r="P174" s="89">
        <v>2.8999999999999998E-3</v>
      </c>
      <c r="Q174" s="89">
        <v>0.25359999999999999</v>
      </c>
      <c r="R174" s="95">
        <f t="shared" si="121"/>
        <v>2.7266347250217208E-2</v>
      </c>
      <c r="S174" s="95">
        <f t="shared" si="122"/>
        <v>3.0591580852255933E-3</v>
      </c>
      <c r="T174" s="95">
        <f t="shared" si="122"/>
        <v>0</v>
      </c>
      <c r="U174" s="95">
        <f t="shared" si="123"/>
        <v>-1.66E-2</v>
      </c>
      <c r="V174" s="96">
        <f t="shared" si="123"/>
        <v>3.2999999999999696E-3</v>
      </c>
    </row>
    <row r="175" spans="1:22">
      <c r="A175" s="82">
        <v>152</v>
      </c>
      <c r="B175" s="59" t="s">
        <v>233</v>
      </c>
      <c r="C175" s="60" t="s">
        <v>234</v>
      </c>
      <c r="D175" s="61">
        <v>866946185.19000006</v>
      </c>
      <c r="E175" s="62">
        <f t="shared" si="119"/>
        <v>1.1116302511039552E-2</v>
      </c>
      <c r="F175" s="61">
        <v>2.0472999999999999</v>
      </c>
      <c r="G175" s="61">
        <v>2.0794999999999999</v>
      </c>
      <c r="H175" s="63">
        <v>2355</v>
      </c>
      <c r="I175" s="89">
        <v>7.1999999999999998E-3</v>
      </c>
      <c r="J175" s="89">
        <v>0.39850000000000002</v>
      </c>
      <c r="K175" s="61">
        <v>915918063.17999995</v>
      </c>
      <c r="L175" s="93">
        <f t="shared" si="120"/>
        <v>1.1586200382049402E-2</v>
      </c>
      <c r="M175" s="61">
        <v>2.0613000000000001</v>
      </c>
      <c r="N175" s="61">
        <v>2.0951</v>
      </c>
      <c r="O175" s="63">
        <v>2511</v>
      </c>
      <c r="P175" s="89">
        <v>6.7999999999999996E-3</v>
      </c>
      <c r="Q175" s="89">
        <v>0.40810000000000002</v>
      </c>
      <c r="R175" s="95">
        <f t="shared" si="121"/>
        <v>5.648779454432596E-2</v>
      </c>
      <c r="S175" s="95">
        <f t="shared" si="122"/>
        <v>7.501803318105342E-3</v>
      </c>
      <c r="T175" s="95">
        <f t="shared" si="122"/>
        <v>6.6242038216560509E-2</v>
      </c>
      <c r="U175" s="95">
        <f t="shared" si="123"/>
        <v>-4.0000000000000018E-4</v>
      </c>
      <c r="V175" s="96">
        <f t="shared" si="123"/>
        <v>9.5999999999999974E-3</v>
      </c>
    </row>
    <row r="176" spans="1:22">
      <c r="A176" s="178">
        <v>153</v>
      </c>
      <c r="B176" s="175" t="s">
        <v>235</v>
      </c>
      <c r="C176" s="177" t="s">
        <v>33</v>
      </c>
      <c r="D176" s="81">
        <v>166951569.93000001</v>
      </c>
      <c r="E176" s="62">
        <f t="shared" si="119"/>
        <v>2.1407143692870841E-3</v>
      </c>
      <c r="F176" s="61">
        <v>200.5838</v>
      </c>
      <c r="G176" s="61">
        <v>202.02019999999999</v>
      </c>
      <c r="H176" s="63">
        <v>148</v>
      </c>
      <c r="I176" s="89">
        <v>3.3E-3</v>
      </c>
      <c r="J176" s="89">
        <v>0.27410000000000001</v>
      </c>
      <c r="K176" s="81">
        <v>169024312.19999999</v>
      </c>
      <c r="L176" s="93">
        <f t="shared" si="120"/>
        <v>2.1381274475448515E-3</v>
      </c>
      <c r="M176" s="61">
        <v>203.06549999999999</v>
      </c>
      <c r="N176" s="61">
        <v>204.52369999999999</v>
      </c>
      <c r="O176" s="63">
        <v>150</v>
      </c>
      <c r="P176" s="89">
        <v>4.1739999999999998E-3</v>
      </c>
      <c r="Q176" s="89">
        <v>0.26129999999999998</v>
      </c>
      <c r="R176" s="95">
        <f t="shared" si="121"/>
        <v>1.2415230781411921E-2</v>
      </c>
      <c r="S176" s="95">
        <f t="shared" si="122"/>
        <v>1.2392325123923265E-2</v>
      </c>
      <c r="T176" s="95">
        <f t="shared" si="122"/>
        <v>1.3513513513513514E-2</v>
      </c>
      <c r="U176" s="95">
        <f t="shared" si="123"/>
        <v>8.7399999999999978E-4</v>
      </c>
      <c r="V176" s="96">
        <f t="shared" si="123"/>
        <v>-1.2800000000000034E-2</v>
      </c>
    </row>
    <row r="177" spans="1:22">
      <c r="A177" s="178">
        <v>154</v>
      </c>
      <c r="B177" s="175" t="s">
        <v>236</v>
      </c>
      <c r="C177" s="177" t="s">
        <v>82</v>
      </c>
      <c r="D177" s="81">
        <v>344151742.41000003</v>
      </c>
      <c r="E177" s="62">
        <f t="shared" si="119"/>
        <v>4.4128400859073866E-3</v>
      </c>
      <c r="F177" s="61">
        <v>162.96</v>
      </c>
      <c r="G177" s="61">
        <v>164.19</v>
      </c>
      <c r="H177" s="63">
        <v>52</v>
      </c>
      <c r="I177" s="89">
        <v>1.7100000000000001E-2</v>
      </c>
      <c r="J177" s="89">
        <v>0.42259999999999998</v>
      </c>
      <c r="K177" s="81">
        <v>345284333.13999999</v>
      </c>
      <c r="L177" s="93">
        <f t="shared" si="120"/>
        <v>4.3677853220328283E-3</v>
      </c>
      <c r="M177" s="61">
        <v>163.6</v>
      </c>
      <c r="N177" s="61">
        <v>164.11</v>
      </c>
      <c r="O177" s="63">
        <v>52</v>
      </c>
      <c r="P177" s="89">
        <v>2.3999999999999998E-3</v>
      </c>
      <c r="Q177" s="89">
        <v>0.42499999999999999</v>
      </c>
      <c r="R177" s="95">
        <f t="shared" si="121"/>
        <v>3.2909632305469037E-3</v>
      </c>
      <c r="S177" s="95">
        <f t="shared" si="122"/>
        <v>-4.872403922284188E-4</v>
      </c>
      <c r="T177" s="95">
        <f t="shared" si="122"/>
        <v>0</v>
      </c>
      <c r="U177" s="95">
        <f t="shared" si="123"/>
        <v>-1.4700000000000001E-2</v>
      </c>
      <c r="V177" s="96">
        <f t="shared" si="123"/>
        <v>2.4000000000000132E-3</v>
      </c>
    </row>
    <row r="178" spans="1:22" ht="15.75" customHeight="1">
      <c r="A178" s="82">
        <v>155</v>
      </c>
      <c r="B178" s="175" t="s">
        <v>237</v>
      </c>
      <c r="C178" s="177" t="s">
        <v>85</v>
      </c>
      <c r="D178" s="67">
        <v>487864152.31999999</v>
      </c>
      <c r="E178" s="62">
        <f t="shared" si="119"/>
        <v>6.2555734071226572E-3</v>
      </c>
      <c r="F178" s="61">
        <v>1.7484999999999999</v>
      </c>
      <c r="G178" s="61">
        <v>1.76431</v>
      </c>
      <c r="H178" s="63">
        <v>115</v>
      </c>
      <c r="I178" s="89">
        <v>3.6999999999999998E-2</v>
      </c>
      <c r="J178" s="89">
        <v>0.438</v>
      </c>
      <c r="K178" s="67">
        <v>489485169.86000001</v>
      </c>
      <c r="L178" s="93">
        <f t="shared" si="120"/>
        <v>6.1919002256044676E-3</v>
      </c>
      <c r="M178" s="61">
        <v>1.74</v>
      </c>
      <c r="N178" s="61">
        <v>1.7619</v>
      </c>
      <c r="O178" s="63">
        <v>115</v>
      </c>
      <c r="P178" s="89">
        <v>0.43509999999999999</v>
      </c>
      <c r="Q178" s="89">
        <v>0.43509999999999999</v>
      </c>
      <c r="R178" s="95">
        <f t="shared" si="121"/>
        <v>3.3226822103886887E-3</v>
      </c>
      <c r="S178" s="95">
        <f t="shared" si="122"/>
        <v>-1.3659730999654386E-3</v>
      </c>
      <c r="T178" s="95">
        <f t="shared" si="122"/>
        <v>0</v>
      </c>
      <c r="U178" s="95">
        <f t="shared" si="123"/>
        <v>0.39810000000000001</v>
      </c>
      <c r="V178" s="96">
        <f t="shared" si="123"/>
        <v>-2.9000000000000137E-3</v>
      </c>
    </row>
    <row r="179" spans="1:22">
      <c r="A179" s="82">
        <v>156</v>
      </c>
      <c r="B179" s="59" t="s">
        <v>238</v>
      </c>
      <c r="C179" s="60" t="s">
        <v>35</v>
      </c>
      <c r="D179" s="61">
        <v>13526299756.549999</v>
      </c>
      <c r="E179" s="62">
        <f t="shared" si="119"/>
        <v>0.17343918517371062</v>
      </c>
      <c r="F179" s="61">
        <v>459.29</v>
      </c>
      <c r="G179" s="61">
        <v>463.96</v>
      </c>
      <c r="H179" s="63">
        <v>5526</v>
      </c>
      <c r="I179" s="89">
        <v>1.8200000000000001E-2</v>
      </c>
      <c r="J179" s="89">
        <v>0.41710000000000003</v>
      </c>
      <c r="K179" s="61">
        <v>13942379621.76</v>
      </c>
      <c r="L179" s="93">
        <f t="shared" si="120"/>
        <v>0.17636861919663568</v>
      </c>
      <c r="M179" s="61">
        <v>462.03</v>
      </c>
      <c r="N179" s="61">
        <v>466.74</v>
      </c>
      <c r="O179" s="63">
        <v>5525</v>
      </c>
      <c r="P179" s="89">
        <v>6.0000000000000001E-3</v>
      </c>
      <c r="Q179" s="89">
        <v>0.42549999999999999</v>
      </c>
      <c r="R179" s="95">
        <f t="shared" si="121"/>
        <v>3.0760804706292107E-2</v>
      </c>
      <c r="S179" s="95">
        <f t="shared" si="122"/>
        <v>5.9918958530908476E-3</v>
      </c>
      <c r="T179" s="95">
        <f t="shared" si="122"/>
        <v>-1.8096272167933406E-4</v>
      </c>
      <c r="U179" s="95">
        <f t="shared" si="123"/>
        <v>-1.2200000000000001E-2</v>
      </c>
      <c r="V179" s="96">
        <f t="shared" si="123"/>
        <v>8.3999999999999631E-3</v>
      </c>
    </row>
    <row r="180" spans="1:22">
      <c r="A180" s="178">
        <v>157</v>
      </c>
      <c r="B180" s="175" t="s">
        <v>239</v>
      </c>
      <c r="C180" s="177" t="s">
        <v>93</v>
      </c>
      <c r="D180" s="61">
        <v>4312665445.3999996</v>
      </c>
      <c r="E180" s="62">
        <f t="shared" si="119"/>
        <v>5.5298580856511632E-2</v>
      </c>
      <c r="F180" s="61">
        <v>3.0072999999999999</v>
      </c>
      <c r="G180" s="61">
        <v>3.0672000000000001</v>
      </c>
      <c r="H180" s="63">
        <v>10204</v>
      </c>
      <c r="I180" s="89">
        <v>1.3599999999999999E-2</v>
      </c>
      <c r="J180" s="89">
        <v>0.29870000000000002</v>
      </c>
      <c r="K180" s="61">
        <v>4344294959.0699997</v>
      </c>
      <c r="L180" s="93">
        <f t="shared" si="120"/>
        <v>5.4954557550439209E-2</v>
      </c>
      <c r="M180" s="61">
        <v>3.024</v>
      </c>
      <c r="N180" s="61">
        <v>3.0844</v>
      </c>
      <c r="O180" s="63">
        <v>10205</v>
      </c>
      <c r="P180" s="89">
        <v>5.5999999999999999E-3</v>
      </c>
      <c r="Q180" s="89">
        <v>0.30590000000000001</v>
      </c>
      <c r="R180" s="95">
        <f t="shared" si="121"/>
        <v>7.3340986149845987E-3</v>
      </c>
      <c r="S180" s="95">
        <f t="shared" si="122"/>
        <v>5.6077203964527518E-3</v>
      </c>
      <c r="T180" s="95">
        <f t="shared" si="122"/>
        <v>9.800078400627205E-5</v>
      </c>
      <c r="U180" s="95">
        <f t="shared" si="123"/>
        <v>-8.0000000000000002E-3</v>
      </c>
      <c r="V180" s="96">
        <f t="shared" si="123"/>
        <v>7.1999999999999842E-3</v>
      </c>
    </row>
    <row r="181" spans="1:22">
      <c r="A181" s="82">
        <v>158</v>
      </c>
      <c r="B181" s="59" t="s">
        <v>240</v>
      </c>
      <c r="C181" s="60" t="s">
        <v>95</v>
      </c>
      <c r="D181" s="61">
        <v>295248329.50999999</v>
      </c>
      <c r="E181" s="62">
        <f t="shared" si="119"/>
        <v>3.785782558109933E-3</v>
      </c>
      <c r="F181" s="61">
        <v>338.92</v>
      </c>
      <c r="G181" s="61">
        <v>336.63</v>
      </c>
      <c r="H181" s="63">
        <v>65</v>
      </c>
      <c r="I181" s="89">
        <v>-1.9E-3</v>
      </c>
      <c r="J181" s="89">
        <v>0.16930000000000001</v>
      </c>
      <c r="K181" s="61">
        <v>295417297.91000003</v>
      </c>
      <c r="L181" s="93">
        <f t="shared" si="120"/>
        <v>3.7369762072660298E-3</v>
      </c>
      <c r="M181" s="61">
        <v>336.75</v>
      </c>
      <c r="N181" s="61">
        <v>339.03</v>
      </c>
      <c r="O181" s="63">
        <v>32</v>
      </c>
      <c r="P181" s="89">
        <v>2.0000000000000001E-4</v>
      </c>
      <c r="Q181" s="89">
        <v>0.1699</v>
      </c>
      <c r="R181" s="95">
        <f t="shared" si="121"/>
        <v>5.7229248436547998E-4</v>
      </c>
      <c r="S181" s="95">
        <f t="shared" si="122"/>
        <v>7.1294893503252152E-3</v>
      </c>
      <c r="T181" s="95">
        <f t="shared" si="122"/>
        <v>-0.50769230769230766</v>
      </c>
      <c r="U181" s="95">
        <f t="shared" si="123"/>
        <v>2.0999999999999999E-3</v>
      </c>
      <c r="V181" s="96">
        <f t="shared" si="123"/>
        <v>5.9999999999998943E-4</v>
      </c>
    </row>
    <row r="182" spans="1:22">
      <c r="A182" s="82">
        <v>159</v>
      </c>
      <c r="B182" s="59" t="s">
        <v>241</v>
      </c>
      <c r="C182" s="59" t="s">
        <v>97</v>
      </c>
      <c r="D182" s="85">
        <v>69642307.280848697</v>
      </c>
      <c r="E182" s="62">
        <f t="shared" si="119"/>
        <v>8.9297925122194333E-4</v>
      </c>
      <c r="F182" s="61">
        <v>1.347</v>
      </c>
      <c r="G182" s="61">
        <v>1.3720000000000001</v>
      </c>
      <c r="H182" s="63">
        <v>30</v>
      </c>
      <c r="I182" s="89">
        <v>-7.7000000000000002E-3</v>
      </c>
      <c r="J182" s="89">
        <v>0.13980000000000001</v>
      </c>
      <c r="K182" s="85">
        <v>70011164.188121602</v>
      </c>
      <c r="L182" s="93">
        <f t="shared" si="120"/>
        <v>8.8562875858986612E-4</v>
      </c>
      <c r="M182" s="61">
        <v>1.3540000000000001</v>
      </c>
      <c r="N182" s="61">
        <v>1.379</v>
      </c>
      <c r="O182" s="63">
        <v>30</v>
      </c>
      <c r="P182" s="89">
        <v>5.3E-3</v>
      </c>
      <c r="Q182" s="89">
        <v>0.14580000000000001</v>
      </c>
      <c r="R182" s="95">
        <f t="shared" si="121"/>
        <v>5.2964486915317785E-3</v>
      </c>
      <c r="S182" s="95">
        <f t="shared" si="122"/>
        <v>5.1020408163264539E-3</v>
      </c>
      <c r="T182" s="95">
        <f t="shared" si="122"/>
        <v>0</v>
      </c>
      <c r="U182" s="95">
        <f t="shared" si="123"/>
        <v>1.3000000000000001E-2</v>
      </c>
      <c r="V182" s="96">
        <f t="shared" si="123"/>
        <v>6.0000000000000053E-3</v>
      </c>
    </row>
    <row r="183" spans="1:22" ht="13.5" customHeight="1">
      <c r="A183" s="82">
        <v>160</v>
      </c>
      <c r="B183" s="59" t="s">
        <v>242</v>
      </c>
      <c r="C183" s="60" t="s">
        <v>41</v>
      </c>
      <c r="D183" s="67">
        <v>4654714986.6599998</v>
      </c>
      <c r="E183" s="62">
        <f t="shared" si="119"/>
        <v>5.9684465746904398E-2</v>
      </c>
      <c r="F183" s="61">
        <v>5.8048489999999999</v>
      </c>
      <c r="G183" s="61">
        <v>5.9542390000000003</v>
      </c>
      <c r="H183" s="63">
        <v>2985</v>
      </c>
      <c r="I183" s="89">
        <v>-4.41E-2</v>
      </c>
      <c r="J183" s="89">
        <v>0.36930000000000002</v>
      </c>
      <c r="K183" s="67">
        <v>4854576386.0100002</v>
      </c>
      <c r="L183" s="93">
        <f t="shared" si="120"/>
        <v>6.1409526724470066E-2</v>
      </c>
      <c r="M183" s="61">
        <v>5.9624519999999999</v>
      </c>
      <c r="N183" s="61">
        <v>6.1125379999999998</v>
      </c>
      <c r="O183" s="63">
        <v>3062</v>
      </c>
      <c r="P183" s="89">
        <v>2.7199999999999998E-2</v>
      </c>
      <c r="Q183" s="89">
        <v>0.40649999999999997</v>
      </c>
      <c r="R183" s="95">
        <f t="shared" si="121"/>
        <v>4.2937408611007422E-2</v>
      </c>
      <c r="S183" s="95">
        <f t="shared" si="122"/>
        <v>2.6585933147795969E-2</v>
      </c>
      <c r="T183" s="95">
        <f t="shared" si="122"/>
        <v>2.579564489112228E-2</v>
      </c>
      <c r="U183" s="95">
        <f t="shared" si="123"/>
        <v>7.1300000000000002E-2</v>
      </c>
      <c r="V183" s="96">
        <f t="shared" si="123"/>
        <v>3.7199999999999955E-2</v>
      </c>
    </row>
    <row r="184" spans="1:22" ht="13.5" customHeight="1">
      <c r="A184" s="82">
        <v>161</v>
      </c>
      <c r="B184" s="59" t="s">
        <v>243</v>
      </c>
      <c r="C184" s="60" t="s">
        <v>244</v>
      </c>
      <c r="D184" s="67">
        <v>104728491.64</v>
      </c>
      <c r="E184" s="62">
        <f t="shared" si="119"/>
        <v>1.3428671980833182E-3</v>
      </c>
      <c r="F184" s="61">
        <v>2.71</v>
      </c>
      <c r="G184" s="61">
        <v>2.73</v>
      </c>
      <c r="H184" s="63">
        <v>108</v>
      </c>
      <c r="I184" s="89">
        <v>1.2E-2</v>
      </c>
      <c r="J184" s="89">
        <v>0.28460000000000002</v>
      </c>
      <c r="K184" s="67">
        <v>108263631.3</v>
      </c>
      <c r="L184" s="93">
        <f t="shared" si="120"/>
        <v>1.369515655117725E-3</v>
      </c>
      <c r="M184" s="61">
        <v>2.7530000000000001</v>
      </c>
      <c r="N184" s="61">
        <v>2.7669999999999999</v>
      </c>
      <c r="O184" s="63">
        <v>108</v>
      </c>
      <c r="P184" s="89">
        <v>1.54E-2</v>
      </c>
      <c r="Q184" s="89">
        <v>0.31</v>
      </c>
      <c r="R184" s="95">
        <f t="shared" si="121"/>
        <v>3.3755280961668938E-2</v>
      </c>
      <c r="S184" s="95">
        <f t="shared" si="122"/>
        <v>1.3553113553113524E-2</v>
      </c>
      <c r="T184" s="95">
        <f t="shared" si="122"/>
        <v>0</v>
      </c>
      <c r="U184" s="95">
        <f>P184-I184</f>
        <v>3.4000000000000002E-3</v>
      </c>
      <c r="V184" s="96">
        <f>Q184-J184</f>
        <v>2.5399999999999978E-2</v>
      </c>
    </row>
    <row r="185" spans="1:22">
      <c r="A185" s="178">
        <v>162</v>
      </c>
      <c r="B185" s="175" t="s">
        <v>245</v>
      </c>
      <c r="C185" s="177" t="s">
        <v>153</v>
      </c>
      <c r="D185" s="67">
        <v>931997939.97000003</v>
      </c>
      <c r="E185" s="62">
        <f t="shared" si="119"/>
        <v>1.1950420011481592E-2</v>
      </c>
      <c r="F185" s="61">
        <v>346.15</v>
      </c>
      <c r="G185" s="61">
        <v>349.8</v>
      </c>
      <c r="H185" s="63">
        <v>158</v>
      </c>
      <c r="I185" s="89">
        <v>1.37E-2</v>
      </c>
      <c r="J185" s="89">
        <v>0.42720000000000002</v>
      </c>
      <c r="K185" s="67">
        <v>943651748.35000002</v>
      </c>
      <c r="L185" s="93">
        <f t="shared" si="120"/>
        <v>1.1937026560317646E-2</v>
      </c>
      <c r="M185" s="61">
        <v>350.58</v>
      </c>
      <c r="N185" s="61">
        <v>354.5</v>
      </c>
      <c r="O185" s="63">
        <v>158</v>
      </c>
      <c r="P185" s="89">
        <v>1.37E-2</v>
      </c>
      <c r="Q185" s="89">
        <v>0.43530000000000002</v>
      </c>
      <c r="R185" s="95">
        <f t="shared" si="121"/>
        <v>1.2504113882885963E-2</v>
      </c>
      <c r="S185" s="95">
        <f t="shared" si="122"/>
        <v>1.3436249285305856E-2</v>
      </c>
      <c r="T185" s="95">
        <f t="shared" si="122"/>
        <v>0</v>
      </c>
      <c r="U185" s="95">
        <f t="shared" si="123"/>
        <v>0</v>
      </c>
      <c r="V185" s="96">
        <f t="shared" si="123"/>
        <v>8.0999999999999961E-3</v>
      </c>
    </row>
    <row r="186" spans="1:22">
      <c r="A186" s="178">
        <v>163</v>
      </c>
      <c r="B186" s="175" t="s">
        <v>246</v>
      </c>
      <c r="C186" s="177" t="s">
        <v>37</v>
      </c>
      <c r="D186" s="67">
        <v>2161651755.4200001</v>
      </c>
      <c r="E186" s="62">
        <f t="shared" si="119"/>
        <v>2.7717493020056463E-2</v>
      </c>
      <c r="F186" s="61">
        <v>552.22</v>
      </c>
      <c r="G186" s="61">
        <v>552.22</v>
      </c>
      <c r="H186" s="63">
        <v>823</v>
      </c>
      <c r="I186" s="89">
        <v>1.1769999999999999E-2</v>
      </c>
      <c r="J186" s="89">
        <v>1.8149999999999999E-2</v>
      </c>
      <c r="K186" s="67">
        <v>2149734698.5</v>
      </c>
      <c r="L186" s="93">
        <f t="shared" si="120"/>
        <v>2.7193761086651568E-2</v>
      </c>
      <c r="M186" s="61">
        <v>552.22</v>
      </c>
      <c r="N186" s="61">
        <v>552.22</v>
      </c>
      <c r="O186" s="63">
        <v>823</v>
      </c>
      <c r="P186" s="89">
        <v>5.4999999999999997E-3</v>
      </c>
      <c r="Q186" s="89">
        <v>-1.67E-2</v>
      </c>
      <c r="R186" s="95">
        <f t="shared" si="121"/>
        <v>-5.5129402273608316E-3</v>
      </c>
      <c r="S186" s="95">
        <f t="shared" si="122"/>
        <v>0</v>
      </c>
      <c r="T186" s="95">
        <f t="shared" si="122"/>
        <v>0</v>
      </c>
      <c r="U186" s="95">
        <f t="shared" si="123"/>
        <v>-6.2699999999999995E-3</v>
      </c>
      <c r="V186" s="96">
        <f t="shared" si="123"/>
        <v>-3.4849999999999999E-2</v>
      </c>
    </row>
    <row r="187" spans="1:22">
      <c r="A187" s="82">
        <v>164</v>
      </c>
      <c r="B187" s="59" t="s">
        <v>247</v>
      </c>
      <c r="C187" s="60" t="s">
        <v>107</v>
      </c>
      <c r="D187" s="61">
        <v>48478054.880000003</v>
      </c>
      <c r="E187" s="62">
        <f t="shared" si="119"/>
        <v>6.2160343098430334E-4</v>
      </c>
      <c r="F187" s="61">
        <v>2.6</v>
      </c>
      <c r="G187" s="61">
        <v>2.6</v>
      </c>
      <c r="H187" s="63">
        <v>8</v>
      </c>
      <c r="I187" s="89">
        <v>1.2021E-2</v>
      </c>
      <c r="J187" s="89">
        <v>0.38550499999999999</v>
      </c>
      <c r="K187" s="61">
        <v>49667394.159999996</v>
      </c>
      <c r="L187" s="93">
        <f t="shared" si="120"/>
        <v>6.2828369078566705E-4</v>
      </c>
      <c r="M187" s="61">
        <v>2.61</v>
      </c>
      <c r="N187" s="61">
        <v>2.61</v>
      </c>
      <c r="O187" s="63">
        <v>8</v>
      </c>
      <c r="P187" s="89">
        <v>3.8270000000000001E-3</v>
      </c>
      <c r="Q187" s="89">
        <v>0.39080700000000002</v>
      </c>
      <c r="R187" s="95">
        <f t="shared" si="121"/>
        <v>2.4533560245847755E-2</v>
      </c>
      <c r="S187" s="95">
        <f t="shared" si="122"/>
        <v>3.846153846153764E-3</v>
      </c>
      <c r="T187" s="95">
        <f t="shared" si="122"/>
        <v>0</v>
      </c>
      <c r="U187" s="95">
        <f t="shared" si="123"/>
        <v>-8.1939999999999999E-3</v>
      </c>
      <c r="V187" s="96">
        <f t="shared" si="123"/>
        <v>5.3020000000000289E-3</v>
      </c>
    </row>
    <row r="188" spans="1:22">
      <c r="A188" s="82">
        <v>165</v>
      </c>
      <c r="B188" s="59" t="s">
        <v>248</v>
      </c>
      <c r="C188" s="60" t="s">
        <v>49</v>
      </c>
      <c r="D188" s="61">
        <v>391149991.33999997</v>
      </c>
      <c r="E188" s="62">
        <f t="shared" si="119"/>
        <v>5.0154689013055653E-3</v>
      </c>
      <c r="F188" s="61">
        <v>3.52</v>
      </c>
      <c r="G188" s="61">
        <v>3.59</v>
      </c>
      <c r="H188" s="63">
        <v>141</v>
      </c>
      <c r="I188" s="89">
        <v>2.24E-2</v>
      </c>
      <c r="J188" s="89">
        <v>0.34710000000000002</v>
      </c>
      <c r="K188" s="61">
        <v>424033843.52999997</v>
      </c>
      <c r="L188" s="93">
        <f t="shared" si="120"/>
        <v>5.3639526038516952E-3</v>
      </c>
      <c r="M188" s="61">
        <v>3.53</v>
      </c>
      <c r="N188" s="61">
        <v>3.6</v>
      </c>
      <c r="O188" s="63">
        <v>142</v>
      </c>
      <c r="P188" s="89">
        <v>6.1000000000000004E-3</v>
      </c>
      <c r="Q188" s="89">
        <v>0.34910000000000002</v>
      </c>
      <c r="R188" s="95">
        <f t="shared" si="121"/>
        <v>8.406967382856545E-2</v>
      </c>
      <c r="S188" s="95">
        <f t="shared" si="122"/>
        <v>2.7855153203343265E-3</v>
      </c>
      <c r="T188" s="95">
        <f t="shared" si="122"/>
        <v>7.0921985815602835E-3</v>
      </c>
      <c r="U188" s="95">
        <f t="shared" si="123"/>
        <v>-1.6299999999999999E-2</v>
      </c>
      <c r="V188" s="96">
        <f t="shared" si="123"/>
        <v>2.0000000000000018E-3</v>
      </c>
    </row>
    <row r="189" spans="1:22">
      <c r="A189" s="82">
        <v>166</v>
      </c>
      <c r="B189" s="59" t="s">
        <v>249</v>
      </c>
      <c r="C189" s="60" t="s">
        <v>53</v>
      </c>
      <c r="D189" s="67">
        <v>4157697567.0700002</v>
      </c>
      <c r="E189" s="62">
        <f t="shared" si="119"/>
        <v>5.3311525783845612E-2</v>
      </c>
      <c r="F189" s="61">
        <v>9399.06</v>
      </c>
      <c r="G189" s="61">
        <v>9493.59</v>
      </c>
      <c r="H189" s="63">
        <v>3043</v>
      </c>
      <c r="I189" s="89">
        <v>1.61E-2</v>
      </c>
      <c r="J189" s="89">
        <v>0.47489999999999999</v>
      </c>
      <c r="K189" s="67">
        <v>4224723140.5599999</v>
      </c>
      <c r="L189" s="62">
        <f t="shared" si="120"/>
        <v>5.3441995341006465E-2</v>
      </c>
      <c r="M189" s="61">
        <v>9456.73</v>
      </c>
      <c r="N189" s="61">
        <v>9551.06</v>
      </c>
      <c r="O189" s="63">
        <v>3104</v>
      </c>
      <c r="P189" s="89">
        <v>6.1000000000000004E-3</v>
      </c>
      <c r="Q189" s="89">
        <v>0.4839</v>
      </c>
      <c r="R189" s="95">
        <f t="shared" si="121"/>
        <v>1.6120839096344812E-2</v>
      </c>
      <c r="S189" s="95">
        <f t="shared" si="122"/>
        <v>6.053558242982828E-3</v>
      </c>
      <c r="T189" s="95">
        <f t="shared" si="122"/>
        <v>2.0046007229707525E-2</v>
      </c>
      <c r="U189" s="95">
        <f t="shared" si="123"/>
        <v>-9.9999999999999985E-3</v>
      </c>
      <c r="V189" s="96">
        <f t="shared" si="123"/>
        <v>9.000000000000008E-3</v>
      </c>
    </row>
    <row r="190" spans="1:22">
      <c r="A190" s="82">
        <v>167</v>
      </c>
      <c r="B190" s="59" t="s">
        <v>250</v>
      </c>
      <c r="C190" s="59" t="s">
        <v>118</v>
      </c>
      <c r="D190" s="67">
        <v>148446728.86000001</v>
      </c>
      <c r="E190" s="62">
        <f t="shared" si="119"/>
        <v>1.9034384982273985E-3</v>
      </c>
      <c r="F190" s="61">
        <v>1394.76</v>
      </c>
      <c r="G190" s="61">
        <v>1414.34</v>
      </c>
      <c r="H190" s="63">
        <v>32</v>
      </c>
      <c r="I190" s="89">
        <v>4.0399999999999998E-2</v>
      </c>
      <c r="J190" s="89">
        <v>0.25700000000000001</v>
      </c>
      <c r="K190" s="67">
        <v>149845924.12</v>
      </c>
      <c r="L190" s="62">
        <f t="shared" si="120"/>
        <v>1.8955242538398278E-3</v>
      </c>
      <c r="M190" s="61">
        <v>1398.06</v>
      </c>
      <c r="N190" s="61">
        <v>1419.53</v>
      </c>
      <c r="O190" s="63">
        <v>34</v>
      </c>
      <c r="P190" s="89">
        <v>1.01E-2</v>
      </c>
      <c r="Q190" s="89">
        <v>0.26119999999999999</v>
      </c>
      <c r="R190" s="95">
        <f t="shared" si="121"/>
        <v>9.425571521482096E-3</v>
      </c>
      <c r="S190" s="95">
        <f t="shared" si="122"/>
        <v>3.6695561180480328E-3</v>
      </c>
      <c r="T190" s="95">
        <f t="shared" si="122"/>
        <v>6.25E-2</v>
      </c>
      <c r="U190" s="95">
        <f t="shared" si="123"/>
        <v>-3.0300000000000001E-2</v>
      </c>
      <c r="V190" s="96">
        <f t="shared" si="123"/>
        <v>4.1999999999999815E-3</v>
      </c>
    </row>
    <row r="191" spans="1:22">
      <c r="A191" s="82">
        <v>168</v>
      </c>
      <c r="B191" s="59" t="s">
        <v>251</v>
      </c>
      <c r="C191" s="59" t="s">
        <v>97</v>
      </c>
      <c r="D191" s="67">
        <v>766322710.88807297</v>
      </c>
      <c r="E191" s="62">
        <f t="shared" si="119"/>
        <v>9.8260713534886468E-3</v>
      </c>
      <c r="F191" s="61">
        <v>1.45635148137975</v>
      </c>
      <c r="G191" s="61">
        <v>1.45635148137975</v>
      </c>
      <c r="H191" s="63">
        <v>49</v>
      </c>
      <c r="I191" s="89">
        <v>2.5999999999999999E-3</v>
      </c>
      <c r="J191" s="89">
        <v>8.6999999999999994E-2</v>
      </c>
      <c r="K191" s="67">
        <v>768450920.35327494</v>
      </c>
      <c r="L191" s="62">
        <f t="shared" si="120"/>
        <v>9.720767287928889E-3</v>
      </c>
      <c r="M191" s="61">
        <v>1.456</v>
      </c>
      <c r="N191" s="61">
        <v>1.456</v>
      </c>
      <c r="O191" s="63">
        <v>50</v>
      </c>
      <c r="P191" s="89">
        <v>2.5999999999999999E-3</v>
      </c>
      <c r="Q191" s="89">
        <v>0.09</v>
      </c>
      <c r="R191" s="95">
        <f t="shared" si="121"/>
        <v>2.7771713339092394E-3</v>
      </c>
      <c r="S191" s="95">
        <f t="shared" si="122"/>
        <v>-2.4134378564785573E-4</v>
      </c>
      <c r="T191" s="95">
        <f t="shared" si="122"/>
        <v>2.0408163265306121E-2</v>
      </c>
      <c r="U191" s="95">
        <f t="shared" si="123"/>
        <v>0</v>
      </c>
      <c r="V191" s="96">
        <f t="shared" si="123"/>
        <v>3.0000000000000027E-3</v>
      </c>
    </row>
    <row r="192" spans="1:22">
      <c r="A192" s="82">
        <v>169</v>
      </c>
      <c r="B192" s="59" t="s">
        <v>252</v>
      </c>
      <c r="C192" s="60" t="s">
        <v>56</v>
      </c>
      <c r="D192" s="61">
        <v>3288436261.7600002</v>
      </c>
      <c r="E192" s="62">
        <f t="shared" si="119"/>
        <v>4.2165537952029576E-2</v>
      </c>
      <c r="F192" s="61">
        <v>2.1787999999999998</v>
      </c>
      <c r="G192" s="61">
        <v>2.1947000000000001</v>
      </c>
      <c r="H192" s="63">
        <v>2740</v>
      </c>
      <c r="I192" s="89">
        <v>1.84E-2</v>
      </c>
      <c r="J192" s="89">
        <v>0.3024</v>
      </c>
      <c r="K192" s="61">
        <v>3311402527.98</v>
      </c>
      <c r="L192" s="93">
        <f t="shared" si="120"/>
        <v>4.1888652246463313E-2</v>
      </c>
      <c r="M192" s="61">
        <v>2.1932</v>
      </c>
      <c r="N192" s="61">
        <v>2.2096</v>
      </c>
      <c r="O192" s="63">
        <v>2758</v>
      </c>
      <c r="P192" s="89">
        <v>6.6E-3</v>
      </c>
      <c r="Q192" s="89">
        <v>0.30969999999999998</v>
      </c>
      <c r="R192" s="95">
        <f t="shared" si="121"/>
        <v>6.9839475032756268E-3</v>
      </c>
      <c r="S192" s="95">
        <f t="shared" si="122"/>
        <v>6.7890827903585513E-3</v>
      </c>
      <c r="T192" s="95">
        <f t="shared" si="122"/>
        <v>6.5693430656934308E-3</v>
      </c>
      <c r="U192" s="95">
        <f t="shared" si="123"/>
        <v>-1.18E-2</v>
      </c>
      <c r="V192" s="96">
        <f t="shared" si="123"/>
        <v>7.2999999999999732E-3</v>
      </c>
    </row>
    <row r="193" spans="1:24">
      <c r="A193" s="82">
        <v>170</v>
      </c>
      <c r="B193" s="59" t="s">
        <v>253</v>
      </c>
      <c r="C193" s="60" t="s">
        <v>56</v>
      </c>
      <c r="D193" s="61">
        <v>2070606448.4100001</v>
      </c>
      <c r="E193" s="62">
        <f t="shared" si="119"/>
        <v>2.6550076642635274E-2</v>
      </c>
      <c r="F193" s="61">
        <v>1.7188000000000001</v>
      </c>
      <c r="G193" s="61">
        <v>1.7302999999999999</v>
      </c>
      <c r="H193" s="63">
        <v>1281</v>
      </c>
      <c r="I193" s="89">
        <v>1.6E-2</v>
      </c>
      <c r="J193" s="89">
        <v>0.33100000000000002</v>
      </c>
      <c r="K193" s="61">
        <v>2054281667.8599999</v>
      </c>
      <c r="L193" s="93">
        <f t="shared" si="120"/>
        <v>2.5986297248424373E-2</v>
      </c>
      <c r="M193" s="61">
        <v>1.728</v>
      </c>
      <c r="N193" s="61">
        <v>1.7398</v>
      </c>
      <c r="O193" s="63">
        <v>1308</v>
      </c>
      <c r="P193" s="89">
        <v>5.4000000000000003E-3</v>
      </c>
      <c r="Q193" s="89">
        <v>0.33710000000000001</v>
      </c>
      <c r="R193" s="95">
        <f t="shared" si="121"/>
        <v>-7.8840576211553094E-3</v>
      </c>
      <c r="S193" s="95">
        <f t="shared" si="122"/>
        <v>5.4903773912038743E-3</v>
      </c>
      <c r="T193" s="95">
        <f t="shared" si="122"/>
        <v>2.1077283372365339E-2</v>
      </c>
      <c r="U193" s="95">
        <f t="shared" si="123"/>
        <v>-1.06E-2</v>
      </c>
      <c r="V193" s="96">
        <f t="shared" si="123"/>
        <v>6.0999999999999943E-3</v>
      </c>
    </row>
    <row r="194" spans="1:24">
      <c r="A194" s="82">
        <v>171</v>
      </c>
      <c r="B194" s="59" t="s">
        <v>254</v>
      </c>
      <c r="C194" s="60" t="s">
        <v>123</v>
      </c>
      <c r="D194" s="67">
        <v>12046829464.700001</v>
      </c>
      <c r="E194" s="62">
        <f t="shared" si="119"/>
        <v>0.15446887351971078</v>
      </c>
      <c r="F194" s="61">
        <v>697.22</v>
      </c>
      <c r="G194" s="61">
        <v>706.04</v>
      </c>
      <c r="H194" s="63">
        <v>35</v>
      </c>
      <c r="I194" s="89">
        <v>7.4000000000000003E-3</v>
      </c>
      <c r="J194" s="89">
        <v>0.34860000000000002</v>
      </c>
      <c r="K194" s="67">
        <v>12058299608.4</v>
      </c>
      <c r="L194" s="93">
        <f t="shared" si="120"/>
        <v>0.15253534256617654</v>
      </c>
      <c r="M194" s="61">
        <v>697.90340000000003</v>
      </c>
      <c r="N194" s="61">
        <v>706.70280000000002</v>
      </c>
      <c r="O194" s="63">
        <v>35</v>
      </c>
      <c r="P194" s="89">
        <v>1E-3</v>
      </c>
      <c r="Q194" s="89">
        <v>0.34989999999999999</v>
      </c>
      <c r="R194" s="95">
        <f t="shared" si="121"/>
        <v>9.5212966478931509E-4</v>
      </c>
      <c r="S194" s="95">
        <f t="shared" si="122"/>
        <v>9.3875701093431132E-4</v>
      </c>
      <c r="T194" s="95">
        <f t="shared" si="122"/>
        <v>0</v>
      </c>
      <c r="U194" s="95">
        <f t="shared" si="123"/>
        <v>-6.4000000000000003E-3</v>
      </c>
      <c r="V194" s="96">
        <f t="shared" si="123"/>
        <v>1.2999999999999678E-3</v>
      </c>
    </row>
    <row r="195" spans="1:24">
      <c r="A195" s="71"/>
      <c r="B195" s="72"/>
      <c r="C195" s="73" t="s">
        <v>59</v>
      </c>
      <c r="D195" s="119">
        <f>SUM(D167:D194)</f>
        <v>77988718310.700836</v>
      </c>
      <c r="E195" s="75">
        <f>(D195/$D$229)</f>
        <v>1.1260833065180685E-2</v>
      </c>
      <c r="F195" s="76"/>
      <c r="G195" s="120"/>
      <c r="H195" s="78">
        <f>SUM(H167:H194)</f>
        <v>74765</v>
      </c>
      <c r="I195" s="141"/>
      <c r="J195" s="141"/>
      <c r="K195" s="119">
        <f>SUM(K167:K194)</f>
        <v>79052496329.947784</v>
      </c>
      <c r="L195" s="75">
        <f>(K195/$K$229)</f>
        <v>1.1260699315569693E-2</v>
      </c>
      <c r="M195" s="76"/>
      <c r="N195" s="120"/>
      <c r="O195" s="78">
        <f>SUM(O167:O194)</f>
        <v>75156</v>
      </c>
      <c r="P195" s="141"/>
      <c r="Q195" s="141"/>
      <c r="R195" s="95">
        <f t="shared" ref="R195" si="129">((K195-D195)/D195)</f>
        <v>1.3640152605264539E-2</v>
      </c>
      <c r="S195" s="95" t="e">
        <f t="shared" ref="S195" si="130">((N195-G195)/G195)</f>
        <v>#DIV/0!</v>
      </c>
      <c r="T195" s="95">
        <f t="shared" ref="T195" si="131">((O195-H195)/H195)</f>
        <v>5.2297197886711699E-3</v>
      </c>
      <c r="U195" s="95">
        <f t="shared" ref="U195" si="132">P195-I195</f>
        <v>0</v>
      </c>
      <c r="V195" s="96">
        <f t="shared" ref="V195" si="133">Q195-J195</f>
        <v>0</v>
      </c>
    </row>
    <row r="196" spans="1:24" ht="5.25" customHeight="1">
      <c r="A196" s="71"/>
      <c r="B196" s="185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  <c r="R196" s="185"/>
      <c r="S196" s="185"/>
      <c r="T196" s="185"/>
      <c r="U196" s="185"/>
      <c r="V196" s="185"/>
    </row>
    <row r="197" spans="1:24" ht="15" customHeight="1">
      <c r="A197" s="187" t="s">
        <v>255</v>
      </c>
      <c r="B197" s="187"/>
      <c r="C197" s="187"/>
      <c r="D197" s="187"/>
      <c r="E197" s="187"/>
      <c r="F197" s="187"/>
      <c r="G197" s="187"/>
      <c r="H197" s="187"/>
      <c r="I197" s="187"/>
      <c r="J197" s="187"/>
      <c r="K197" s="187"/>
      <c r="L197" s="187"/>
      <c r="M197" s="187"/>
      <c r="N197" s="187"/>
      <c r="O197" s="187"/>
      <c r="P197" s="187"/>
      <c r="Q197" s="187"/>
      <c r="R197" s="187"/>
      <c r="S197" s="187"/>
      <c r="T197" s="187"/>
      <c r="U197" s="187"/>
      <c r="V197" s="187"/>
    </row>
    <row r="198" spans="1:24">
      <c r="A198" s="174">
        <v>172</v>
      </c>
      <c r="B198" s="175" t="s">
        <v>256</v>
      </c>
      <c r="C198" s="177" t="s">
        <v>257</v>
      </c>
      <c r="D198" s="121">
        <v>1431080064.9300001</v>
      </c>
      <c r="E198" s="62">
        <f>(D198/$D$200)</f>
        <v>0.17241105309060706</v>
      </c>
      <c r="F198" s="122">
        <v>39.983800000000002</v>
      </c>
      <c r="G198" s="122">
        <v>40.370199999999997</v>
      </c>
      <c r="H198" s="63">
        <v>1497</v>
      </c>
      <c r="I198" s="89">
        <v>5.4999999999999997E-3</v>
      </c>
      <c r="J198" s="89">
        <v>0.50539999999999996</v>
      </c>
      <c r="K198" s="121">
        <v>1432200875.3800001</v>
      </c>
      <c r="L198" s="93">
        <f>(K198/$K$200)</f>
        <v>0.17000674569802648</v>
      </c>
      <c r="M198" s="122">
        <v>40.1417</v>
      </c>
      <c r="N198" s="122">
        <v>40.527500000000003</v>
      </c>
      <c r="O198" s="63">
        <v>1496</v>
      </c>
      <c r="P198" s="89">
        <v>5.4999999999999997E-3</v>
      </c>
      <c r="Q198" s="89">
        <v>0.50539999999999996</v>
      </c>
      <c r="R198" s="95">
        <f>((K198-D198)/D198)</f>
        <v>7.8319199426125127E-4</v>
      </c>
      <c r="S198" s="95">
        <f t="shared" ref="S198:T200" si="134">((N198-G198)/G198)</f>
        <v>3.8964384620340364E-3</v>
      </c>
      <c r="T198" s="95">
        <f t="shared" si="134"/>
        <v>-6.680026720106881E-4</v>
      </c>
      <c r="U198" s="95">
        <f t="shared" ref="U198:V200" si="135">P198-I198</f>
        <v>0</v>
      </c>
      <c r="V198" s="96">
        <f t="shared" si="135"/>
        <v>0</v>
      </c>
    </row>
    <row r="199" spans="1:24">
      <c r="A199" s="80">
        <v>173</v>
      </c>
      <c r="B199" s="59" t="s">
        <v>258</v>
      </c>
      <c r="C199" s="60" t="s">
        <v>53</v>
      </c>
      <c r="D199" s="81">
        <v>6869316222.1800003</v>
      </c>
      <c r="E199" s="62">
        <f>(D199/$D$200)</f>
        <v>0.82758894690939289</v>
      </c>
      <c r="F199" s="122">
        <v>4.47</v>
      </c>
      <c r="G199" s="122">
        <v>4.54</v>
      </c>
      <c r="H199" s="63">
        <v>11255</v>
      </c>
      <c r="I199" s="89">
        <v>1.5699999999999999E-2</v>
      </c>
      <c r="J199" s="89">
        <v>0.5655</v>
      </c>
      <c r="K199" s="81">
        <v>6992175872.1400003</v>
      </c>
      <c r="L199" s="93">
        <f>(K199/$K$200)</f>
        <v>0.82999325430197357</v>
      </c>
      <c r="M199" s="122">
        <v>4.54</v>
      </c>
      <c r="N199" s="122">
        <v>4.5999999999999996</v>
      </c>
      <c r="O199" s="63">
        <v>11289</v>
      </c>
      <c r="P199" s="89">
        <v>1.32E-2</v>
      </c>
      <c r="Q199" s="89">
        <v>0.58620000000000005</v>
      </c>
      <c r="R199" s="95">
        <f>((K199-D199)/D199)</f>
        <v>1.7885280861478541E-2</v>
      </c>
      <c r="S199" s="95">
        <f t="shared" si="134"/>
        <v>1.3215859030836918E-2</v>
      </c>
      <c r="T199" s="95">
        <f t="shared" si="134"/>
        <v>3.0208796090626386E-3</v>
      </c>
      <c r="U199" s="95">
        <f t="shared" si="135"/>
        <v>-2.4999999999999988E-3</v>
      </c>
      <c r="V199" s="96">
        <f t="shared" si="135"/>
        <v>2.0700000000000052E-2</v>
      </c>
    </row>
    <row r="200" spans="1:24">
      <c r="A200" s="71"/>
      <c r="B200" s="72"/>
      <c r="C200" s="111" t="s">
        <v>59</v>
      </c>
      <c r="D200" s="119">
        <f>SUM(D198:D199)</f>
        <v>8300396287.1100006</v>
      </c>
      <c r="E200" s="75">
        <f>(D200/$D$229)</f>
        <v>1.198498692998348E-3</v>
      </c>
      <c r="F200" s="76"/>
      <c r="G200" s="120"/>
      <c r="H200" s="78">
        <f>SUM(H198:H199)</f>
        <v>12752</v>
      </c>
      <c r="I200" s="141"/>
      <c r="J200" s="141"/>
      <c r="K200" s="119">
        <f>SUM(K198:K199)</f>
        <v>8424376747.5200005</v>
      </c>
      <c r="L200" s="75">
        <f>(K200/$K$229)</f>
        <v>1.2000174299234855E-3</v>
      </c>
      <c r="M200" s="76"/>
      <c r="N200" s="120"/>
      <c r="O200" s="78">
        <f>SUM(O198:O199)</f>
        <v>12785</v>
      </c>
      <c r="P200" s="141"/>
      <c r="Q200" s="141"/>
      <c r="R200" s="95">
        <f>((K200-D200)/D200)</f>
        <v>1.4936691709832433E-2</v>
      </c>
      <c r="S200" s="95" t="e">
        <f t="shared" si="134"/>
        <v>#DIV/0!</v>
      </c>
      <c r="T200" s="95">
        <f t="shared" si="134"/>
        <v>2.5878293601003764E-3</v>
      </c>
      <c r="U200" s="95">
        <f t="shared" si="135"/>
        <v>0</v>
      </c>
      <c r="V200" s="96">
        <f t="shared" si="135"/>
        <v>0</v>
      </c>
    </row>
    <row r="201" spans="1:24" ht="6" customHeight="1">
      <c r="A201" s="71"/>
      <c r="B201" s="185"/>
      <c r="C201" s="185"/>
      <c r="D201" s="185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  <c r="R201" s="185"/>
      <c r="S201" s="185"/>
      <c r="T201" s="185"/>
      <c r="U201" s="185"/>
      <c r="V201" s="185"/>
    </row>
    <row r="202" spans="1:24" ht="15" customHeight="1">
      <c r="A202" s="188" t="s">
        <v>259</v>
      </c>
      <c r="B202" s="188"/>
      <c r="C202" s="188"/>
      <c r="D202" s="188"/>
      <c r="E202" s="188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88"/>
      <c r="R202" s="188"/>
      <c r="S202" s="188"/>
      <c r="T202" s="188"/>
      <c r="U202" s="188"/>
      <c r="V202" s="188"/>
    </row>
    <row r="203" spans="1:24">
      <c r="A203" s="189" t="s">
        <v>260</v>
      </c>
      <c r="B203" s="189"/>
      <c r="C203" s="189"/>
      <c r="D203" s="189"/>
      <c r="E203" s="189"/>
      <c r="F203" s="189"/>
      <c r="G203" s="189"/>
      <c r="H203" s="189"/>
      <c r="I203" s="189"/>
      <c r="J203" s="189"/>
      <c r="K203" s="189"/>
      <c r="L203" s="189"/>
      <c r="M203" s="189"/>
      <c r="N203" s="189"/>
      <c r="O203" s="189"/>
      <c r="P203" s="189"/>
      <c r="Q203" s="189"/>
      <c r="R203" s="189"/>
      <c r="S203" s="189"/>
      <c r="T203" s="189"/>
      <c r="U203" s="189"/>
      <c r="V203" s="189"/>
    </row>
    <row r="204" spans="1:24">
      <c r="A204" s="174">
        <v>174</v>
      </c>
      <c r="B204" s="175" t="s">
        <v>261</v>
      </c>
      <c r="C204" s="177" t="s">
        <v>262</v>
      </c>
      <c r="D204" s="86">
        <v>7219665580.04</v>
      </c>
      <c r="E204" s="62">
        <f>(D204/$D$228)</f>
        <v>0.10529524949146334</v>
      </c>
      <c r="F204" s="123">
        <v>2.8</v>
      </c>
      <c r="G204" s="123">
        <v>2.85</v>
      </c>
      <c r="H204" s="84">
        <v>15200</v>
      </c>
      <c r="I204" s="92">
        <v>-4.3799999999999999E-2</v>
      </c>
      <c r="J204" s="92">
        <v>0.29730000000000001</v>
      </c>
      <c r="K204" s="86">
        <v>7426605276.1499996</v>
      </c>
      <c r="L204" s="62">
        <f>(K204/$K$228)</f>
        <v>0.10525099713367166</v>
      </c>
      <c r="M204" s="123">
        <v>2.82</v>
      </c>
      <c r="N204" s="123">
        <v>2.87</v>
      </c>
      <c r="O204" s="84">
        <v>15214</v>
      </c>
      <c r="P204" s="92">
        <v>9.5999999999999992E-3</v>
      </c>
      <c r="Q204" s="92">
        <v>0.30909999999999999</v>
      </c>
      <c r="R204" s="94">
        <f>((K204-D204)/D204)</f>
        <v>2.8663335415717847E-2</v>
      </c>
      <c r="S204" s="94">
        <f>((N204-G204)/G204)</f>
        <v>7.017543859649129E-3</v>
      </c>
      <c r="T204" s="94">
        <f>((O204-H204)/H204)</f>
        <v>9.2105263157894735E-4</v>
      </c>
      <c r="U204" s="94">
        <f>P204-I204</f>
        <v>5.3399999999999996E-2</v>
      </c>
      <c r="V204" s="145">
        <f>Q204-J204</f>
        <v>1.1799999999999977E-2</v>
      </c>
    </row>
    <row r="205" spans="1:24">
      <c r="A205" s="80">
        <v>175</v>
      </c>
      <c r="B205" s="59" t="s">
        <v>263</v>
      </c>
      <c r="C205" s="60" t="s">
        <v>53</v>
      </c>
      <c r="D205" s="86">
        <v>3257896780.52</v>
      </c>
      <c r="E205" s="62">
        <f>(D205/$D$228)</f>
        <v>4.7514812219375396E-2</v>
      </c>
      <c r="F205" s="123">
        <v>886.06</v>
      </c>
      <c r="G205" s="123">
        <v>897.18</v>
      </c>
      <c r="H205" s="84">
        <v>1980</v>
      </c>
      <c r="I205" s="92">
        <v>2.8299999999999999E-2</v>
      </c>
      <c r="J205" s="92">
        <v>0.77769999999999995</v>
      </c>
      <c r="K205" s="86">
        <v>3471200877.8899999</v>
      </c>
      <c r="L205" s="62">
        <f>(K205/$K$228)</f>
        <v>4.9194395024936256E-2</v>
      </c>
      <c r="M205" s="123">
        <v>901.12</v>
      </c>
      <c r="N205" s="123">
        <v>911.98</v>
      </c>
      <c r="O205" s="84">
        <v>2031</v>
      </c>
      <c r="P205" s="92">
        <v>1.6500000000000001E-2</v>
      </c>
      <c r="Q205" s="92">
        <v>0.80700000000000005</v>
      </c>
      <c r="R205" s="94">
        <f>((K205-D205)/D205)</f>
        <v>6.5472945197469989E-2</v>
      </c>
      <c r="S205" s="94">
        <f>((N205-G205)/G205)</f>
        <v>1.6496132325731813E-2</v>
      </c>
      <c r="T205" s="94">
        <f>((O205-H205)/H205)</f>
        <v>2.5757575757575757E-2</v>
      </c>
      <c r="U205" s="94">
        <f>P205-I205</f>
        <v>-1.1799999999999998E-2</v>
      </c>
      <c r="V205" s="145">
        <f>Q205-J205</f>
        <v>2.9300000000000104E-2</v>
      </c>
    </row>
    <row r="206" spans="1:24" ht="6" customHeight="1">
      <c r="A206" s="110"/>
      <c r="B206" s="185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</row>
    <row r="207" spans="1:24" ht="15" customHeight="1">
      <c r="A207" s="189" t="s">
        <v>195</v>
      </c>
      <c r="B207" s="189"/>
      <c r="C207" s="189"/>
      <c r="D207" s="189"/>
      <c r="E207" s="189"/>
      <c r="F207" s="189"/>
      <c r="G207" s="189"/>
      <c r="H207" s="189"/>
      <c r="I207" s="189"/>
      <c r="J207" s="189"/>
      <c r="K207" s="189"/>
      <c r="L207" s="189"/>
      <c r="M207" s="189"/>
      <c r="N207" s="189"/>
      <c r="O207" s="189"/>
      <c r="P207" s="189"/>
      <c r="Q207" s="189"/>
      <c r="R207" s="189"/>
      <c r="S207" s="189"/>
      <c r="T207" s="189"/>
      <c r="U207" s="189"/>
      <c r="V207" s="189"/>
    </row>
    <row r="208" spans="1:24">
      <c r="A208" s="80">
        <v>176</v>
      </c>
      <c r="B208" s="59" t="s">
        <v>264</v>
      </c>
      <c r="C208" s="60" t="s">
        <v>27</v>
      </c>
      <c r="D208" s="67">
        <v>1191473046.9100001</v>
      </c>
      <c r="E208" s="62">
        <f>(D208/$D$228)</f>
        <v>1.7377044732319494E-2</v>
      </c>
      <c r="F208" s="122">
        <v>1.1095999999999999</v>
      </c>
      <c r="G208" s="122">
        <v>1.1095999999999999</v>
      </c>
      <c r="H208" s="63">
        <v>693</v>
      </c>
      <c r="I208" s="89">
        <v>0.1177</v>
      </c>
      <c r="J208" s="89">
        <v>0.1229</v>
      </c>
      <c r="K208" s="67">
        <v>1194517905.3199999</v>
      </c>
      <c r="L208" s="62">
        <f t="shared" ref="L208:L221" si="136">(K208/$K$228)</f>
        <v>1.6928892266929663E-2</v>
      </c>
      <c r="M208" s="122">
        <v>1.1120000000000001</v>
      </c>
      <c r="N208" s="122">
        <v>1.1120000000000001</v>
      </c>
      <c r="O208" s="63">
        <v>695</v>
      </c>
      <c r="P208" s="89">
        <v>0.1128</v>
      </c>
      <c r="Q208" s="89">
        <v>0.1229</v>
      </c>
      <c r="R208" s="95">
        <f>((K208-D208)/D208)</f>
        <v>2.5555411579779074E-3</v>
      </c>
      <c r="S208" s="95">
        <f>((N208-G208)/G208)</f>
        <v>2.1629416005769465E-3</v>
      </c>
      <c r="T208" s="95">
        <f>((O208-H208)/H208)</f>
        <v>2.886002886002886E-3</v>
      </c>
      <c r="U208" s="95">
        <f>P208-I208</f>
        <v>-4.9000000000000016E-3</v>
      </c>
      <c r="V208" s="96">
        <f>Q208-J208</f>
        <v>0</v>
      </c>
      <c r="X208" s="146"/>
    </row>
    <row r="209" spans="1:24">
      <c r="A209" s="174">
        <v>177</v>
      </c>
      <c r="B209" s="175" t="s">
        <v>265</v>
      </c>
      <c r="C209" s="177" t="s">
        <v>266</v>
      </c>
      <c r="D209" s="67">
        <v>355967088.98000002</v>
      </c>
      <c r="E209" s="62">
        <f>(D209/$D$228)</f>
        <v>5.1916038256014851E-3</v>
      </c>
      <c r="F209" s="122">
        <v>1083.3499999999999</v>
      </c>
      <c r="G209" s="122">
        <v>1083.3499999999999</v>
      </c>
      <c r="H209" s="63">
        <v>17</v>
      </c>
      <c r="I209" s="89">
        <v>2.0199999999999999E-2</v>
      </c>
      <c r="J209" s="89">
        <v>6.2799999999999995E-2</v>
      </c>
      <c r="K209" s="67">
        <v>358622701.23000002</v>
      </c>
      <c r="L209" s="62">
        <f t="shared" si="136"/>
        <v>5.0824563169453614E-3</v>
      </c>
      <c r="M209" s="122">
        <v>1091.43</v>
      </c>
      <c r="N209" s="122">
        <v>1091.43</v>
      </c>
      <c r="O209" s="63">
        <v>17</v>
      </c>
      <c r="P209" s="89">
        <v>8.9999999999999993E-3</v>
      </c>
      <c r="Q209" s="89">
        <v>7.1800000000000003E-2</v>
      </c>
      <c r="R209" s="95">
        <f>((K209-D209)/D209)</f>
        <v>7.4602746495735887E-3</v>
      </c>
      <c r="S209" s="95">
        <f>((N209-G209)/G209)</f>
        <v>7.4583467946648411E-3</v>
      </c>
      <c r="T209" s="95">
        <f>((O209-H209)/H209)</f>
        <v>0</v>
      </c>
      <c r="U209" s="95">
        <f>P209-I209</f>
        <v>-1.12E-2</v>
      </c>
      <c r="V209" s="96">
        <f>Q209-J209</f>
        <v>9.000000000000008E-3</v>
      </c>
      <c r="X209" s="146"/>
    </row>
    <row r="210" spans="1:24">
      <c r="A210" s="80">
        <v>178</v>
      </c>
      <c r="B210" s="59" t="s">
        <v>267</v>
      </c>
      <c r="C210" s="60" t="s">
        <v>76</v>
      </c>
      <c r="D210" s="67">
        <v>241492740.06999999</v>
      </c>
      <c r="E210" s="62">
        <f>(D210/$D$228)</f>
        <v>3.5220520998019513E-3</v>
      </c>
      <c r="F210" s="122">
        <v>122.27</v>
      </c>
      <c r="G210" s="122">
        <v>122.27</v>
      </c>
      <c r="H210" s="63">
        <v>75</v>
      </c>
      <c r="I210" s="89">
        <v>7.7000000000000002E-3</v>
      </c>
      <c r="J210" s="89">
        <v>0.14180000000000001</v>
      </c>
      <c r="K210" s="67">
        <v>315531218.66000003</v>
      </c>
      <c r="L210" s="62">
        <f t="shared" si="136"/>
        <v>4.4717571697824032E-3</v>
      </c>
      <c r="M210" s="122">
        <v>122.53</v>
      </c>
      <c r="N210" s="122">
        <v>122.53</v>
      </c>
      <c r="O210" s="63">
        <v>76</v>
      </c>
      <c r="P210" s="89">
        <v>2.0999999999999999E-3</v>
      </c>
      <c r="Q210" s="89">
        <v>0.14180000000000001</v>
      </c>
      <c r="R210" s="95">
        <f t="shared" ref="R210:R229" si="137">((K210-D210)/D210)</f>
        <v>0.3065867676541289</v>
      </c>
      <c r="S210" s="95">
        <f t="shared" ref="S210:S228" si="138">((N210-G210)/G210)</f>
        <v>2.1264414819661824E-3</v>
      </c>
      <c r="T210" s="95">
        <f t="shared" ref="T210:T228" si="139">((O210-H210)/H210)</f>
        <v>1.3333333333333334E-2</v>
      </c>
      <c r="U210" s="95">
        <f t="shared" ref="U210:U228" si="140">P210-I210</f>
        <v>-5.6000000000000008E-3</v>
      </c>
      <c r="V210" s="96">
        <f t="shared" ref="V210:V228" si="141">Q210-J210</f>
        <v>0</v>
      </c>
    </row>
    <row r="211" spans="1:24">
      <c r="A211" s="174">
        <v>179</v>
      </c>
      <c r="B211" s="124" t="s">
        <v>268</v>
      </c>
      <c r="C211" s="60" t="s">
        <v>269</v>
      </c>
      <c r="D211" s="67">
        <v>0</v>
      </c>
      <c r="E211" s="62">
        <v>0</v>
      </c>
      <c r="F211" s="122">
        <v>0</v>
      </c>
      <c r="G211" s="122">
        <v>0</v>
      </c>
      <c r="H211" s="63">
        <v>0</v>
      </c>
      <c r="I211" s="89">
        <v>0</v>
      </c>
      <c r="J211" s="89">
        <v>0</v>
      </c>
      <c r="K211" s="67">
        <v>52018717.469999999</v>
      </c>
      <c r="L211" s="62">
        <f t="shared" si="136"/>
        <v>7.3721729912250462E-4</v>
      </c>
      <c r="M211" s="122">
        <v>102.26</v>
      </c>
      <c r="N211" s="122">
        <v>102.26</v>
      </c>
      <c r="O211" s="63">
        <v>9</v>
      </c>
      <c r="P211" s="89">
        <v>3.3500000000000002E-2</v>
      </c>
      <c r="Q211" s="89">
        <v>2.2599999999999999E-2</v>
      </c>
      <c r="R211" s="95" t="e">
        <f t="shared" si="137"/>
        <v>#DIV/0!</v>
      </c>
      <c r="S211" s="95" t="e">
        <f t="shared" si="138"/>
        <v>#DIV/0!</v>
      </c>
      <c r="T211" s="95" t="e">
        <f t="shared" si="139"/>
        <v>#DIV/0!</v>
      </c>
      <c r="U211" s="95">
        <f t="shared" si="140"/>
        <v>3.3500000000000002E-2</v>
      </c>
      <c r="V211" s="96">
        <f t="shared" si="141"/>
        <v>2.2599999999999999E-2</v>
      </c>
    </row>
    <row r="212" spans="1:24">
      <c r="A212" s="174">
        <v>180</v>
      </c>
      <c r="B212" s="180" t="s">
        <v>270</v>
      </c>
      <c r="C212" s="177" t="s">
        <v>82</v>
      </c>
      <c r="D212" s="81">
        <v>66401764.030000001</v>
      </c>
      <c r="E212" s="62">
        <f>(D212/$D$228)</f>
        <v>9.6843686631997554E-4</v>
      </c>
      <c r="F212" s="122">
        <v>101.26</v>
      </c>
      <c r="G212" s="122">
        <v>101.26</v>
      </c>
      <c r="H212" s="63">
        <v>17</v>
      </c>
      <c r="I212" s="89">
        <v>2E-3</v>
      </c>
      <c r="J212" s="89">
        <v>8.2799999999999999E-2</v>
      </c>
      <c r="K212" s="81">
        <v>66531452.509999998</v>
      </c>
      <c r="L212" s="62">
        <f t="shared" si="136"/>
        <v>9.4289402183754729E-4</v>
      </c>
      <c r="M212" s="122">
        <v>101.46</v>
      </c>
      <c r="N212" s="122">
        <v>101.46</v>
      </c>
      <c r="O212" s="63">
        <v>17</v>
      </c>
      <c r="P212" s="89">
        <v>2E-3</v>
      </c>
      <c r="Q212" s="89">
        <v>8.48E-2</v>
      </c>
      <c r="R212" s="95">
        <f t="shared" si="137"/>
        <v>1.953087871903585E-3</v>
      </c>
      <c r="S212" s="95">
        <f t="shared" si="138"/>
        <v>1.975113569030107E-3</v>
      </c>
      <c r="T212" s="95">
        <f t="shared" si="139"/>
        <v>0</v>
      </c>
      <c r="U212" s="95">
        <f t="shared" si="140"/>
        <v>0</v>
      </c>
      <c r="V212" s="96">
        <f t="shared" si="141"/>
        <v>2.0000000000000018E-3</v>
      </c>
    </row>
    <row r="213" spans="1:24">
      <c r="A213" s="174">
        <v>181</v>
      </c>
      <c r="B213" s="175" t="s">
        <v>271</v>
      </c>
      <c r="C213" s="177" t="s">
        <v>85</v>
      </c>
      <c r="D213" s="81">
        <v>188276612.88</v>
      </c>
      <c r="E213" s="62">
        <v>0</v>
      </c>
      <c r="F213" s="122">
        <v>1.1299999999999999</v>
      </c>
      <c r="G213" s="122">
        <v>1.1299999999999999</v>
      </c>
      <c r="H213" s="63">
        <v>52</v>
      </c>
      <c r="I213" s="89">
        <v>1.8E-3</v>
      </c>
      <c r="J213" s="89">
        <v>0.1115</v>
      </c>
      <c r="K213" s="81">
        <v>184508946.68000001</v>
      </c>
      <c r="L213" s="62">
        <f t="shared" si="136"/>
        <v>2.6148892927591785E-3</v>
      </c>
      <c r="M213" s="122">
        <v>1.1299999999999999</v>
      </c>
      <c r="N213" s="122">
        <v>1.1299999999999999</v>
      </c>
      <c r="O213" s="63">
        <v>52</v>
      </c>
      <c r="P213" s="89">
        <v>1.8E-3</v>
      </c>
      <c r="Q213" s="89">
        <v>0.1111</v>
      </c>
      <c r="R213" s="95">
        <f t="shared" ref="R213:R214" si="142">((K213-D213)/D213)</f>
        <v>-2.0011334081101981E-2</v>
      </c>
      <c r="S213" s="95">
        <f t="shared" ref="S213:S214" si="143">((N213-G213)/G213)</f>
        <v>0</v>
      </c>
      <c r="T213" s="95">
        <f t="shared" ref="T213" si="144">((O213-H213)/H213)</f>
        <v>0</v>
      </c>
      <c r="U213" s="95">
        <f t="shared" ref="U213" si="145">P213-I213</f>
        <v>0</v>
      </c>
      <c r="V213" s="96">
        <f t="shared" ref="V213" si="146">Q213-J213</f>
        <v>-3.9999999999999758E-4</v>
      </c>
    </row>
    <row r="214" spans="1:24">
      <c r="A214" s="80">
        <v>182</v>
      </c>
      <c r="B214" s="59" t="s">
        <v>272</v>
      </c>
      <c r="C214" s="60" t="s">
        <v>35</v>
      </c>
      <c r="D214" s="67">
        <v>4752244172.1000004</v>
      </c>
      <c r="E214" s="62">
        <f t="shared" ref="E214:E221" si="147">(D214/$D$228)</f>
        <v>6.9309129376993919E-2</v>
      </c>
      <c r="F214" s="122">
        <v>161.09</v>
      </c>
      <c r="G214" s="122">
        <v>161.09</v>
      </c>
      <c r="H214" s="63">
        <v>745</v>
      </c>
      <c r="I214" s="89">
        <v>2.3999999999999998E-3</v>
      </c>
      <c r="J214" s="89">
        <v>0.12280000000000001</v>
      </c>
      <c r="K214" s="67">
        <v>4820018390.29</v>
      </c>
      <c r="L214" s="62">
        <f t="shared" si="136"/>
        <v>6.831004515748966E-2</v>
      </c>
      <c r="M214" s="122">
        <v>161.44</v>
      </c>
      <c r="N214" s="122">
        <v>161.44</v>
      </c>
      <c r="O214" s="63">
        <v>748</v>
      </c>
      <c r="P214" s="89">
        <v>2.2000000000000001E-3</v>
      </c>
      <c r="Q214" s="89">
        <v>0.12529999999999999</v>
      </c>
      <c r="R214" s="95">
        <f t="shared" si="142"/>
        <v>1.4261518502752014E-2</v>
      </c>
      <c r="S214" s="95">
        <f t="shared" si="143"/>
        <v>2.1726984915264405E-3</v>
      </c>
      <c r="T214" s="95">
        <f t="shared" si="139"/>
        <v>4.0268456375838931E-3</v>
      </c>
      <c r="U214" s="95">
        <f t="shared" si="140"/>
        <v>-1.9999999999999966E-4</v>
      </c>
      <c r="V214" s="96">
        <f t="shared" si="141"/>
        <v>2.4999999999999883E-3</v>
      </c>
    </row>
    <row r="215" spans="1:24">
      <c r="A215" s="174">
        <v>183</v>
      </c>
      <c r="B215" s="59" t="s">
        <v>273</v>
      </c>
      <c r="C215" s="60" t="s">
        <v>74</v>
      </c>
      <c r="D215" s="67">
        <v>815700606.41999996</v>
      </c>
      <c r="E215" s="62">
        <f t="shared" si="147"/>
        <v>1.1896589656560793E-2</v>
      </c>
      <c r="F215" s="66">
        <v>1301.67</v>
      </c>
      <c r="G215" s="66">
        <v>1301.67</v>
      </c>
      <c r="H215" s="63">
        <v>268</v>
      </c>
      <c r="I215" s="89">
        <v>0.1076</v>
      </c>
      <c r="J215" s="89">
        <v>0.1278</v>
      </c>
      <c r="K215" s="67">
        <v>819391918.97802401</v>
      </c>
      <c r="L215" s="62">
        <f t="shared" si="136"/>
        <v>1.1612548844176358E-2</v>
      </c>
      <c r="M215" s="66">
        <v>1307.0418533279101</v>
      </c>
      <c r="N215" s="66">
        <v>1307.0418533279101</v>
      </c>
      <c r="O215" s="63">
        <v>271</v>
      </c>
      <c r="P215" s="89">
        <v>0.1075</v>
      </c>
      <c r="Q215" s="89">
        <v>0.1273</v>
      </c>
      <c r="R215" s="95">
        <f t="shared" si="137"/>
        <v>4.5253277108922626E-3</v>
      </c>
      <c r="S215" s="95">
        <f t="shared" si="138"/>
        <v>4.126893396874786E-3</v>
      </c>
      <c r="T215" s="95">
        <f t="shared" si="139"/>
        <v>1.1194029850746268E-2</v>
      </c>
      <c r="U215" s="95">
        <f t="shared" si="140"/>
        <v>-1.0000000000000286E-4</v>
      </c>
      <c r="V215" s="96">
        <f t="shared" si="141"/>
        <v>-5.0000000000000044E-4</v>
      </c>
    </row>
    <row r="216" spans="1:24">
      <c r="A216" s="174">
        <v>184</v>
      </c>
      <c r="B216" s="175" t="s">
        <v>274</v>
      </c>
      <c r="C216" s="177" t="s">
        <v>262</v>
      </c>
      <c r="D216" s="67">
        <v>35229468765.419998</v>
      </c>
      <c r="E216" s="62">
        <f t="shared" si="147"/>
        <v>0.51380436697264054</v>
      </c>
      <c r="F216" s="66">
        <v>1260.8499999999999</v>
      </c>
      <c r="G216" s="66">
        <v>1260.8499999999999</v>
      </c>
      <c r="H216" s="63">
        <v>11098</v>
      </c>
      <c r="I216" s="89">
        <v>-2.8899999999999999E-2</v>
      </c>
      <c r="J216" s="89">
        <v>0.1187</v>
      </c>
      <c r="K216" s="67">
        <v>35956453498.059998</v>
      </c>
      <c r="L216" s="62">
        <f t="shared" si="136"/>
        <v>0.50958041303404178</v>
      </c>
      <c r="M216" s="66">
        <v>1263.3699999999999</v>
      </c>
      <c r="N216" s="66">
        <v>1263.3699999999999</v>
      </c>
      <c r="O216" s="63">
        <v>11149</v>
      </c>
      <c r="P216" s="89">
        <v>2E-3</v>
      </c>
      <c r="Q216" s="89">
        <v>0.1207</v>
      </c>
      <c r="R216" s="95">
        <f t="shared" si="137"/>
        <v>2.0635699546896997E-2</v>
      </c>
      <c r="S216" s="95">
        <f t="shared" si="138"/>
        <v>1.9986517032160702E-3</v>
      </c>
      <c r="T216" s="95">
        <f t="shared" si="139"/>
        <v>4.5954225986664264E-3</v>
      </c>
      <c r="U216" s="95">
        <f t="shared" si="140"/>
        <v>3.0899999999999997E-2</v>
      </c>
      <c r="V216" s="96">
        <f t="shared" si="141"/>
        <v>2.0000000000000018E-3</v>
      </c>
    </row>
    <row r="217" spans="1:24">
      <c r="A217" s="174">
        <v>185</v>
      </c>
      <c r="B217" s="59" t="s">
        <v>275</v>
      </c>
      <c r="C217" s="60" t="s">
        <v>276</v>
      </c>
      <c r="D217" s="67">
        <v>382935359.49000001</v>
      </c>
      <c r="E217" s="62">
        <f t="shared" si="147"/>
        <v>5.584922704464014E-3</v>
      </c>
      <c r="F217" s="123">
        <v>118.35</v>
      </c>
      <c r="G217" s="123">
        <v>119.26</v>
      </c>
      <c r="H217" s="84">
        <v>134</v>
      </c>
      <c r="I217" s="89">
        <v>1E-4</v>
      </c>
      <c r="J217" s="89">
        <v>-4.6600000000000003E-2</v>
      </c>
      <c r="K217" s="67">
        <v>368802453.72000003</v>
      </c>
      <c r="L217" s="62">
        <f t="shared" si="136"/>
        <v>5.2267253416621176E-3</v>
      </c>
      <c r="M217" s="123">
        <v>118.65</v>
      </c>
      <c r="N217" s="123">
        <v>119.59739999999999</v>
      </c>
      <c r="O217" s="84">
        <v>133</v>
      </c>
      <c r="P217" s="89">
        <v>2.8E-3</v>
      </c>
      <c r="Q217" s="89">
        <v>-4.3400000000000001E-2</v>
      </c>
      <c r="R217" s="95">
        <f t="shared" si="137"/>
        <v>-3.6906766167591393E-2</v>
      </c>
      <c r="S217" s="95">
        <f t="shared" si="138"/>
        <v>2.8291128626529273E-3</v>
      </c>
      <c r="T217" s="95">
        <f t="shared" si="139"/>
        <v>-7.462686567164179E-3</v>
      </c>
      <c r="U217" s="95">
        <f t="shared" si="140"/>
        <v>2.7000000000000001E-3</v>
      </c>
      <c r="V217" s="96">
        <f t="shared" si="141"/>
        <v>3.2000000000000015E-3</v>
      </c>
    </row>
    <row r="218" spans="1:24">
      <c r="A218" s="80">
        <v>186</v>
      </c>
      <c r="B218" s="59" t="s">
        <v>277</v>
      </c>
      <c r="C218" s="60" t="s">
        <v>276</v>
      </c>
      <c r="D218" s="67">
        <v>328078655.51999998</v>
      </c>
      <c r="E218" s="62">
        <f t="shared" si="147"/>
        <v>4.7848648254994186E-3</v>
      </c>
      <c r="F218" s="123">
        <v>130.16</v>
      </c>
      <c r="G218" s="123">
        <v>130.16</v>
      </c>
      <c r="H218" s="84">
        <v>126</v>
      </c>
      <c r="I218" s="89">
        <v>3.7000000000000002E-3</v>
      </c>
      <c r="J218" s="89">
        <v>0.16550000000000001</v>
      </c>
      <c r="K218" s="67">
        <v>330323380.26999998</v>
      </c>
      <c r="L218" s="62">
        <f t="shared" si="136"/>
        <v>4.6813939690094671E-3</v>
      </c>
      <c r="M218" s="123">
        <v>130.88999999999999</v>
      </c>
      <c r="N218" s="123">
        <v>130.88999999999999</v>
      </c>
      <c r="O218" s="84">
        <v>126</v>
      </c>
      <c r="P218" s="89">
        <v>5.5999999999999999E-3</v>
      </c>
      <c r="Q218" s="89">
        <v>0.1719</v>
      </c>
      <c r="R218" s="95">
        <f t="shared" si="137"/>
        <v>6.8420322755899602E-3</v>
      </c>
      <c r="S218" s="95">
        <f t="shared" si="138"/>
        <v>5.6084818684694971E-3</v>
      </c>
      <c r="T218" s="95">
        <f t="shared" si="139"/>
        <v>0</v>
      </c>
      <c r="U218" s="95">
        <f t="shared" si="140"/>
        <v>1.8999999999999998E-3</v>
      </c>
      <c r="V218" s="96">
        <f t="shared" si="141"/>
        <v>6.399999999999989E-3</v>
      </c>
    </row>
    <row r="219" spans="1:24" ht="13.5" customHeight="1">
      <c r="A219" s="174">
        <v>187</v>
      </c>
      <c r="B219" s="59" t="s">
        <v>278</v>
      </c>
      <c r="C219" s="60" t="s">
        <v>105</v>
      </c>
      <c r="D219" s="67">
        <v>2278950885</v>
      </c>
      <c r="E219" s="62">
        <f t="shared" si="147"/>
        <v>3.3237370810953362E-2</v>
      </c>
      <c r="F219" s="99">
        <v>104.41</v>
      </c>
      <c r="G219" s="99">
        <v>104.41</v>
      </c>
      <c r="H219" s="63">
        <v>706</v>
      </c>
      <c r="I219" s="89">
        <v>2.8999999999999998E-3</v>
      </c>
      <c r="J219" s="89">
        <v>0.1537</v>
      </c>
      <c r="K219" s="67">
        <v>2286095643</v>
      </c>
      <c r="L219" s="62">
        <f t="shared" si="136"/>
        <v>3.2398900577280718E-2</v>
      </c>
      <c r="M219" s="99">
        <v>104.68</v>
      </c>
      <c r="N219" s="99">
        <v>104.68</v>
      </c>
      <c r="O219" s="63">
        <v>710</v>
      </c>
      <c r="P219" s="89">
        <v>2.5000000000000001E-3</v>
      </c>
      <c r="Q219" s="89">
        <v>0.1532</v>
      </c>
      <c r="R219" s="95">
        <f t="shared" si="137"/>
        <v>3.1351083724649904E-3</v>
      </c>
      <c r="S219" s="95">
        <f t="shared" si="138"/>
        <v>2.5859591993105092E-3</v>
      </c>
      <c r="T219" s="95">
        <f t="shared" si="139"/>
        <v>5.6657223796033997E-3</v>
      </c>
      <c r="U219" s="95">
        <f t="shared" si="140"/>
        <v>-3.9999999999999975E-4</v>
      </c>
      <c r="V219" s="96">
        <f t="shared" si="141"/>
        <v>-5.0000000000000044E-4</v>
      </c>
    </row>
    <row r="220" spans="1:24" ht="15.75" customHeight="1">
      <c r="A220" s="80">
        <v>188</v>
      </c>
      <c r="B220" s="59" t="s">
        <v>279</v>
      </c>
      <c r="C220" s="60" t="s">
        <v>53</v>
      </c>
      <c r="D220" s="67">
        <v>5257837077.7299995</v>
      </c>
      <c r="E220" s="62">
        <f t="shared" si="147"/>
        <v>7.6682951689014317E-2</v>
      </c>
      <c r="F220" s="99">
        <v>141.19</v>
      </c>
      <c r="G220" s="99">
        <v>141.19</v>
      </c>
      <c r="H220" s="63">
        <v>1600</v>
      </c>
      <c r="I220" s="89">
        <v>1.9E-3</v>
      </c>
      <c r="J220" s="89">
        <v>5.1299999999999998E-2</v>
      </c>
      <c r="K220" s="67">
        <v>5196317890.8599997</v>
      </c>
      <c r="L220" s="62">
        <f t="shared" si="136"/>
        <v>7.3643019805150894E-2</v>
      </c>
      <c r="M220" s="99">
        <v>141.47</v>
      </c>
      <c r="N220" s="99">
        <v>141.47</v>
      </c>
      <c r="O220" s="63">
        <v>1621</v>
      </c>
      <c r="P220" s="89">
        <v>2E-3</v>
      </c>
      <c r="Q220" s="89">
        <v>5.3400000000000003E-2</v>
      </c>
      <c r="R220" s="95">
        <f t="shared" si="137"/>
        <v>-1.1700474160861592E-2</v>
      </c>
      <c r="S220" s="95">
        <f t="shared" si="138"/>
        <v>1.98314328210214E-3</v>
      </c>
      <c r="T220" s="95">
        <f t="shared" si="139"/>
        <v>1.3125E-2</v>
      </c>
      <c r="U220" s="95">
        <f t="shared" si="140"/>
        <v>1.0000000000000005E-4</v>
      </c>
      <c r="V220" s="96">
        <f t="shared" si="141"/>
        <v>2.1000000000000046E-3</v>
      </c>
    </row>
    <row r="221" spans="1:24">
      <c r="A221" s="174">
        <v>189</v>
      </c>
      <c r="B221" s="59" t="s">
        <v>280</v>
      </c>
      <c r="C221" s="60" t="s">
        <v>56</v>
      </c>
      <c r="D221" s="67">
        <v>3997485738.1700001</v>
      </c>
      <c r="E221" s="62">
        <f t="shared" si="147"/>
        <v>5.8301351146079622E-2</v>
      </c>
      <c r="F221" s="99">
        <v>1.1928000000000001</v>
      </c>
      <c r="G221" s="99">
        <v>1.1928000000000001</v>
      </c>
      <c r="H221" s="63">
        <v>1917</v>
      </c>
      <c r="I221" s="89">
        <v>2.3999999999999998E-3</v>
      </c>
      <c r="J221" s="89">
        <v>0.1069</v>
      </c>
      <c r="K221" s="67">
        <v>3938350448.77</v>
      </c>
      <c r="L221" s="62">
        <f t="shared" si="136"/>
        <v>5.5814910902303019E-2</v>
      </c>
      <c r="M221" s="99">
        <v>1.1951000000000001</v>
      </c>
      <c r="N221" s="99">
        <v>1.1951000000000001</v>
      </c>
      <c r="O221" s="63">
        <v>1932</v>
      </c>
      <c r="P221" s="89">
        <v>1.9E-3</v>
      </c>
      <c r="Q221" s="89">
        <v>0.1066</v>
      </c>
      <c r="R221" s="95">
        <f t="shared" si="137"/>
        <v>-1.4793120794740221E-2</v>
      </c>
      <c r="S221" s="95">
        <f t="shared" si="138"/>
        <v>1.9282360831656344E-3</v>
      </c>
      <c r="T221" s="95">
        <f t="shared" si="139"/>
        <v>7.8247261345852897E-3</v>
      </c>
      <c r="U221" s="95">
        <f t="shared" si="140"/>
        <v>-4.9999999999999979E-4</v>
      </c>
      <c r="V221" s="96">
        <f t="shared" si="141"/>
        <v>-2.9999999999999472E-4</v>
      </c>
    </row>
    <row r="222" spans="1:24" ht="6" customHeight="1">
      <c r="A222" s="71"/>
      <c r="B222" s="185"/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  <c r="R222" s="185"/>
      <c r="S222" s="185"/>
      <c r="T222" s="185"/>
      <c r="U222" s="185"/>
      <c r="V222" s="185"/>
    </row>
    <row r="223" spans="1:24">
      <c r="A223" s="189" t="s">
        <v>281</v>
      </c>
      <c r="B223" s="189"/>
      <c r="C223" s="189"/>
      <c r="D223" s="189"/>
      <c r="E223" s="189"/>
      <c r="F223" s="189"/>
      <c r="G223" s="189"/>
      <c r="H223" s="189"/>
      <c r="I223" s="189"/>
      <c r="J223" s="189"/>
      <c r="K223" s="189"/>
      <c r="L223" s="189"/>
      <c r="M223" s="189"/>
      <c r="N223" s="189"/>
      <c r="O223" s="189"/>
      <c r="P223" s="189"/>
      <c r="Q223" s="189"/>
      <c r="R223" s="189"/>
      <c r="S223" s="189"/>
      <c r="T223" s="189"/>
      <c r="U223" s="189"/>
      <c r="V223" s="189"/>
    </row>
    <row r="224" spans="1:24">
      <c r="A224" s="80">
        <v>190</v>
      </c>
      <c r="B224" s="59" t="s">
        <v>282</v>
      </c>
      <c r="C224" s="60" t="s">
        <v>23</v>
      </c>
      <c r="D224" s="121">
        <v>0</v>
      </c>
      <c r="E224" s="62">
        <f>(D224/$D$200)</f>
        <v>0</v>
      </c>
      <c r="F224" s="122">
        <v>0</v>
      </c>
      <c r="G224" s="122">
        <v>0</v>
      </c>
      <c r="H224" s="65">
        <v>0</v>
      </c>
      <c r="I224" s="90">
        <v>0</v>
      </c>
      <c r="J224" s="90">
        <v>0</v>
      </c>
      <c r="K224" s="121">
        <v>347800905.69</v>
      </c>
      <c r="L224" s="93">
        <f>(K224/$K$200)</f>
        <v>4.1285060736675497E-2</v>
      </c>
      <c r="M224" s="122">
        <v>102.44199999999999</v>
      </c>
      <c r="N224" s="122">
        <v>102.44199999999999</v>
      </c>
      <c r="O224" s="65">
        <v>108</v>
      </c>
      <c r="P224" s="90">
        <v>4.1000000000000003E-3</v>
      </c>
      <c r="Q224" s="90">
        <v>2.4400000000000002E-2</v>
      </c>
      <c r="R224" s="95" t="e">
        <f>((K224-D224)/D224)</f>
        <v>#DIV/0!</v>
      </c>
      <c r="S224" s="95" t="e">
        <f t="shared" ref="S224" si="148">((N224-G224)/G224)</f>
        <v>#DIV/0!</v>
      </c>
      <c r="T224" s="95" t="e">
        <f t="shared" ref="T224" si="149">((O224-H224)/H224)</f>
        <v>#DIV/0!</v>
      </c>
      <c r="U224" s="95">
        <f t="shared" ref="U224" si="150">P224-I224</f>
        <v>4.1000000000000003E-3</v>
      </c>
      <c r="V224" s="96">
        <f t="shared" ref="V224" si="151">Q224-J224</f>
        <v>2.4400000000000002E-2</v>
      </c>
    </row>
    <row r="225" spans="1:22">
      <c r="A225" s="80">
        <v>191</v>
      </c>
      <c r="B225" s="59" t="s">
        <v>283</v>
      </c>
      <c r="C225" s="60" t="s">
        <v>27</v>
      </c>
      <c r="D225" s="121">
        <v>2599729209.52</v>
      </c>
      <c r="E225" s="62">
        <f>(D225/$D$200)</f>
        <v>0.31320543255955358</v>
      </c>
      <c r="F225" s="122">
        <v>97.453800000000001</v>
      </c>
      <c r="G225" s="122">
        <v>100.3921</v>
      </c>
      <c r="H225" s="65">
        <v>2768</v>
      </c>
      <c r="I225" s="90">
        <v>0.87450000000000006</v>
      </c>
      <c r="J225" s="90">
        <v>0.54330000000000001</v>
      </c>
      <c r="K225" s="121">
        <v>3012364646.5500002</v>
      </c>
      <c r="L225" s="93">
        <f>(K225/$K$200)</f>
        <v>0.3575771522132829</v>
      </c>
      <c r="M225" s="122">
        <v>98.579700000000003</v>
      </c>
      <c r="N225" s="122">
        <v>101.55200000000001</v>
      </c>
      <c r="O225" s="65">
        <v>2878</v>
      </c>
      <c r="P225" s="90">
        <v>0.60240000000000005</v>
      </c>
      <c r="Q225" s="90">
        <v>0.55089999999999995</v>
      </c>
      <c r="R225" s="95">
        <f>((K225-D225)/D225)</f>
        <v>0.15872246829360623</v>
      </c>
      <c r="S225" s="95">
        <f t="shared" ref="S225" si="152">((N225-G225)/G225)</f>
        <v>1.1553697950336804E-2</v>
      </c>
      <c r="T225" s="95">
        <f t="shared" ref="T225" si="153">((O225-H225)/H225)</f>
        <v>3.9739884393063585E-2</v>
      </c>
      <c r="U225" s="95">
        <f t="shared" ref="U225" si="154">P225-I225</f>
        <v>-0.27210000000000001</v>
      </c>
      <c r="V225" s="96">
        <f t="shared" ref="V225" si="155">Q225-J225</f>
        <v>7.5999999999999401E-3</v>
      </c>
    </row>
    <row r="226" spans="1:22">
      <c r="A226" s="174">
        <v>192</v>
      </c>
      <c r="B226" s="175" t="s">
        <v>284</v>
      </c>
      <c r="C226" s="177" t="s">
        <v>262</v>
      </c>
      <c r="D226" s="67">
        <v>275923888.10000002</v>
      </c>
      <c r="E226" s="62">
        <f t="shared" ref="E226" si="156">(D226/$D$228)</f>
        <v>4.0242133539353147E-3</v>
      </c>
      <c r="F226" s="66">
        <v>1229.78</v>
      </c>
      <c r="G226" s="66">
        <v>1229.78</v>
      </c>
      <c r="H226" s="63">
        <v>155</v>
      </c>
      <c r="I226" s="89">
        <v>-6.1000000000000004E-3</v>
      </c>
      <c r="J226" s="89">
        <v>0.1111</v>
      </c>
      <c r="K226" s="67">
        <v>276596847.68000001</v>
      </c>
      <c r="L226" s="62">
        <f t="shared" ref="L226" si="157">(K226/$K$228)</f>
        <v>3.9199732502064781E-3</v>
      </c>
      <c r="M226" s="66">
        <v>1232.78</v>
      </c>
      <c r="N226" s="66">
        <v>1232.78</v>
      </c>
      <c r="O226" s="63">
        <v>157</v>
      </c>
      <c r="P226" s="89">
        <v>2.3999999999999998E-3</v>
      </c>
      <c r="Q226" s="89">
        <v>0.1134</v>
      </c>
      <c r="R226" s="95">
        <f t="shared" ref="R226" si="158">((K226-D226)/D226)</f>
        <v>2.4389319266046659E-3</v>
      </c>
      <c r="S226" s="95">
        <f t="shared" ref="S226" si="159">((N226-G226)/G226)</f>
        <v>2.439460716550928E-3</v>
      </c>
      <c r="T226" s="95">
        <f t="shared" ref="T226" si="160">((O226-H226)/H226)</f>
        <v>1.2903225806451613E-2</v>
      </c>
      <c r="U226" s="95">
        <f t="shared" ref="U226" si="161">P226-I226</f>
        <v>8.5000000000000006E-3</v>
      </c>
      <c r="V226" s="96">
        <f t="shared" ref="V226" si="162">Q226-J226</f>
        <v>2.2999999999999965E-3</v>
      </c>
    </row>
    <row r="227" spans="1:22">
      <c r="A227" s="174">
        <v>193</v>
      </c>
      <c r="B227" s="175" t="s">
        <v>285</v>
      </c>
      <c r="C227" s="177" t="s">
        <v>286</v>
      </c>
      <c r="D227" s="67">
        <v>126391336.08</v>
      </c>
      <c r="E227" s="62">
        <f t="shared" ref="E227" si="163">(D227/$D$228)</f>
        <v>1.84335508598852E-3</v>
      </c>
      <c r="F227" s="66">
        <v>109.72</v>
      </c>
      <c r="G227" s="66">
        <v>111.98</v>
      </c>
      <c r="H227" s="63">
        <v>298</v>
      </c>
      <c r="I227" s="89">
        <v>2.3999999999999998E-3</v>
      </c>
      <c r="J227" s="89">
        <v>5.3900000000000003E-2</v>
      </c>
      <c r="K227" s="67">
        <v>138848709.19</v>
      </c>
      <c r="L227" s="62">
        <f t="shared" ref="L227" si="164">(K227/$K$228)</f>
        <v>1.9677853540839688E-3</v>
      </c>
      <c r="M227" s="66">
        <v>110.06</v>
      </c>
      <c r="N227" s="66">
        <v>112.33</v>
      </c>
      <c r="O227" s="63">
        <v>308</v>
      </c>
      <c r="P227" s="89">
        <v>3.0999999999999999E-3</v>
      </c>
      <c r="Q227" s="89">
        <v>4.9799999999999997E-2</v>
      </c>
      <c r="R227" s="95">
        <f t="shared" ref="R227" si="165">((K227-D227)/D227)</f>
        <v>9.856192280549235E-2</v>
      </c>
      <c r="S227" s="95">
        <f t="shared" ref="S227" si="166">((N227-G227)/G227)</f>
        <v>3.125558135381267E-3</v>
      </c>
      <c r="T227" s="95">
        <f t="shared" ref="T227" si="167">((O227-H227)/H227)</f>
        <v>3.3557046979865772E-2</v>
      </c>
      <c r="U227" s="95">
        <f t="shared" ref="U227" si="168">P227-I227</f>
        <v>7.000000000000001E-4</v>
      </c>
      <c r="V227" s="96">
        <f t="shared" ref="V227" si="169">Q227-J227</f>
        <v>-4.1000000000000064E-3</v>
      </c>
    </row>
    <row r="228" spans="1:22">
      <c r="A228" s="71"/>
      <c r="B228" s="72"/>
      <c r="C228" s="111" t="s">
        <v>59</v>
      </c>
      <c r="D228" s="98">
        <f>SUM(D204:D227)</f>
        <v>68565919306.97998</v>
      </c>
      <c r="E228" s="75">
        <f>(D228/$D$229)</f>
        <v>9.9002700390655052E-3</v>
      </c>
      <c r="F228" s="76"/>
      <c r="G228" s="114"/>
      <c r="H228" s="125">
        <f>SUM(H204:H227)</f>
        <v>37849</v>
      </c>
      <c r="I228" s="116"/>
      <c r="J228" s="116"/>
      <c r="K228" s="98">
        <f>SUM(K204:K227)</f>
        <v>70560901828.968018</v>
      </c>
      <c r="L228" s="75">
        <f>(K228/$K$229)</f>
        <v>1.0051106996230706E-2</v>
      </c>
      <c r="M228" s="76"/>
      <c r="N228" s="114"/>
      <c r="O228" s="78">
        <f>SUM(O204:O227)</f>
        <v>38252</v>
      </c>
      <c r="P228" s="116"/>
      <c r="Q228" s="116"/>
      <c r="R228" s="95">
        <f t="shared" si="137"/>
        <v>2.909583277161645E-2</v>
      </c>
      <c r="S228" s="95" t="e">
        <f t="shared" si="138"/>
        <v>#DIV/0!</v>
      </c>
      <c r="T228" s="95">
        <f t="shared" si="139"/>
        <v>1.0647573251605062E-2</v>
      </c>
      <c r="U228" s="95">
        <f t="shared" si="140"/>
        <v>0</v>
      </c>
      <c r="V228" s="96">
        <f t="shared" si="141"/>
        <v>0</v>
      </c>
    </row>
    <row r="229" spans="1:22">
      <c r="A229" s="126"/>
      <c r="B229" s="126"/>
      <c r="C229" s="127" t="s">
        <v>287</v>
      </c>
      <c r="D229" s="128">
        <f>SUM(D25,D71,D113,D155,D164,D195,D200,D228)</f>
        <v>6925661526041.7656</v>
      </c>
      <c r="E229" s="129"/>
      <c r="F229" s="129"/>
      <c r="G229" s="130"/>
      <c r="H229" s="128">
        <f>SUM(H25,H71,H113,H155,H164,H195,H200,H228)</f>
        <v>1031105</v>
      </c>
      <c r="I229" s="142"/>
      <c r="J229" s="142"/>
      <c r="K229" s="128">
        <f>SUM(K25,K71,K113,K155,K164,K195,K200,K228)</f>
        <v>7020211988135.1631</v>
      </c>
      <c r="L229" s="129"/>
      <c r="M229" s="129"/>
      <c r="N229" s="130"/>
      <c r="O229" s="128">
        <f>SUM(O25,O71,O113,O155,O164,O195,O200,O228)</f>
        <v>1020758</v>
      </c>
      <c r="P229" s="143"/>
      <c r="Q229" s="128"/>
      <c r="R229" s="147">
        <f t="shared" si="137"/>
        <v>1.3652192175125838E-2</v>
      </c>
      <c r="S229" s="147"/>
      <c r="T229" s="147"/>
      <c r="U229" s="147"/>
      <c r="V229" s="147"/>
    </row>
    <row r="230" spans="1:22" ht="6.75" customHeight="1">
      <c r="A230" s="71"/>
      <c r="B230" s="185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  <c r="R230" s="185"/>
      <c r="S230" s="185"/>
      <c r="T230" s="185"/>
      <c r="U230" s="185"/>
      <c r="V230" s="72"/>
    </row>
    <row r="231" spans="1:22" ht="14.4" customHeight="1">
      <c r="A231" s="188" t="s">
        <v>288</v>
      </c>
      <c r="B231" s="188"/>
      <c r="C231" s="188"/>
      <c r="D231" s="188"/>
      <c r="E231" s="188"/>
      <c r="F231" s="188"/>
      <c r="G231" s="188"/>
      <c r="H231" s="188"/>
      <c r="I231" s="188"/>
      <c r="J231" s="188"/>
      <c r="K231" s="188"/>
      <c r="L231" s="188"/>
      <c r="M231" s="188"/>
      <c r="N231" s="188"/>
      <c r="O231" s="188"/>
      <c r="P231" s="188"/>
      <c r="Q231" s="188"/>
      <c r="R231" s="188"/>
      <c r="S231" s="188"/>
      <c r="T231" s="188"/>
      <c r="U231" s="188"/>
      <c r="V231" s="188"/>
    </row>
    <row r="232" spans="1:22" ht="14.4" customHeight="1">
      <c r="A232" s="80">
        <v>1</v>
      </c>
      <c r="B232" s="59" t="s">
        <v>289</v>
      </c>
      <c r="C232" s="60" t="s">
        <v>27</v>
      </c>
      <c r="D232" s="67">
        <v>1818813893.3868999</v>
      </c>
      <c r="E232" s="62">
        <f t="shared" ref="E232:E235" si="170">(D232/$D$228)</f>
        <v>2.6526500508857694E-2</v>
      </c>
      <c r="F232" s="66">
        <v>1487.6233579</v>
      </c>
      <c r="G232" s="66">
        <v>1487.6233579</v>
      </c>
      <c r="H232" s="63">
        <v>49</v>
      </c>
      <c r="I232" s="89">
        <v>4.5900000000000003E-2</v>
      </c>
      <c r="J232" s="89">
        <v>4.5999999999999999E-2</v>
      </c>
      <c r="K232" s="67">
        <f>1248367.9*W136</f>
        <v>1841781578.6536398</v>
      </c>
      <c r="L232" s="62">
        <f>(K232/$K$237)</f>
        <v>0.10022860827473265</v>
      </c>
      <c r="M232" s="66">
        <f>1.0235*W136</f>
        <v>1510.0223626000002</v>
      </c>
      <c r="N232" s="66">
        <f>1.0235*W136</f>
        <v>1510.0223626000002</v>
      </c>
      <c r="O232" s="63">
        <v>49</v>
      </c>
      <c r="P232" s="89">
        <v>6.1199999999999997E-2</v>
      </c>
      <c r="Q232" s="89">
        <v>4.6600000000000003E-2</v>
      </c>
      <c r="R232" s="95">
        <f t="shared" ref="R232" si="171">((K232-D232)/D232)</f>
        <v>1.2627836938264544E-2</v>
      </c>
      <c r="S232" s="95">
        <f t="shared" ref="S232" si="172">((N232-G232)/G232)</f>
        <v>1.5056905755781965E-2</v>
      </c>
      <c r="T232" s="95">
        <f t="shared" ref="T232" si="173">((O232-H232)/H232)</f>
        <v>0</v>
      </c>
      <c r="U232" s="95">
        <f t="shared" ref="U232" si="174">P232-I232</f>
        <v>1.5299999999999994E-2</v>
      </c>
      <c r="V232" s="96">
        <f t="shared" ref="V232" si="175">Q232-J232</f>
        <v>6.0000000000000331E-4</v>
      </c>
    </row>
    <row r="233" spans="1:22" ht="14.4" customHeight="1">
      <c r="A233" s="80">
        <v>2</v>
      </c>
      <c r="B233" s="59" t="s">
        <v>290</v>
      </c>
      <c r="C233" s="60" t="s">
        <v>217</v>
      </c>
      <c r="D233" s="67">
        <v>4262618665.4876499</v>
      </c>
      <c r="E233" s="62">
        <f t="shared" ref="E233" si="176">(D233/$D$228)</f>
        <v>6.2168183677422335E-2</v>
      </c>
      <c r="F233" s="66">
        <v>123.2</v>
      </c>
      <c r="G233" s="66">
        <v>123.2</v>
      </c>
      <c r="H233" s="63">
        <v>9</v>
      </c>
      <c r="I233" s="89">
        <v>0.211103135367186</v>
      </c>
      <c r="J233" s="89">
        <v>0.25902763241958898</v>
      </c>
      <c r="K233" s="67">
        <v>3976541690.8911099</v>
      </c>
      <c r="L233" s="62">
        <f>(K233/$K$237)</f>
        <v>0.21640092617052978</v>
      </c>
      <c r="M233" s="66">
        <v>123.2</v>
      </c>
      <c r="N233" s="66">
        <v>123.2</v>
      </c>
      <c r="O233" s="63">
        <v>9</v>
      </c>
      <c r="P233" s="89">
        <v>0.22259999999999999</v>
      </c>
      <c r="Q233" s="89">
        <v>0.28179999999999999</v>
      </c>
      <c r="R233" s="95">
        <f t="shared" ref="R233" si="177">((K233-D233)/D233)</f>
        <v>-6.7112964364550387E-2</v>
      </c>
      <c r="S233" s="95">
        <f t="shared" ref="S233" si="178">((N233-G233)/G233)</f>
        <v>0</v>
      </c>
      <c r="T233" s="95">
        <f t="shared" ref="T233" si="179">((O233-H233)/H233)</f>
        <v>0</v>
      </c>
      <c r="U233" s="95">
        <f t="shared" ref="U233" si="180">P233-I233</f>
        <v>1.1496864632813991E-2</v>
      </c>
      <c r="V233" s="96">
        <f t="shared" ref="V233" si="181">Q233-J233</f>
        <v>2.2772367580411013E-2</v>
      </c>
    </row>
    <row r="234" spans="1:22" ht="14.4" customHeight="1">
      <c r="A234" s="80">
        <v>3</v>
      </c>
      <c r="B234" s="59" t="s">
        <v>291</v>
      </c>
      <c r="C234" s="60" t="s">
        <v>35</v>
      </c>
      <c r="D234" s="67">
        <v>571346277.54241002</v>
      </c>
      <c r="E234" s="62">
        <f t="shared" si="170"/>
        <v>8.3328027001928814E-3</v>
      </c>
      <c r="F234" s="66">
        <v>154000.95858999999</v>
      </c>
      <c r="G234" s="66">
        <v>154000.95858999999</v>
      </c>
      <c r="H234" s="63">
        <v>5</v>
      </c>
      <c r="I234" s="89">
        <v>-0.01</v>
      </c>
      <c r="J234" s="89">
        <v>5.8299999999999998E-2</v>
      </c>
      <c r="K234" s="67">
        <f>395759.87*W136</f>
        <v>583884957.42029202</v>
      </c>
      <c r="L234" s="62">
        <f>(K234/$K$237)</f>
        <v>3.1774656318132762E-2</v>
      </c>
      <c r="M234" s="66">
        <f>106.67*W136</f>
        <v>157375.755172</v>
      </c>
      <c r="N234" s="66">
        <f>106.67*W136</f>
        <v>157375.755172</v>
      </c>
      <c r="O234" s="63">
        <v>5</v>
      </c>
      <c r="P234" s="89">
        <v>7.9000000000000008E-3</v>
      </c>
      <c r="Q234" s="89">
        <v>6.6699999999999995E-2</v>
      </c>
      <c r="R234" s="95">
        <f t="shared" ref="R234:R235" si="182">((K234-D234)/D234)</f>
        <v>2.1945850302579908E-2</v>
      </c>
      <c r="S234" s="95">
        <f t="shared" ref="S234:S235" si="183">((N234-G234)/G234)</f>
        <v>2.1914127112577279E-2</v>
      </c>
      <c r="T234" s="95">
        <f t="shared" ref="T234:T235" si="184">((O234-H234)/H234)</f>
        <v>0</v>
      </c>
      <c r="U234" s="95">
        <f t="shared" ref="U234:U235" si="185">P234-I234</f>
        <v>1.7899999999999999E-2</v>
      </c>
      <c r="V234" s="96">
        <f t="shared" ref="V234:V235" si="186">Q234-J234</f>
        <v>8.3999999999999977E-3</v>
      </c>
    </row>
    <row r="235" spans="1:22" ht="14.4" customHeight="1">
      <c r="A235" s="80">
        <v>4</v>
      </c>
      <c r="B235" s="59" t="s">
        <v>292</v>
      </c>
      <c r="C235" s="60" t="s">
        <v>45</v>
      </c>
      <c r="D235" s="67">
        <v>12726742942.33</v>
      </c>
      <c r="E235" s="62">
        <f t="shared" si="170"/>
        <v>0.18561324738242696</v>
      </c>
      <c r="F235" s="66">
        <v>1.21</v>
      </c>
      <c r="G235" s="66">
        <v>1.22</v>
      </c>
      <c r="H235" s="63">
        <v>16</v>
      </c>
      <c r="I235" s="89">
        <v>3.8E-3</v>
      </c>
      <c r="J235" s="89">
        <v>0.2218</v>
      </c>
      <c r="K235" s="67">
        <v>11838217776.4</v>
      </c>
      <c r="L235" s="62">
        <f>(K235/$K$237)</f>
        <v>0.64422845028623632</v>
      </c>
      <c r="M235" s="66">
        <v>1.21</v>
      </c>
      <c r="N235" s="66">
        <v>1.1399999999999999</v>
      </c>
      <c r="O235" s="63">
        <v>16</v>
      </c>
      <c r="P235" s="89">
        <v>-6.9800000000000001E-2</v>
      </c>
      <c r="Q235" s="89">
        <v>0.1134</v>
      </c>
      <c r="R235" s="95">
        <f t="shared" si="182"/>
        <v>-6.9815597750050098E-2</v>
      </c>
      <c r="S235" s="95">
        <f t="shared" si="183"/>
        <v>-6.5573770491803338E-2</v>
      </c>
      <c r="T235" s="95">
        <f t="shared" si="184"/>
        <v>0</v>
      </c>
      <c r="U235" s="95">
        <f t="shared" si="185"/>
        <v>-7.3599999999999999E-2</v>
      </c>
      <c r="V235" s="96">
        <f t="shared" si="186"/>
        <v>-0.1084</v>
      </c>
    </row>
    <row r="236" spans="1:22" ht="14.4" customHeight="1">
      <c r="A236" s="80">
        <v>5</v>
      </c>
      <c r="B236" s="59" t="s">
        <v>293</v>
      </c>
      <c r="C236" s="60" t="s">
        <v>56</v>
      </c>
      <c r="D236" s="67">
        <v>133963976.51000001</v>
      </c>
      <c r="E236" s="62">
        <f t="shared" ref="E236" si="187">(D236/$D$228)</f>
        <v>1.9537982989803293E-3</v>
      </c>
      <c r="F236" s="66">
        <v>1.0980000000000001</v>
      </c>
      <c r="G236" s="66">
        <v>1.0980000000000001</v>
      </c>
      <c r="H236" s="63">
        <v>15</v>
      </c>
      <c r="I236" s="89">
        <v>8.0000000000000002E-3</v>
      </c>
      <c r="J236" s="89">
        <v>9.8000000000000004E-2</v>
      </c>
      <c r="K236" s="67">
        <v>135381167.43000001</v>
      </c>
      <c r="L236" s="62">
        <f>(K236/$K$237)</f>
        <v>7.3673589503683631E-3</v>
      </c>
      <c r="M236" s="66">
        <v>1.1013999999999999</v>
      </c>
      <c r="N236" s="66">
        <v>1.1013999999999999</v>
      </c>
      <c r="O236" s="63">
        <v>16</v>
      </c>
      <c r="P236" s="89">
        <v>2.5999999999999999E-3</v>
      </c>
      <c r="Q236" s="89">
        <v>0.1014</v>
      </c>
      <c r="R236" s="95">
        <f t="shared" ref="R236:R237" si="188">((K236-D236)/D236)</f>
        <v>1.0578895587607559E-2</v>
      </c>
      <c r="S236" s="95">
        <f t="shared" ref="S236" si="189">((N236-G236)/G236)</f>
        <v>3.0965391621127934E-3</v>
      </c>
      <c r="T236" s="95">
        <f t="shared" ref="T236" si="190">((O236-H236)/H236)</f>
        <v>6.6666666666666666E-2</v>
      </c>
      <c r="U236" s="95">
        <f t="shared" ref="U236" si="191">P236-I236</f>
        <v>-5.4000000000000003E-3</v>
      </c>
      <c r="V236" s="96">
        <f t="shared" ref="V236" si="192">Q236-J236</f>
        <v>3.4000000000000002E-3</v>
      </c>
    </row>
    <row r="237" spans="1:22" ht="14.4" customHeight="1">
      <c r="A237" s="131"/>
      <c r="B237" s="131"/>
      <c r="C237" s="131" t="s">
        <v>59</v>
      </c>
      <c r="D237" s="131">
        <f>SUM(D232:D236)</f>
        <v>19513485755.256958</v>
      </c>
      <c r="E237" s="131"/>
      <c r="F237" s="131"/>
      <c r="G237" s="131"/>
      <c r="H237" s="131">
        <f>SUM(H232:H236)</f>
        <v>94</v>
      </c>
      <c r="I237" s="131"/>
      <c r="J237" s="131"/>
      <c r="K237" s="131">
        <f>SUM(K232:K236)</f>
        <v>18375807170.795044</v>
      </c>
      <c r="L237" s="75"/>
      <c r="M237" s="131"/>
      <c r="N237" s="131"/>
      <c r="O237" s="131">
        <f>SUM(O232:O236)</f>
        <v>95</v>
      </c>
      <c r="P237" s="131"/>
      <c r="Q237" s="131"/>
      <c r="R237" s="147">
        <f t="shared" si="188"/>
        <v>-5.8302171059080102E-2</v>
      </c>
      <c r="S237" s="131"/>
      <c r="T237" s="131"/>
      <c r="U237" s="131"/>
      <c r="V237" s="131"/>
    </row>
    <row r="238" spans="1:22" ht="6" customHeight="1">
      <c r="A238" s="71"/>
      <c r="B238" s="79"/>
      <c r="C238" s="111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2"/>
    </row>
    <row r="239" spans="1:22" ht="15.6">
      <c r="A239" s="188" t="s">
        <v>294</v>
      </c>
      <c r="B239" s="188"/>
      <c r="C239" s="188"/>
      <c r="D239" s="188"/>
      <c r="E239" s="188"/>
      <c r="F239" s="188"/>
      <c r="G239" s="188"/>
      <c r="H239" s="188"/>
      <c r="I239" s="188"/>
      <c r="J239" s="188"/>
      <c r="K239" s="188"/>
      <c r="L239" s="188"/>
      <c r="M239" s="188"/>
      <c r="N239" s="188"/>
      <c r="O239" s="188"/>
      <c r="P239" s="188"/>
      <c r="Q239" s="188"/>
      <c r="R239" s="188"/>
      <c r="S239" s="188"/>
      <c r="T239" s="188"/>
      <c r="U239" s="188"/>
      <c r="V239" s="188"/>
    </row>
    <row r="240" spans="1:22">
      <c r="A240" s="174">
        <v>1</v>
      </c>
      <c r="B240" s="175" t="s">
        <v>295</v>
      </c>
      <c r="C240" s="177" t="s">
        <v>296</v>
      </c>
      <c r="D240" s="67">
        <v>114390469985</v>
      </c>
      <c r="E240" s="62">
        <f>(D240/$D$242)</f>
        <v>0.88525676149815091</v>
      </c>
      <c r="F240" s="99">
        <v>108.35</v>
      </c>
      <c r="G240" s="99">
        <v>108.35</v>
      </c>
      <c r="H240" s="63">
        <v>0</v>
      </c>
      <c r="I240" s="89">
        <v>0.23899999999999999</v>
      </c>
      <c r="J240" s="89">
        <v>0.23899999999999999</v>
      </c>
      <c r="K240" s="67">
        <v>114390469985</v>
      </c>
      <c r="L240" s="62">
        <f>(K240/$K$242)</f>
        <v>0.88493342924601981</v>
      </c>
      <c r="M240" s="99">
        <v>108.35</v>
      </c>
      <c r="N240" s="99">
        <v>108.35</v>
      </c>
      <c r="O240" s="63">
        <v>0</v>
      </c>
      <c r="P240" s="89">
        <v>0.23899999999999999</v>
      </c>
      <c r="Q240" s="89">
        <v>0.23899999999999999</v>
      </c>
      <c r="R240" s="95">
        <f>((K240-D240)/D240)</f>
        <v>0</v>
      </c>
      <c r="S240" s="95">
        <f>((N240-G240)/G240)</f>
        <v>0</v>
      </c>
      <c r="T240" s="95" t="e">
        <f>((O240-H240)/H240)</f>
        <v>#DIV/0!</v>
      </c>
      <c r="U240" s="95">
        <f>P240-I240</f>
        <v>0</v>
      </c>
      <c r="V240" s="96">
        <f>Q240-J240</f>
        <v>0</v>
      </c>
    </row>
    <row r="241" spans="1:22" ht="14.4" customHeight="1">
      <c r="A241" s="80">
        <v>2</v>
      </c>
      <c r="B241" s="59" t="s">
        <v>297</v>
      </c>
      <c r="C241" s="60" t="s">
        <v>56</v>
      </c>
      <c r="D241" s="67">
        <v>14826809069.059999</v>
      </c>
      <c r="E241" s="62">
        <f>(D241/$D$242)</f>
        <v>0.11474323850184913</v>
      </c>
      <c r="F241" s="132">
        <v>1000000</v>
      </c>
      <c r="G241" s="132">
        <v>1000000</v>
      </c>
      <c r="H241" s="63">
        <v>26</v>
      </c>
      <c r="I241" s="89">
        <v>0.21640000000000001</v>
      </c>
      <c r="J241" s="89">
        <v>0.21640000000000001</v>
      </c>
      <c r="K241" s="67">
        <v>14874021788.65</v>
      </c>
      <c r="L241" s="62">
        <f>(K241/$K$242)</f>
        <v>0.11506657075398029</v>
      </c>
      <c r="M241" s="132">
        <v>1000000</v>
      </c>
      <c r="N241" s="132">
        <v>1000000</v>
      </c>
      <c r="O241" s="63">
        <v>26</v>
      </c>
      <c r="P241" s="89">
        <v>0.21590000000000001</v>
      </c>
      <c r="Q241" s="89">
        <v>0.21590000000000001</v>
      </c>
      <c r="R241" s="95">
        <f>((K241-D241)/D241)</f>
        <v>3.1842805400739797E-3</v>
      </c>
      <c r="S241" s="95">
        <f>((N241-G241)/G241)</f>
        <v>0</v>
      </c>
      <c r="T241" s="95">
        <f>((O241-H241)/H241)</f>
        <v>0</v>
      </c>
      <c r="U241" s="95">
        <f>P241-I241</f>
        <v>-5.0000000000000044E-4</v>
      </c>
      <c r="V241" s="96">
        <f>Q241-J241</f>
        <v>-5.0000000000000044E-4</v>
      </c>
    </row>
    <row r="242" spans="1:22" ht="15" customHeight="1">
      <c r="A242" s="126"/>
      <c r="B242" s="126"/>
      <c r="C242" s="127" t="s">
        <v>298</v>
      </c>
      <c r="D242" s="131">
        <f>SUM(D240:D241)</f>
        <v>129217279054.06</v>
      </c>
      <c r="E242" s="133"/>
      <c r="F242" s="134"/>
      <c r="G242" s="134"/>
      <c r="H242" s="131">
        <f>SUM(H240:H241)</f>
        <v>26</v>
      </c>
      <c r="I242" s="144"/>
      <c r="J242" s="144"/>
      <c r="K242" s="131">
        <f>SUM(K240:K241)</f>
        <v>129264491773.64999</v>
      </c>
      <c r="L242" s="133"/>
      <c r="M242" s="134"/>
      <c r="N242" s="134"/>
      <c r="O242" s="131">
        <f>SUM(O240:O241)</f>
        <v>26</v>
      </c>
      <c r="P242" s="144"/>
      <c r="Q242" s="131"/>
      <c r="R242" s="147">
        <f>((K242-D242)/D242)</f>
        <v>3.6537466146647606E-4</v>
      </c>
      <c r="S242" s="148"/>
      <c r="T242" s="148"/>
      <c r="U242" s="147"/>
      <c r="V242" s="149"/>
    </row>
    <row r="243" spans="1:22" ht="4.5" customHeight="1">
      <c r="A243" s="71"/>
      <c r="B243" s="190"/>
      <c r="C243" s="190"/>
      <c r="D243" s="190"/>
      <c r="E243" s="190"/>
      <c r="F243" s="190"/>
      <c r="G243" s="190"/>
      <c r="H243" s="190"/>
      <c r="I243" s="190"/>
      <c r="J243" s="190"/>
      <c r="K243" s="190"/>
      <c r="L243" s="190"/>
      <c r="M243" s="190"/>
      <c r="N243" s="190"/>
      <c r="O243" s="190"/>
      <c r="P243" s="190"/>
      <c r="Q243" s="190"/>
      <c r="R243" s="190"/>
      <c r="S243" s="190"/>
      <c r="T243" s="190"/>
      <c r="U243" s="190"/>
      <c r="V243" s="190"/>
    </row>
    <row r="244" spans="1:22" ht="15.6">
      <c r="A244" s="188" t="s">
        <v>299</v>
      </c>
      <c r="B244" s="188"/>
      <c r="C244" s="188"/>
      <c r="D244" s="188"/>
      <c r="E244" s="188"/>
      <c r="F244" s="188"/>
      <c r="G244" s="188"/>
      <c r="H244" s="188"/>
      <c r="I244" s="188"/>
      <c r="J244" s="188"/>
      <c r="K244" s="188"/>
      <c r="L244" s="188"/>
      <c r="M244" s="188"/>
      <c r="N244" s="188"/>
      <c r="O244" s="188"/>
      <c r="P244" s="188"/>
      <c r="Q244" s="188"/>
      <c r="R244" s="188"/>
      <c r="S244" s="188"/>
      <c r="T244" s="188"/>
      <c r="U244" s="188"/>
      <c r="V244" s="188"/>
    </row>
    <row r="245" spans="1:22">
      <c r="A245" s="80">
        <v>1</v>
      </c>
      <c r="B245" s="59" t="s">
        <v>300</v>
      </c>
      <c r="C245" s="60" t="s">
        <v>95</v>
      </c>
      <c r="D245" s="135">
        <v>1386321297.1700001</v>
      </c>
      <c r="E245" s="136">
        <f t="shared" ref="E245:E256" si="193">(D245/$D$257)</f>
        <v>7.8994489457150319E-2</v>
      </c>
      <c r="F245" s="132">
        <v>338.7371</v>
      </c>
      <c r="G245" s="132">
        <v>338.7371</v>
      </c>
      <c r="H245" s="137">
        <v>266</v>
      </c>
      <c r="I245" s="91">
        <v>2.1899999999999999E-2</v>
      </c>
      <c r="J245" s="91">
        <v>0.38919999999999999</v>
      </c>
      <c r="K245" s="135">
        <v>1416604115.26</v>
      </c>
      <c r="L245" s="136">
        <f t="shared" ref="L245:L256" si="194">(K245/$K$257)</f>
        <v>8.0123299667512943E-2</v>
      </c>
      <c r="M245" s="132">
        <v>346.14</v>
      </c>
      <c r="N245" s="132">
        <v>346.14</v>
      </c>
      <c r="O245" s="137">
        <v>266</v>
      </c>
      <c r="P245" s="91">
        <v>2.1999999999999999E-2</v>
      </c>
      <c r="Q245" s="91">
        <v>0.41959999999999997</v>
      </c>
      <c r="R245" s="95">
        <f>((K245-D245)/D245)</f>
        <v>2.1844011306627449E-2</v>
      </c>
      <c r="S245" s="95">
        <f>((N245-G245)/G245)</f>
        <v>2.1854411577592145E-2</v>
      </c>
      <c r="T245" s="95">
        <f>((O245-H245)/H245)</f>
        <v>0</v>
      </c>
      <c r="U245" s="95">
        <f>P245-I245</f>
        <v>9.9999999999999395E-5</v>
      </c>
      <c r="V245" s="96">
        <f>Q245-J245</f>
        <v>3.0399999999999983E-2</v>
      </c>
    </row>
    <row r="246" spans="1:22">
      <c r="A246" s="174">
        <v>2</v>
      </c>
      <c r="B246" s="175" t="s">
        <v>301</v>
      </c>
      <c r="C246" s="177" t="s">
        <v>262</v>
      </c>
      <c r="D246" s="135">
        <v>1885518057.99</v>
      </c>
      <c r="E246" s="136">
        <f t="shared" si="193"/>
        <v>0.10743940575479227</v>
      </c>
      <c r="F246" s="132">
        <v>53.63</v>
      </c>
      <c r="G246" s="132">
        <v>59.28</v>
      </c>
      <c r="H246" s="137">
        <v>359</v>
      </c>
      <c r="I246" s="91">
        <v>3.0300000000000001E-2</v>
      </c>
      <c r="J246" s="91">
        <v>0.77449999999999997</v>
      </c>
      <c r="K246" s="135">
        <v>1924921391.1800001</v>
      </c>
      <c r="L246" s="136">
        <f t="shared" si="194"/>
        <v>0.10887378612027671</v>
      </c>
      <c r="M246" s="132">
        <v>54.75</v>
      </c>
      <c r="N246" s="132">
        <v>60.51</v>
      </c>
      <c r="O246" s="137">
        <v>359</v>
      </c>
      <c r="P246" s="91">
        <v>2.0899999999999998E-2</v>
      </c>
      <c r="Q246" s="91">
        <v>0.78590000000000004</v>
      </c>
      <c r="R246" s="95">
        <f t="shared" ref="R246:R257" si="195">((K246-D246)/D246)</f>
        <v>2.0897881631536747E-2</v>
      </c>
      <c r="S246" s="95">
        <f t="shared" ref="S246:S257" si="196">((N246-G246)/G246)</f>
        <v>2.0748987854250958E-2</v>
      </c>
      <c r="T246" s="95">
        <f t="shared" ref="T246:T257" si="197">((O246-H246)/H246)</f>
        <v>0</v>
      </c>
      <c r="U246" s="95">
        <f t="shared" ref="U246:U257" si="198">P246-I246</f>
        <v>-9.4000000000000021E-3</v>
      </c>
      <c r="V246" s="96">
        <f t="shared" ref="V246:V257" si="199">Q246-J246</f>
        <v>1.1400000000000077E-2</v>
      </c>
    </row>
    <row r="247" spans="1:22">
      <c r="A247" s="80">
        <v>3</v>
      </c>
      <c r="B247" s="59" t="s">
        <v>302</v>
      </c>
      <c r="C247" s="60" t="s">
        <v>47</v>
      </c>
      <c r="D247" s="135">
        <v>540340440.21000004</v>
      </c>
      <c r="E247" s="136">
        <f t="shared" si="193"/>
        <v>3.0789339595788248E-2</v>
      </c>
      <c r="F247" s="132">
        <v>40.32</v>
      </c>
      <c r="G247" s="132">
        <v>40.64</v>
      </c>
      <c r="H247" s="137">
        <v>218</v>
      </c>
      <c r="I247" s="91">
        <v>1.26E-2</v>
      </c>
      <c r="J247" s="91">
        <v>0.4098</v>
      </c>
      <c r="K247" s="135">
        <v>481648578.43000001</v>
      </c>
      <c r="L247" s="136">
        <f t="shared" si="194"/>
        <v>2.7242101705242862E-2</v>
      </c>
      <c r="M247" s="132">
        <v>40.130000000000003</v>
      </c>
      <c r="N247" s="132">
        <v>40.5</v>
      </c>
      <c r="O247" s="137">
        <v>218</v>
      </c>
      <c r="P247" s="91">
        <v>-0.1086</v>
      </c>
      <c r="Q247" s="91">
        <v>0.25669999999999998</v>
      </c>
      <c r="R247" s="95">
        <f t="shared" si="195"/>
        <v>-0.10862015391109685</v>
      </c>
      <c r="S247" s="95">
        <f t="shared" si="196"/>
        <v>-3.4448818897637934E-3</v>
      </c>
      <c r="T247" s="95">
        <f t="shared" si="197"/>
        <v>0</v>
      </c>
      <c r="U247" s="95">
        <f t="shared" si="198"/>
        <v>-0.1212</v>
      </c>
      <c r="V247" s="96">
        <f t="shared" si="199"/>
        <v>-0.15310000000000001</v>
      </c>
    </row>
    <row r="248" spans="1:22">
      <c r="A248" s="80">
        <v>4</v>
      </c>
      <c r="B248" s="59" t="s">
        <v>303</v>
      </c>
      <c r="C248" s="60" t="s">
        <v>47</v>
      </c>
      <c r="D248" s="135">
        <v>1142952779.9000001</v>
      </c>
      <c r="E248" s="136">
        <f t="shared" si="193"/>
        <v>6.5127017457021444E-2</v>
      </c>
      <c r="F248" s="132">
        <v>85.765455000000003</v>
      </c>
      <c r="G248" s="132">
        <v>86.286180999999999</v>
      </c>
      <c r="H248" s="137">
        <v>261</v>
      </c>
      <c r="I248" s="91">
        <v>1.1299999999999999E-2</v>
      </c>
      <c r="J248" s="91">
        <v>0.29289999999999999</v>
      </c>
      <c r="K248" s="135">
        <v>1001617261.27</v>
      </c>
      <c r="L248" s="136">
        <f t="shared" si="194"/>
        <v>5.6651593139103937E-2</v>
      </c>
      <c r="M248" s="132">
        <v>85.052581000000004</v>
      </c>
      <c r="N248" s="132">
        <v>85.661911000000003</v>
      </c>
      <c r="O248" s="137">
        <v>261</v>
      </c>
      <c r="P248" s="91">
        <v>-0.1237</v>
      </c>
      <c r="Q248" s="91">
        <v>0.13300000000000001</v>
      </c>
      <c r="R248" s="95">
        <f t="shared" si="195"/>
        <v>-0.12365823078217275</v>
      </c>
      <c r="S248" s="95">
        <f t="shared" si="196"/>
        <v>-7.2348780855186496E-3</v>
      </c>
      <c r="T248" s="95">
        <f t="shared" si="197"/>
        <v>0</v>
      </c>
      <c r="U248" s="95">
        <f t="shared" si="198"/>
        <v>-0.13500000000000001</v>
      </c>
      <c r="V248" s="96">
        <f t="shared" si="199"/>
        <v>-0.15989999999999999</v>
      </c>
    </row>
    <row r="249" spans="1:22">
      <c r="A249" s="80">
        <v>5</v>
      </c>
      <c r="B249" s="59" t="s">
        <v>304</v>
      </c>
      <c r="C249" s="60" t="s">
        <v>305</v>
      </c>
      <c r="D249" s="135">
        <v>1811667636.0599999</v>
      </c>
      <c r="E249" s="136">
        <f t="shared" si="193"/>
        <v>0.10323130739515196</v>
      </c>
      <c r="F249" s="132">
        <v>53450</v>
      </c>
      <c r="G249" s="132">
        <v>57900</v>
      </c>
      <c r="H249" s="137">
        <v>310</v>
      </c>
      <c r="I249" s="91">
        <v>1.9E-2</v>
      </c>
      <c r="J249" s="91">
        <v>0.44</v>
      </c>
      <c r="K249" s="135">
        <v>1944380371.55</v>
      </c>
      <c r="L249" s="136">
        <f t="shared" si="194"/>
        <v>0.10997438839766287</v>
      </c>
      <c r="M249" s="132">
        <v>57275</v>
      </c>
      <c r="N249" s="132">
        <v>60010</v>
      </c>
      <c r="O249" s="137">
        <v>306</v>
      </c>
      <c r="P249" s="91">
        <v>7.2999999999999995E-2</v>
      </c>
      <c r="Q249" s="91">
        <v>0.55000000000000004</v>
      </c>
      <c r="R249" s="95">
        <f t="shared" si="195"/>
        <v>7.3254460613218539E-2</v>
      </c>
      <c r="S249" s="95">
        <f t="shared" si="196"/>
        <v>3.6442141623488772E-2</v>
      </c>
      <c r="T249" s="95">
        <f t="shared" si="197"/>
        <v>-1.2903225806451613E-2</v>
      </c>
      <c r="U249" s="95">
        <f t="shared" si="198"/>
        <v>5.3999999999999992E-2</v>
      </c>
      <c r="V249" s="96">
        <f t="shared" si="199"/>
        <v>0.11000000000000004</v>
      </c>
    </row>
    <row r="250" spans="1:22">
      <c r="A250" s="80">
        <v>6</v>
      </c>
      <c r="B250" s="59" t="s">
        <v>306</v>
      </c>
      <c r="C250" s="60" t="s">
        <v>307</v>
      </c>
      <c r="D250" s="135">
        <v>939082682.83000004</v>
      </c>
      <c r="E250" s="136">
        <f t="shared" si="193"/>
        <v>5.3510219629201966E-2</v>
      </c>
      <c r="F250" s="132">
        <v>490</v>
      </c>
      <c r="G250" s="132">
        <v>490</v>
      </c>
      <c r="H250" s="137">
        <v>156</v>
      </c>
      <c r="I250" s="91">
        <v>1.3899999999999999E-2</v>
      </c>
      <c r="J250" s="91">
        <v>0.45169999999999999</v>
      </c>
      <c r="K250" s="135">
        <v>941112984.51999998</v>
      </c>
      <c r="L250" s="136">
        <f t="shared" si="194"/>
        <v>5.3229463946491341E-2</v>
      </c>
      <c r="M250" s="132">
        <v>480</v>
      </c>
      <c r="N250" s="132">
        <v>480</v>
      </c>
      <c r="O250" s="137">
        <v>156</v>
      </c>
      <c r="P250" s="91">
        <v>2.2000000000000001E-3</v>
      </c>
      <c r="Q250" s="91">
        <v>0.45469999999999999</v>
      </c>
      <c r="R250" s="95">
        <f t="shared" si="195"/>
        <v>2.1620052495073842E-3</v>
      </c>
      <c r="S250" s="95">
        <f t="shared" si="196"/>
        <v>-2.0408163265306121E-2</v>
      </c>
      <c r="T250" s="95">
        <f t="shared" si="197"/>
        <v>0</v>
      </c>
      <c r="U250" s="95">
        <f t="shared" si="198"/>
        <v>-1.1699999999999999E-2</v>
      </c>
      <c r="V250" s="96">
        <f t="shared" si="199"/>
        <v>3.0000000000000027E-3</v>
      </c>
    </row>
    <row r="251" spans="1:22">
      <c r="A251" s="80">
        <v>7</v>
      </c>
      <c r="B251" s="59" t="s">
        <v>308</v>
      </c>
      <c r="C251" s="60" t="s">
        <v>307</v>
      </c>
      <c r="D251" s="135">
        <v>1013132445.26</v>
      </c>
      <c r="E251" s="136">
        <f t="shared" si="193"/>
        <v>5.7729676684014714E-2</v>
      </c>
      <c r="F251" s="132">
        <v>500</v>
      </c>
      <c r="G251" s="132">
        <v>500</v>
      </c>
      <c r="H251" s="137">
        <v>925</v>
      </c>
      <c r="I251" s="91">
        <v>2.3599999999999999E-2</v>
      </c>
      <c r="J251" s="91">
        <v>0.39850000000000002</v>
      </c>
      <c r="K251" s="135">
        <v>1027534071.79</v>
      </c>
      <c r="L251" s="136">
        <f t="shared" si="194"/>
        <v>5.8117451068889062E-2</v>
      </c>
      <c r="M251" s="132">
        <v>520</v>
      </c>
      <c r="N251" s="132">
        <v>520</v>
      </c>
      <c r="O251" s="137">
        <v>925</v>
      </c>
      <c r="P251" s="91">
        <v>1.4200000000000001E-2</v>
      </c>
      <c r="Q251" s="91">
        <v>0.41810000000000003</v>
      </c>
      <c r="R251" s="95">
        <f t="shared" si="195"/>
        <v>1.4214949484027318E-2</v>
      </c>
      <c r="S251" s="95">
        <f t="shared" si="196"/>
        <v>0.04</v>
      </c>
      <c r="T251" s="95">
        <f t="shared" si="197"/>
        <v>0</v>
      </c>
      <c r="U251" s="95">
        <f t="shared" si="198"/>
        <v>-9.3999999999999986E-3</v>
      </c>
      <c r="V251" s="96">
        <f t="shared" si="199"/>
        <v>1.9600000000000006E-2</v>
      </c>
    </row>
    <row r="252" spans="1:22">
      <c r="A252" s="80">
        <v>8</v>
      </c>
      <c r="B252" s="59" t="s">
        <v>309</v>
      </c>
      <c r="C252" s="60" t="s">
        <v>310</v>
      </c>
      <c r="D252" s="135">
        <v>123070623.84</v>
      </c>
      <c r="E252" s="136">
        <f t="shared" si="193"/>
        <v>7.012732991449981E-3</v>
      </c>
      <c r="F252" s="132">
        <v>34.24</v>
      </c>
      <c r="G252" s="132">
        <v>34.24</v>
      </c>
      <c r="H252" s="137">
        <v>147</v>
      </c>
      <c r="I252" s="91">
        <v>0</v>
      </c>
      <c r="J252" s="91">
        <v>1.0348999999999999</v>
      </c>
      <c r="K252" s="135">
        <v>125455877.34999999</v>
      </c>
      <c r="L252" s="136">
        <f t="shared" si="194"/>
        <v>7.0957995587354987E-3</v>
      </c>
      <c r="M252" s="132">
        <v>34.909999999999997</v>
      </c>
      <c r="N252" s="132">
        <v>35.01</v>
      </c>
      <c r="O252" s="137">
        <v>151</v>
      </c>
      <c r="P252" s="91">
        <v>4.2900000000000001E-2</v>
      </c>
      <c r="Q252" s="91">
        <v>1.1221000000000001</v>
      </c>
      <c r="R252" s="95">
        <f t="shared" si="195"/>
        <v>1.9381176722570111E-2</v>
      </c>
      <c r="S252" s="95">
        <f t="shared" si="196"/>
        <v>2.2488317757009227E-2</v>
      </c>
      <c r="T252" s="95">
        <f t="shared" si="197"/>
        <v>2.7210884353741496E-2</v>
      </c>
      <c r="U252" s="95">
        <f t="shared" si="198"/>
        <v>4.2900000000000001E-2</v>
      </c>
      <c r="V252" s="96">
        <f t="shared" si="199"/>
        <v>8.7200000000000166E-2</v>
      </c>
    </row>
    <row r="253" spans="1:22">
      <c r="A253" s="80">
        <v>9</v>
      </c>
      <c r="B253" s="59" t="s">
        <v>311</v>
      </c>
      <c r="C253" s="60" t="s">
        <v>310</v>
      </c>
      <c r="D253" s="138">
        <v>956027110.83000004</v>
      </c>
      <c r="E253" s="136">
        <f t="shared" si="193"/>
        <v>5.4475736383316507E-2</v>
      </c>
      <c r="F253" s="132">
        <v>15.15</v>
      </c>
      <c r="G253" s="132">
        <v>15.25</v>
      </c>
      <c r="H253" s="137">
        <v>210</v>
      </c>
      <c r="I253" s="91">
        <v>-6.9999999999999999E-4</v>
      </c>
      <c r="J253" s="91">
        <v>0.37609999999999999</v>
      </c>
      <c r="K253" s="138">
        <v>954686052.54999995</v>
      </c>
      <c r="L253" s="136">
        <f t="shared" si="194"/>
        <v>5.3997158311812045E-2</v>
      </c>
      <c r="M253" s="132">
        <v>15.13</v>
      </c>
      <c r="N253" s="132">
        <v>15.23</v>
      </c>
      <c r="O253" s="137">
        <v>213</v>
      </c>
      <c r="P253" s="91">
        <v>1.3299999999999999E-2</v>
      </c>
      <c r="Q253" s="91">
        <v>0.39450000000000002</v>
      </c>
      <c r="R253" s="95">
        <f t="shared" si="195"/>
        <v>-1.4027408478362246E-3</v>
      </c>
      <c r="S253" s="95">
        <f t="shared" si="196"/>
        <v>-1.3114754098360376E-3</v>
      </c>
      <c r="T253" s="95">
        <f t="shared" si="197"/>
        <v>1.4285714285714285E-2</v>
      </c>
      <c r="U253" s="95">
        <f t="shared" si="198"/>
        <v>1.3999999999999999E-2</v>
      </c>
      <c r="V253" s="96">
        <f t="shared" si="199"/>
        <v>1.8400000000000027E-2</v>
      </c>
    </row>
    <row r="254" spans="1:22" ht="15" customHeight="1">
      <c r="A254" s="80">
        <v>10</v>
      </c>
      <c r="B254" s="59" t="s">
        <v>312</v>
      </c>
      <c r="C254" s="60" t="s">
        <v>310</v>
      </c>
      <c r="D254" s="135">
        <v>120061928.73999999</v>
      </c>
      <c r="E254" s="136">
        <f t="shared" si="193"/>
        <v>6.8412934169141898E-3</v>
      </c>
      <c r="F254" s="132">
        <v>144.34</v>
      </c>
      <c r="G254" s="132">
        <v>146.34</v>
      </c>
      <c r="H254" s="137">
        <v>380</v>
      </c>
      <c r="I254" s="91">
        <v>-9.5100000000000004E-2</v>
      </c>
      <c r="J254" s="91">
        <v>-8.9999999999999993E-3</v>
      </c>
      <c r="K254" s="135">
        <v>119872540.79000001</v>
      </c>
      <c r="L254" s="136">
        <f t="shared" si="194"/>
        <v>6.7800053692915743E-3</v>
      </c>
      <c r="M254" s="132">
        <v>144.11000000000001</v>
      </c>
      <c r="N254" s="132">
        <v>146.11000000000001</v>
      </c>
      <c r="O254" s="137">
        <v>390</v>
      </c>
      <c r="P254" s="91">
        <v>0.1764</v>
      </c>
      <c r="Q254" s="91">
        <v>0.16589999999999999</v>
      </c>
      <c r="R254" s="95">
        <f t="shared" si="195"/>
        <v>-1.5774188536494111E-3</v>
      </c>
      <c r="S254" s="95">
        <f t="shared" si="196"/>
        <v>-1.5716823834904317E-3</v>
      </c>
      <c r="T254" s="95">
        <f t="shared" si="197"/>
        <v>2.6315789473684209E-2</v>
      </c>
      <c r="U254" s="95">
        <f t="shared" si="198"/>
        <v>0.27150000000000002</v>
      </c>
      <c r="V254" s="96">
        <f t="shared" si="199"/>
        <v>0.1749</v>
      </c>
    </row>
    <row r="255" spans="1:22">
      <c r="A255" s="80">
        <v>11</v>
      </c>
      <c r="B255" s="59" t="s">
        <v>313</v>
      </c>
      <c r="C255" s="60" t="s">
        <v>310</v>
      </c>
      <c r="D255" s="135">
        <v>7539011152.6999998</v>
      </c>
      <c r="E255" s="136">
        <f t="shared" si="193"/>
        <v>0.42958319852332877</v>
      </c>
      <c r="F255" s="132">
        <v>53.87</v>
      </c>
      <c r="G255" s="132">
        <v>54.07</v>
      </c>
      <c r="H255" s="137">
        <v>414</v>
      </c>
      <c r="I255" s="91">
        <v>5.8000000000000003E-2</v>
      </c>
      <c r="J255" s="91">
        <v>0.40689999999999998</v>
      </c>
      <c r="K255" s="135">
        <v>7647520652.7399998</v>
      </c>
      <c r="L255" s="136">
        <f t="shared" si="194"/>
        <v>0.43254469076600105</v>
      </c>
      <c r="M255" s="132">
        <v>54.63</v>
      </c>
      <c r="N255" s="132">
        <v>54.83</v>
      </c>
      <c r="O255" s="137">
        <v>434</v>
      </c>
      <c r="P255" s="91">
        <v>3.9699999999999999E-2</v>
      </c>
      <c r="Q255" s="91">
        <v>0.46279999999999999</v>
      </c>
      <c r="R255" s="95">
        <f t="shared" si="195"/>
        <v>1.4393067982282886E-2</v>
      </c>
      <c r="S255" s="95">
        <f t="shared" si="196"/>
        <v>1.4055853523210616E-2</v>
      </c>
      <c r="T255" s="95">
        <f t="shared" si="197"/>
        <v>4.8309178743961352E-2</v>
      </c>
      <c r="U255" s="95">
        <f t="shared" si="198"/>
        <v>-1.8300000000000004E-2</v>
      </c>
      <c r="V255" s="96">
        <f t="shared" si="199"/>
        <v>5.5900000000000005E-2</v>
      </c>
    </row>
    <row r="256" spans="1:22">
      <c r="A256" s="80">
        <v>12</v>
      </c>
      <c r="B256" s="59" t="s">
        <v>314</v>
      </c>
      <c r="C256" s="60" t="s">
        <v>310</v>
      </c>
      <c r="D256" s="138">
        <v>92408844.030000001</v>
      </c>
      <c r="E256" s="136">
        <f t="shared" si="193"/>
        <v>5.2655827118698109E-3</v>
      </c>
      <c r="F256" s="132">
        <v>52.82</v>
      </c>
      <c r="G256" s="132">
        <v>53.02</v>
      </c>
      <c r="H256" s="137">
        <v>138</v>
      </c>
      <c r="I256" s="91">
        <v>0.1111</v>
      </c>
      <c r="J256" s="91">
        <v>0.19470000000000001</v>
      </c>
      <c r="K256" s="138">
        <v>94947851.730000004</v>
      </c>
      <c r="L256" s="136">
        <f t="shared" si="194"/>
        <v>5.3702619489800858E-3</v>
      </c>
      <c r="M256" s="132">
        <v>54.3</v>
      </c>
      <c r="N256" s="132">
        <v>54.5</v>
      </c>
      <c r="O256" s="137">
        <v>149</v>
      </c>
      <c r="P256" s="91">
        <v>0.08</v>
      </c>
      <c r="Q256" s="91">
        <v>0.2903</v>
      </c>
      <c r="R256" s="95">
        <f t="shared" si="195"/>
        <v>2.7475808475384982E-2</v>
      </c>
      <c r="S256" s="95">
        <f t="shared" si="196"/>
        <v>2.7913994718973913E-2</v>
      </c>
      <c r="T256" s="95">
        <f t="shared" si="197"/>
        <v>7.9710144927536225E-2</v>
      </c>
      <c r="U256" s="95">
        <f t="shared" si="198"/>
        <v>-3.1100000000000003E-2</v>
      </c>
      <c r="V256" s="96">
        <f t="shared" si="199"/>
        <v>9.5599999999999991E-2</v>
      </c>
    </row>
    <row r="257" spans="1:26">
      <c r="A257" s="139"/>
      <c r="B257" s="139"/>
      <c r="C257" s="140" t="s">
        <v>315</v>
      </c>
      <c r="D257" s="131">
        <f>SUM(D245:D256)</f>
        <v>17549594999.559998</v>
      </c>
      <c r="E257" s="133"/>
      <c r="F257" s="133"/>
      <c r="G257" s="134"/>
      <c r="H257" s="131">
        <f>SUM(H245:H256)</f>
        <v>3784</v>
      </c>
      <c r="I257" s="144"/>
      <c r="J257" s="144"/>
      <c r="K257" s="131">
        <f>SUM(K245:K256)</f>
        <v>17680301749.16</v>
      </c>
      <c r="L257" s="133"/>
      <c r="M257" s="133"/>
      <c r="N257" s="134"/>
      <c r="O257" s="131">
        <f>SUM(O245:O256)</f>
        <v>3828</v>
      </c>
      <c r="P257" s="144"/>
      <c r="Q257" s="144"/>
      <c r="R257" s="95">
        <f t="shared" si="195"/>
        <v>7.447849913532441E-3</v>
      </c>
      <c r="S257" s="95" t="e">
        <f t="shared" si="196"/>
        <v>#DIV/0!</v>
      </c>
      <c r="T257" s="95">
        <f t="shared" si="197"/>
        <v>1.1627906976744186E-2</v>
      </c>
      <c r="U257" s="95">
        <f t="shared" si="198"/>
        <v>0</v>
      </c>
      <c r="V257" s="96">
        <f t="shared" si="199"/>
        <v>0</v>
      </c>
      <c r="Z257" s="105"/>
    </row>
    <row r="258" spans="1:26">
      <c r="A258" s="150"/>
      <c r="B258" s="150"/>
      <c r="C258" s="151" t="s">
        <v>316</v>
      </c>
      <c r="D258" s="152">
        <f>SUM(D229,D237,D242,D257)</f>
        <v>7091941885850.6416</v>
      </c>
      <c r="E258" s="153"/>
      <c r="F258" s="153"/>
      <c r="G258" s="154"/>
      <c r="H258" s="152">
        <f>SUM(H229,H237,H242,H257)</f>
        <v>1035009</v>
      </c>
      <c r="I258" s="165"/>
      <c r="J258" s="165"/>
      <c r="K258" s="152">
        <f>SUM(K229,K237,K242,K257)</f>
        <v>7185532588828.7686</v>
      </c>
      <c r="L258" s="153"/>
      <c r="M258" s="153"/>
      <c r="N258" s="152"/>
      <c r="O258" s="152">
        <f>SUM(O229,O237,O242,O257)</f>
        <v>1024707</v>
      </c>
      <c r="P258" s="166"/>
      <c r="Q258" s="152"/>
      <c r="R258" s="170"/>
      <c r="S258" s="171"/>
      <c r="T258" s="171"/>
      <c r="U258" s="172"/>
      <c r="V258" s="172"/>
      <c r="Z258" s="105"/>
    </row>
    <row r="259" spans="1:26">
      <c r="A259" s="155" t="s">
        <v>317</v>
      </c>
      <c r="B259" s="156" t="s">
        <v>318</v>
      </c>
      <c r="C259" s="157"/>
      <c r="D259" s="157"/>
      <c r="E259" s="157"/>
      <c r="F259" s="157"/>
      <c r="G259" s="157"/>
      <c r="H259" s="157"/>
      <c r="I259" s="157"/>
      <c r="J259" s="157"/>
      <c r="K259" s="157"/>
      <c r="L259" s="157"/>
      <c r="M259" s="157"/>
      <c r="N259" s="157"/>
      <c r="O259" s="157"/>
      <c r="P259" s="157"/>
      <c r="Q259" s="157"/>
      <c r="R259" s="157"/>
      <c r="S259" s="157"/>
      <c r="T259" s="157"/>
      <c r="U259" s="157"/>
      <c r="V259" s="157"/>
    </row>
    <row r="260" spans="1:26">
      <c r="B260" s="158"/>
    </row>
    <row r="261" spans="1:26">
      <c r="B261" s="158"/>
      <c r="C261" s="159"/>
      <c r="D261" s="160"/>
      <c r="K261" s="160"/>
    </row>
    <row r="262" spans="1:26" ht="15">
      <c r="B262" s="161"/>
      <c r="C262" s="162"/>
      <c r="D262" s="163"/>
      <c r="F262" s="164"/>
      <c r="G262" s="164"/>
      <c r="I262" s="167"/>
      <c r="J262" s="168"/>
    </row>
    <row r="263" spans="1:26">
      <c r="C263" s="158"/>
    </row>
    <row r="264" spans="1:26">
      <c r="K264" s="146"/>
    </row>
    <row r="265" spans="1:26">
      <c r="B265" s="159"/>
    </row>
    <row r="266" spans="1:26">
      <c r="K266" s="169"/>
    </row>
  </sheetData>
  <sheetProtection algorithmName="SHA-512" hashValue="7KnY4XNR3JA6nsbyNY21SaqE5oscokptFe0HW3DOJu6frgwTtkKMo60jxMnLxqpP2IbN3mzH7JDrli/lJv/j5g==" saltValue="sWKL8q9IPj3j84bjGcijhQ==" spinCount="100000" sheet="1" objects="1" scenarios="1"/>
  <sortState ref="A150:C177">
    <sortCondition descending="1" ref="A149"/>
  </sortState>
  <mergeCells count="34">
    <mergeCell ref="A231:V231"/>
    <mergeCell ref="A239:V239"/>
    <mergeCell ref="B243:V243"/>
    <mergeCell ref="A244:V244"/>
    <mergeCell ref="B206:V206"/>
    <mergeCell ref="A207:V207"/>
    <mergeCell ref="B222:V222"/>
    <mergeCell ref="A223:V223"/>
    <mergeCell ref="B230:U230"/>
    <mergeCell ref="B196:V196"/>
    <mergeCell ref="A197:V197"/>
    <mergeCell ref="B201:V201"/>
    <mergeCell ref="A202:V202"/>
    <mergeCell ref="A203:V203"/>
    <mergeCell ref="A135:V135"/>
    <mergeCell ref="B156:V156"/>
    <mergeCell ref="A157:V157"/>
    <mergeCell ref="B165:V165"/>
    <mergeCell ref="A166:V166"/>
    <mergeCell ref="A73:V73"/>
    <mergeCell ref="B114:V114"/>
    <mergeCell ref="A115:V115"/>
    <mergeCell ref="A116:V116"/>
    <mergeCell ref="B134:V134"/>
    <mergeCell ref="B4:V4"/>
    <mergeCell ref="A5:V5"/>
    <mergeCell ref="B26:V26"/>
    <mergeCell ref="A27:V27"/>
    <mergeCell ref="B72:V72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E140 L140 E34 L34 E50 L50 E78 E98 L98" formula="1"/>
    <ignoredError sqref="R46:T46 R128:T128 R140 R51:T51 T240:T241 S257 S228 S200 S195 S155 S113 S71 S25 S16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workbookViewId="0">
      <selection activeCell="H10" sqref="H10"/>
    </sheetView>
  </sheetViews>
  <sheetFormatPr defaultColWidth="9" defaultRowHeight="14.4"/>
  <cols>
    <col min="1" max="1" width="34" customWidth="1"/>
    <col min="2" max="2" width="15.6640625" customWidth="1"/>
    <col min="3" max="3" width="16.109375" customWidth="1"/>
  </cols>
  <sheetData>
    <row r="1" spans="1:7">
      <c r="A1" s="20"/>
      <c r="B1" s="20"/>
      <c r="C1" s="20"/>
      <c r="D1" s="20"/>
      <c r="E1" s="20"/>
      <c r="F1" s="20"/>
      <c r="G1" s="15"/>
    </row>
    <row r="2" spans="1:7" ht="27.6">
      <c r="A2" s="36" t="s">
        <v>319</v>
      </c>
      <c r="B2" s="37" t="s">
        <v>320</v>
      </c>
      <c r="C2" s="37" t="s">
        <v>333</v>
      </c>
      <c r="D2" s="38"/>
      <c r="E2" s="20"/>
      <c r="F2" s="20"/>
      <c r="G2" s="15"/>
    </row>
    <row r="3" spans="1:7">
      <c r="A3" s="39" t="s">
        <v>21</v>
      </c>
      <c r="B3" s="40">
        <f t="shared" ref="B3:C10" si="0">B13</f>
        <v>73.550112013645503</v>
      </c>
      <c r="C3" s="40">
        <f t="shared" si="0"/>
        <v>75.813884318519101</v>
      </c>
      <c r="D3" s="38"/>
      <c r="E3" s="20"/>
      <c r="F3" s="20"/>
      <c r="G3" s="15"/>
    </row>
    <row r="4" spans="1:7" ht="15.6" customHeight="1">
      <c r="A4" s="36" t="s">
        <v>60</v>
      </c>
      <c r="B4" s="41">
        <f t="shared" si="0"/>
        <v>4172.7591221779403</v>
      </c>
      <c r="C4" s="41">
        <f t="shared" si="0"/>
        <v>4226.3819701039401</v>
      </c>
      <c r="D4" s="38"/>
      <c r="E4" s="20"/>
      <c r="F4" s="20"/>
      <c r="G4" s="15"/>
    </row>
    <row r="5" spans="1:7" ht="16.2" customHeight="1">
      <c r="A5" s="36" t="s">
        <v>321</v>
      </c>
      <c r="B5" s="40">
        <f t="shared" si="0"/>
        <v>239.78026597400003</v>
      </c>
      <c r="C5" s="40">
        <f t="shared" si="0"/>
        <v>240.26748459951139</v>
      </c>
      <c r="D5" s="38"/>
      <c r="E5" s="20"/>
      <c r="F5" s="20"/>
      <c r="G5" s="15"/>
    </row>
    <row r="6" spans="1:7">
      <c r="A6" s="36" t="s">
        <v>176</v>
      </c>
      <c r="B6" s="41">
        <f t="shared" si="0"/>
        <v>1916.7479723695219</v>
      </c>
      <c r="C6" s="41">
        <f t="shared" si="0"/>
        <v>1951.3357294346147</v>
      </c>
      <c r="D6" s="38"/>
      <c r="E6" s="20"/>
      <c r="F6" s="20"/>
      <c r="G6" s="15"/>
    </row>
    <row r="7" spans="1:7">
      <c r="A7" s="36" t="s">
        <v>322</v>
      </c>
      <c r="B7" s="40">
        <f t="shared" si="0"/>
        <v>367.96901960186682</v>
      </c>
      <c r="C7" s="40">
        <f t="shared" si="0"/>
        <v>368.37514477214171</v>
      </c>
      <c r="D7" s="38"/>
      <c r="E7" s="20"/>
      <c r="F7" s="20"/>
      <c r="G7" s="15"/>
    </row>
    <row r="8" spans="1:7">
      <c r="A8" s="36" t="s">
        <v>223</v>
      </c>
      <c r="B8" s="42">
        <f t="shared" si="0"/>
        <v>77.988718310700833</v>
      </c>
      <c r="C8" s="42">
        <f t="shared" si="0"/>
        <v>79.052496329947786</v>
      </c>
      <c r="D8" s="38"/>
      <c r="E8" s="20"/>
      <c r="F8" s="20"/>
      <c r="G8" s="15"/>
    </row>
    <row r="9" spans="1:7">
      <c r="A9" s="36" t="s">
        <v>255</v>
      </c>
      <c r="B9" s="40">
        <f t="shared" si="0"/>
        <v>8.3003962871100008</v>
      </c>
      <c r="C9" s="40">
        <f t="shared" si="0"/>
        <v>8.4243767475200002</v>
      </c>
      <c r="D9" s="38"/>
      <c r="E9" s="20"/>
      <c r="F9" s="20"/>
      <c r="G9" s="15"/>
    </row>
    <row r="10" spans="1:7">
      <c r="A10" s="36" t="s">
        <v>323</v>
      </c>
      <c r="B10" s="40">
        <f t="shared" si="0"/>
        <v>68.565919306979978</v>
      </c>
      <c r="C10" s="40">
        <f t="shared" si="0"/>
        <v>70.560901828968014</v>
      </c>
      <c r="D10" s="38"/>
      <c r="E10" s="20"/>
      <c r="F10" s="20"/>
      <c r="G10" s="15"/>
    </row>
    <row r="11" spans="1:7">
      <c r="A11" s="36"/>
      <c r="B11" s="40"/>
      <c r="C11" s="40"/>
      <c r="D11" s="38"/>
      <c r="E11" s="20"/>
      <c r="F11" s="20"/>
      <c r="G11" s="15"/>
    </row>
    <row r="12" spans="1:7">
      <c r="A12" s="20"/>
      <c r="B12" s="20"/>
      <c r="C12" s="20"/>
      <c r="D12" s="20"/>
      <c r="E12" s="20"/>
      <c r="F12" s="20"/>
      <c r="G12" s="15"/>
    </row>
    <row r="13" spans="1:7">
      <c r="A13" s="43" t="s">
        <v>21</v>
      </c>
      <c r="B13" s="44">
        <f>'Weekly Valuation'!D25/1000000000</f>
        <v>73.550112013645503</v>
      </c>
      <c r="C13" s="45">
        <f>'Weekly Valuation'!K25/1000000000</f>
        <v>75.813884318519101</v>
      </c>
      <c r="D13" s="20"/>
      <c r="E13" s="20"/>
      <c r="F13" s="20"/>
      <c r="G13" s="15"/>
    </row>
    <row r="14" spans="1:7">
      <c r="A14" s="46" t="s">
        <v>60</v>
      </c>
      <c r="B14" s="44">
        <f>'Weekly Valuation'!D71/1000000000</f>
        <v>4172.7591221779403</v>
      </c>
      <c r="C14" s="47">
        <f>'Weekly Valuation'!K71/1000000000</f>
        <v>4226.3819701039401</v>
      </c>
      <c r="D14" s="20"/>
      <c r="E14" s="20"/>
      <c r="F14" s="20"/>
      <c r="G14" s="15"/>
    </row>
    <row r="15" spans="1:7">
      <c r="A15" s="46" t="s">
        <v>321</v>
      </c>
      <c r="B15" s="44">
        <f>'Weekly Valuation'!D113/1000000000</f>
        <v>239.78026597400003</v>
      </c>
      <c r="C15" s="45">
        <f>'Weekly Valuation'!K113/1000000000</f>
        <v>240.26748459951139</v>
      </c>
      <c r="D15" s="20"/>
      <c r="E15" s="20"/>
      <c r="F15" s="20"/>
      <c r="G15" s="15"/>
    </row>
    <row r="16" spans="1:7">
      <c r="A16" s="46" t="s">
        <v>176</v>
      </c>
      <c r="B16" s="44">
        <f>'Weekly Valuation'!D155/1000000000</f>
        <v>1916.7479723695219</v>
      </c>
      <c r="C16" s="47">
        <f>'Weekly Valuation'!K155/1000000000</f>
        <v>1951.3357294346147</v>
      </c>
      <c r="D16" s="20"/>
      <c r="E16" s="20"/>
      <c r="F16" s="20"/>
      <c r="G16" s="15"/>
    </row>
    <row r="17" spans="1:7">
      <c r="A17" s="46" t="s">
        <v>322</v>
      </c>
      <c r="B17" s="44">
        <f>'Weekly Valuation'!D164/1000000000</f>
        <v>367.96901960186682</v>
      </c>
      <c r="C17" s="45">
        <f>'Weekly Valuation'!K164/1000000000</f>
        <v>368.37514477214171</v>
      </c>
      <c r="D17" s="20"/>
      <c r="E17" s="20"/>
      <c r="F17" s="20"/>
      <c r="G17" s="15"/>
    </row>
    <row r="18" spans="1:7">
      <c r="A18" s="46" t="s">
        <v>223</v>
      </c>
      <c r="B18" s="44">
        <f>'Weekly Valuation'!D195/1000000000</f>
        <v>77.988718310700833</v>
      </c>
      <c r="C18" s="48">
        <f>'Weekly Valuation'!K195/1000000000</f>
        <v>79.052496329947786</v>
      </c>
      <c r="D18" s="20"/>
      <c r="E18" s="20"/>
      <c r="F18" s="20"/>
      <c r="G18" s="15"/>
    </row>
    <row r="19" spans="1:7">
      <c r="A19" s="46" t="s">
        <v>255</v>
      </c>
      <c r="B19" s="44">
        <f>'Weekly Valuation'!D200/1000000000</f>
        <v>8.3003962871100008</v>
      </c>
      <c r="C19" s="45">
        <f>'Weekly Valuation'!K200/1000000000</f>
        <v>8.4243767475200002</v>
      </c>
      <c r="D19" s="20"/>
      <c r="E19" s="20"/>
      <c r="F19" s="20"/>
      <c r="G19" s="15"/>
    </row>
    <row r="20" spans="1:7">
      <c r="A20" s="46" t="s">
        <v>323</v>
      </c>
      <c r="B20" s="44">
        <f>'Weekly Valuation'!D228/1000000000</f>
        <v>68.565919306979978</v>
      </c>
      <c r="C20" s="45">
        <f>'Weekly Valuation'!K228/1000000000</f>
        <v>70.560901828968014</v>
      </c>
      <c r="D20" s="20"/>
      <c r="E20" s="20"/>
      <c r="F20" s="20"/>
      <c r="G20" s="15"/>
    </row>
    <row r="21" spans="1:7">
      <c r="A21" s="27"/>
      <c r="B21" s="20"/>
      <c r="C21" s="30"/>
      <c r="D21" s="20"/>
      <c r="E21" s="20"/>
      <c r="F21" s="20"/>
      <c r="G21" s="15"/>
    </row>
    <row r="22" spans="1:7">
      <c r="A22" s="27"/>
      <c r="B22" s="20"/>
      <c r="C22" s="28"/>
      <c r="D22" s="20"/>
      <c r="E22" s="20"/>
      <c r="F22" s="20"/>
      <c r="G22" s="15"/>
    </row>
    <row r="23" spans="1:7">
      <c r="A23" s="27"/>
      <c r="B23" s="28"/>
      <c r="C23" s="29"/>
      <c r="D23" s="20"/>
      <c r="E23" s="20"/>
      <c r="F23" s="20"/>
      <c r="G23" s="15"/>
    </row>
    <row r="24" spans="1:7">
      <c r="A24" s="27"/>
      <c r="B24" s="28"/>
      <c r="C24" s="28"/>
      <c r="D24" s="20"/>
      <c r="E24" s="20"/>
      <c r="F24" s="20"/>
      <c r="G24" s="15"/>
    </row>
    <row r="25" spans="1:7">
      <c r="A25" s="27"/>
      <c r="B25" s="28"/>
      <c r="C25" s="28"/>
      <c r="D25" s="20"/>
      <c r="E25" s="20"/>
      <c r="F25" s="20"/>
      <c r="G25" s="15"/>
    </row>
    <row r="26" spans="1:7">
      <c r="A26" s="27"/>
      <c r="B26" s="28"/>
      <c r="C26" s="28"/>
      <c r="D26" s="20"/>
      <c r="E26" s="20"/>
      <c r="F26" s="20"/>
      <c r="G26" s="15"/>
    </row>
    <row r="27" spans="1:7">
      <c r="A27" s="27"/>
      <c r="B27" s="28"/>
      <c r="C27" s="28"/>
      <c r="D27" s="20"/>
      <c r="E27" s="20"/>
      <c r="F27" s="20"/>
      <c r="G27" s="15"/>
    </row>
    <row r="28" spans="1:7">
      <c r="A28" s="20"/>
      <c r="B28" s="20"/>
      <c r="C28" s="20"/>
      <c r="D28" s="20"/>
      <c r="E28" s="20"/>
      <c r="F28" s="20"/>
      <c r="G28" s="15"/>
    </row>
    <row r="29" spans="1:7">
      <c r="A29" s="15"/>
      <c r="B29" s="15"/>
      <c r="C29" s="15"/>
      <c r="D29" s="15"/>
      <c r="E29" s="15"/>
      <c r="F29" s="15"/>
      <c r="G29" s="15"/>
    </row>
  </sheetData>
  <sheetProtection algorithmName="SHA-512" hashValue="xm90Jn6759B2TJeaufO2delL0U2J6PdvqcY5p26/0xpou7rVqyG9JUx1XBfDTV+SSXfNCA5+4t/0G65wckP4ag==" saltValue="H5+C189yZlF0A7q2IZj9/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F13" sqref="F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92" t="s">
        <v>319</v>
      </c>
      <c r="B1" s="26">
        <v>45947</v>
      </c>
      <c r="C1" s="193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94" t="s">
        <v>255</v>
      </c>
      <c r="B2" s="28">
        <f>'Weekly Valuation'!K200</f>
        <v>8424376747.5200005</v>
      </c>
      <c r="C2" s="193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94" t="s">
        <v>21</v>
      </c>
      <c r="B3" s="28">
        <f>'Weekly Valuation'!K25</f>
        <v>75813884318.519104</v>
      </c>
      <c r="C3" s="193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94" t="s">
        <v>323</v>
      </c>
      <c r="B4" s="29">
        <f>'Weekly Valuation'!K228</f>
        <v>70560901828.968018</v>
      </c>
      <c r="C4" s="193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94" t="s">
        <v>223</v>
      </c>
      <c r="B5" s="28">
        <f>'Weekly Valuation'!K195</f>
        <v>79052496329.947784</v>
      </c>
      <c r="C5" s="193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94" t="s">
        <v>322</v>
      </c>
      <c r="B6" s="28">
        <f>'Weekly Valuation'!K164</f>
        <v>368375144772.14172</v>
      </c>
      <c r="C6" s="193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94" t="s">
        <v>321</v>
      </c>
      <c r="B7" s="28">
        <f>'Weekly Valuation'!K113</f>
        <v>240267484599.51138</v>
      </c>
      <c r="C7" s="193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94" t="s">
        <v>176</v>
      </c>
      <c r="B8" s="30">
        <f>'Weekly Valuation'!K155</f>
        <v>1951335729434.6147</v>
      </c>
      <c r="C8" s="193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94" t="s">
        <v>60</v>
      </c>
      <c r="B9" s="30">
        <f>'Weekly Valuation'!K71</f>
        <v>4226381970103.9404</v>
      </c>
      <c r="C9" s="193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93"/>
      <c r="B10" s="193"/>
      <c r="C10" s="193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94"/>
      <c r="B11" s="195"/>
      <c r="C11" s="193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94"/>
      <c r="B12" s="193"/>
      <c r="C12" s="193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28"/>
      <c r="B13" s="28"/>
      <c r="C13" s="193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33"/>
      <c r="B14" s="33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31"/>
      <c r="B15" s="3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33"/>
      <c r="B16" s="33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33"/>
      <c r="B17" s="33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34"/>
      <c r="B18" s="33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34"/>
      <c r="B19" s="3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34"/>
      <c r="B20" s="3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31"/>
      <c r="B21" s="3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5"/>
      <c r="B22" s="3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91"/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35"/>
    </row>
    <row r="33" spans="1:17" ht="15" customHeight="1">
      <c r="A33" s="191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35"/>
    </row>
  </sheetData>
  <sheetProtection algorithmName="SHA-512" hashValue="7s0ZLEX+fjBuHtvQOw5r78MI5ooP60/d2Gw8dXBwRtdNYRf0hlKIDa0SlWnqH1A4N3sVol5A3May9kF9ldPW2Q==" saltValue="du4N7qVZqhEZCGLB57NyHA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7"/>
  <sheetViews>
    <sheetView zoomScale="110" zoomScaleNormal="110" workbookViewId="0">
      <selection activeCell="C8" sqref="C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</row>
    <row r="2" spans="1:13">
      <c r="A2" s="21" t="s">
        <v>324</v>
      </c>
      <c r="B2" s="22">
        <v>45898</v>
      </c>
      <c r="C2" s="22">
        <v>45904</v>
      </c>
      <c r="D2" s="22">
        <v>45912</v>
      </c>
      <c r="E2" s="22">
        <v>45919</v>
      </c>
      <c r="F2" s="22">
        <v>45926</v>
      </c>
      <c r="G2" s="22">
        <v>45933</v>
      </c>
      <c r="H2" s="22">
        <v>45940</v>
      </c>
      <c r="I2" s="22">
        <v>45947</v>
      </c>
      <c r="J2" s="20"/>
      <c r="K2" s="20"/>
      <c r="L2" s="15"/>
      <c r="M2" s="15"/>
    </row>
    <row r="3" spans="1:13">
      <c r="A3" s="21" t="s">
        <v>325</v>
      </c>
      <c r="B3" s="23">
        <f t="shared" ref="B3:I3" si="0">B4</f>
        <v>6560.9507360896259</v>
      </c>
      <c r="C3" s="23">
        <f t="shared" si="0"/>
        <v>6542.8543765579316</v>
      </c>
      <c r="D3" s="23">
        <f t="shared" si="0"/>
        <v>6621.1686110231039</v>
      </c>
      <c r="E3" s="23">
        <f t="shared" si="0"/>
        <v>6693.7872553133047</v>
      </c>
      <c r="F3" s="23">
        <f t="shared" si="0"/>
        <v>6745.4768805021858</v>
      </c>
      <c r="G3" s="23">
        <f t="shared" si="0"/>
        <v>6812.2098133156469</v>
      </c>
      <c r="H3" s="23">
        <f t="shared" si="0"/>
        <v>6925.6615260417648</v>
      </c>
      <c r="I3" s="23">
        <f t="shared" si="0"/>
        <v>7020.2119881351628</v>
      </c>
      <c r="J3" s="20"/>
      <c r="K3" s="20"/>
      <c r="L3" s="15"/>
      <c r="M3" s="15"/>
    </row>
    <row r="4" spans="1:13">
      <c r="A4" s="20"/>
      <c r="B4" s="24">
        <f>'NAV Trend'!C10/1000000000</f>
        <v>6560.9507360896259</v>
      </c>
      <c r="C4" s="24">
        <f>'NAV Trend'!D10/1000000000</f>
        <v>6542.8543765579316</v>
      </c>
      <c r="D4" s="24">
        <f>'NAV Trend'!E10/1000000000</f>
        <v>6621.1686110231039</v>
      </c>
      <c r="E4" s="24">
        <f>'NAV Trend'!F10/1000000000</f>
        <v>6693.7872553133047</v>
      </c>
      <c r="F4" s="24">
        <f>'NAV Trend'!G10/1000000000</f>
        <v>6745.4768805021858</v>
      </c>
      <c r="G4" s="24">
        <f>'NAV Trend'!H10/1000000000</f>
        <v>6812.2098133156469</v>
      </c>
      <c r="H4" s="25">
        <f>'NAV Trend'!I10/1000000000</f>
        <v>6925.6615260417648</v>
      </c>
      <c r="I4" s="25">
        <f>'NAV Trend'!J10/1000000000</f>
        <v>7020.2119881351628</v>
      </c>
      <c r="J4" s="20"/>
      <c r="K4" s="20"/>
      <c r="L4" s="15"/>
      <c r="M4" s="15"/>
    </row>
    <row r="5" spans="1:1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</row>
    <row r="6" spans="1:1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</row>
    <row r="7" spans="1:1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15"/>
      <c r="M7" s="15"/>
    </row>
    <row r="8" spans="1:13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15"/>
      <c r="M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</sheetData>
  <sheetProtection algorithmName="SHA-512" hashValue="MZyNsqZsCfyEf3tZeuDCvpwyxqnNcvZZzIB0KvpIdaFetdH1ZJ73w+k3Sqi9Pd8EFUv62woIYCakKWdQR5Cq+Q==" saltValue="iWoIgSPcXLSvr2Iu4P2TX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N17"/>
  <sheetViews>
    <sheetView workbookViewId="0">
      <selection activeCell="E7" sqref="E7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15"/>
    </row>
    <row r="2" spans="1:14">
      <c r="A2" s="21" t="s">
        <v>324</v>
      </c>
      <c r="B2" s="22">
        <v>45898</v>
      </c>
      <c r="C2" s="22">
        <v>45904</v>
      </c>
      <c r="D2" s="22">
        <v>45912</v>
      </c>
      <c r="E2" s="22">
        <v>45919</v>
      </c>
      <c r="F2" s="22">
        <v>45926</v>
      </c>
      <c r="G2" s="22">
        <v>45933</v>
      </c>
      <c r="H2" s="22">
        <v>45940</v>
      </c>
      <c r="I2" s="22">
        <v>45947</v>
      </c>
      <c r="J2" s="20"/>
      <c r="K2" s="20"/>
      <c r="L2" s="15"/>
      <c r="M2" s="15"/>
      <c r="N2" s="15"/>
    </row>
    <row r="3" spans="1:14">
      <c r="A3" s="21" t="s">
        <v>326</v>
      </c>
      <c r="B3" s="23">
        <f t="shared" ref="B3:I3" si="0">B4</f>
        <v>16.769372316030001</v>
      </c>
      <c r="C3" s="23">
        <f t="shared" si="0"/>
        <v>16.688373226208999</v>
      </c>
      <c r="D3" s="23">
        <f t="shared" si="0"/>
        <v>16.922657208431001</v>
      </c>
      <c r="E3" s="23">
        <f t="shared" si="0"/>
        <v>16.933585980109999</v>
      </c>
      <c r="F3" s="23">
        <f t="shared" si="0"/>
        <v>17.03010698616</v>
      </c>
      <c r="G3" s="23">
        <f t="shared" si="0"/>
        <v>17.235315862970001</v>
      </c>
      <c r="H3" s="23">
        <f t="shared" si="0"/>
        <v>17.54959499956</v>
      </c>
      <c r="I3" s="23">
        <f t="shared" si="0"/>
        <v>17.680301749159998</v>
      </c>
      <c r="J3" s="20"/>
      <c r="K3" s="20"/>
      <c r="L3" s="15"/>
      <c r="M3" s="15"/>
      <c r="N3" s="15"/>
    </row>
    <row r="4" spans="1:14">
      <c r="A4" s="20"/>
      <c r="B4" s="24">
        <f>'NAV Trend'!C16/1000000000</f>
        <v>16.769372316030001</v>
      </c>
      <c r="C4" s="24">
        <f>'NAV Trend'!D16/1000000000</f>
        <v>16.688373226208999</v>
      </c>
      <c r="D4" s="24">
        <f>'NAV Trend'!E16/1000000000</f>
        <v>16.922657208431001</v>
      </c>
      <c r="E4" s="24">
        <f>'NAV Trend'!F16/1000000000</f>
        <v>16.933585980109999</v>
      </c>
      <c r="F4" s="24">
        <f>'NAV Trend'!G16/1000000000</f>
        <v>17.03010698616</v>
      </c>
      <c r="G4" s="24">
        <f>'NAV Trend'!H16/1000000000</f>
        <v>17.235315862970001</v>
      </c>
      <c r="H4" s="24">
        <f>'NAV Trend'!I16/1000000000</f>
        <v>17.54959499956</v>
      </c>
      <c r="I4" s="25">
        <f>'NAV Trend'!J16/1000000000</f>
        <v>17.680301749159998</v>
      </c>
      <c r="J4" s="20"/>
      <c r="K4" s="20"/>
      <c r="L4" s="15"/>
      <c r="M4" s="15"/>
      <c r="N4" s="15"/>
    </row>
    <row r="5" spans="1:14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  <c r="N5" s="15"/>
    </row>
    <row r="6" spans="1:14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  <c r="N6" s="15"/>
    </row>
    <row r="7" spans="1:1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15"/>
      <c r="M7" s="15"/>
      <c r="N7" s="15"/>
    </row>
    <row r="8" spans="1:1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sheetProtection algorithmName="SHA-512" hashValue="NK6gupS+6RDtE63eWcDCgl8pMr/46Xqeku8Fqaeda4OOyyOm+X2kB3g073JmSJWsYKgONtikKstNx9Pj366BSQ==" saltValue="0MCQTNmtcvUiDGSK/Ixdpg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319</v>
      </c>
      <c r="B1" s="2">
        <v>45891</v>
      </c>
      <c r="C1" s="2">
        <v>45898</v>
      </c>
      <c r="D1" s="2">
        <v>45904</v>
      </c>
      <c r="E1" s="2">
        <v>45912</v>
      </c>
      <c r="F1" s="2">
        <v>45919</v>
      </c>
      <c r="G1" s="2">
        <v>45926</v>
      </c>
      <c r="H1" s="2">
        <v>45933</v>
      </c>
      <c r="I1" s="2">
        <v>45940</v>
      </c>
      <c r="J1" s="2">
        <v>45947</v>
      </c>
    </row>
    <row r="2" spans="1:11">
      <c r="A2" s="3" t="s">
        <v>21</v>
      </c>
      <c r="B2" s="4">
        <v>68712705350.806602</v>
      </c>
      <c r="C2" s="4">
        <v>68528972082.446602</v>
      </c>
      <c r="D2" s="4">
        <v>67808284732.281898</v>
      </c>
      <c r="E2" s="4">
        <v>69131472753.822495</v>
      </c>
      <c r="F2" s="4">
        <v>67012799943.2817</v>
      </c>
      <c r="G2" s="4">
        <v>70670721283.488907</v>
      </c>
      <c r="H2" s="4">
        <v>72157008607.625702</v>
      </c>
      <c r="I2" s="4">
        <v>73550112013.645493</v>
      </c>
      <c r="J2" s="4">
        <v>75813884318.519104</v>
      </c>
    </row>
    <row r="3" spans="1:11">
      <c r="A3" s="3" t="s">
        <v>60</v>
      </c>
      <c r="B3" s="4">
        <v>3698986228978.6602</v>
      </c>
      <c r="C3" s="4">
        <v>3754571698722.0098</v>
      </c>
      <c r="D3" s="4">
        <v>3787579756295.2598</v>
      </c>
      <c r="E3" s="4">
        <v>3840917336766.8398</v>
      </c>
      <c r="F3" s="4">
        <v>3906285455615.1201</v>
      </c>
      <c r="G3" s="4">
        <v>3980593293535.2598</v>
      </c>
      <c r="H3" s="4">
        <v>4086864116266.48</v>
      </c>
      <c r="I3" s="4">
        <v>4172759122177.9399</v>
      </c>
      <c r="J3" s="4">
        <v>4226381970103.9404</v>
      </c>
    </row>
    <row r="4" spans="1:11">
      <c r="A4" s="3" t="s">
        <v>321</v>
      </c>
      <c r="B4" s="5">
        <v>231150686743.54001</v>
      </c>
      <c r="C4" s="5">
        <v>230778446525.29001</v>
      </c>
      <c r="D4" s="5">
        <v>190623296428.20999</v>
      </c>
      <c r="E4" s="5">
        <v>230565504758.69101</v>
      </c>
      <c r="F4" s="5">
        <v>231416262791.29901</v>
      </c>
      <c r="G4" s="5">
        <v>229355365570.742</v>
      </c>
      <c r="H4" s="5">
        <v>236138171866.332</v>
      </c>
      <c r="I4" s="5">
        <v>239780265974</v>
      </c>
      <c r="J4" s="5">
        <v>240267484599.51138</v>
      </c>
    </row>
    <row r="5" spans="1:11">
      <c r="A5" s="3" t="s">
        <v>176</v>
      </c>
      <c r="B5" s="4">
        <v>1991922950833.49</v>
      </c>
      <c r="C5" s="4">
        <v>1993255843040.25</v>
      </c>
      <c r="D5" s="4">
        <v>1984005277311</v>
      </c>
      <c r="E5" s="4">
        <v>1964882408137.4399</v>
      </c>
      <c r="F5" s="4">
        <v>1968484717559.7</v>
      </c>
      <c r="G5" s="4">
        <v>1946024427071.95</v>
      </c>
      <c r="H5" s="4">
        <v>1897887333536.4199</v>
      </c>
      <c r="I5" s="4">
        <v>1916747972369.52</v>
      </c>
      <c r="J5" s="4">
        <v>1951335729434.6147</v>
      </c>
    </row>
    <row r="6" spans="1:11">
      <c r="A6" s="3" t="s">
        <v>322</v>
      </c>
      <c r="B6" s="6">
        <v>362866619476.15002</v>
      </c>
      <c r="C6" s="6">
        <v>363359218001.72998</v>
      </c>
      <c r="D6" s="6">
        <v>364054624035.52002</v>
      </c>
      <c r="E6" s="6">
        <v>365114328439.96301</v>
      </c>
      <c r="F6" s="6">
        <v>366110435001.72998</v>
      </c>
      <c r="G6" s="6">
        <v>366811558700.98102</v>
      </c>
      <c r="H6" s="6">
        <v>367818478282.37299</v>
      </c>
      <c r="I6" s="6">
        <v>367969019601.867</v>
      </c>
      <c r="J6" s="6">
        <v>368375144772.14172</v>
      </c>
    </row>
    <row r="7" spans="1:11">
      <c r="A7" s="3" t="s">
        <v>223</v>
      </c>
      <c r="B7" s="7">
        <v>75659187090.104202</v>
      </c>
      <c r="C7" s="7">
        <v>75600278286.828705</v>
      </c>
      <c r="D7" s="7">
        <v>75412808907.360199</v>
      </c>
      <c r="E7" s="7">
        <v>76147888988.447098</v>
      </c>
      <c r="F7" s="7">
        <v>79408928723.084198</v>
      </c>
      <c r="G7" s="7">
        <v>76321020907.454193</v>
      </c>
      <c r="H7" s="7">
        <v>77203925561.305695</v>
      </c>
      <c r="I7" s="7">
        <v>77988718310.700806</v>
      </c>
      <c r="J7" s="7">
        <v>79052496329.947784</v>
      </c>
    </row>
    <row r="8" spans="1:11">
      <c r="A8" s="3" t="s">
        <v>255</v>
      </c>
      <c r="B8" s="6">
        <v>8340033217</v>
      </c>
      <c r="C8" s="6">
        <v>8199066547.75</v>
      </c>
      <c r="D8" s="6">
        <v>8021638129.3699999</v>
      </c>
      <c r="E8" s="6">
        <v>8167609322.46</v>
      </c>
      <c r="F8" s="6">
        <v>8077825131.0200005</v>
      </c>
      <c r="G8" s="6">
        <v>8144939845.2200003</v>
      </c>
      <c r="H8" s="6">
        <v>8220876623.29</v>
      </c>
      <c r="I8" s="6">
        <v>8300396287.1099997</v>
      </c>
      <c r="J8" s="6">
        <v>8424376747.5200005</v>
      </c>
    </row>
    <row r="9" spans="1:11">
      <c r="A9" s="3" t="s">
        <v>323</v>
      </c>
      <c r="B9" s="6">
        <v>66197497779.900002</v>
      </c>
      <c r="C9" s="6">
        <v>66657212883.32</v>
      </c>
      <c r="D9" s="6">
        <v>65348690718.93</v>
      </c>
      <c r="E9" s="6">
        <v>66242061855.440002</v>
      </c>
      <c r="F9" s="6">
        <v>66990830548.07</v>
      </c>
      <c r="G9" s="6">
        <v>67555553587.089996</v>
      </c>
      <c r="H9" s="6">
        <v>65919902571.82</v>
      </c>
      <c r="I9" s="6">
        <v>68565919306.980003</v>
      </c>
      <c r="J9" s="6">
        <v>70560901828.968018</v>
      </c>
    </row>
    <row r="10" spans="1:11" ht="15.6">
      <c r="A10" s="8" t="s">
        <v>327</v>
      </c>
      <c r="B10" s="9">
        <f t="shared" ref="B10:J10" si="0">SUM(B2:B9)</f>
        <v>6503835909469.6523</v>
      </c>
      <c r="C10" s="9">
        <f t="shared" si="0"/>
        <v>6560950736089.626</v>
      </c>
      <c r="D10" s="9">
        <f t="shared" si="0"/>
        <v>6542854376557.9316</v>
      </c>
      <c r="E10" s="9">
        <f t="shared" si="0"/>
        <v>6621168611023.1035</v>
      </c>
      <c r="F10" s="9">
        <f t="shared" si="0"/>
        <v>6693787255313.3047</v>
      </c>
      <c r="G10" s="9">
        <f t="shared" si="0"/>
        <v>6745476880502.1855</v>
      </c>
      <c r="H10" s="9">
        <f t="shared" si="0"/>
        <v>6812209813315.6465</v>
      </c>
      <c r="I10" s="9">
        <f t="shared" si="0"/>
        <v>6925661526041.7646</v>
      </c>
      <c r="J10" s="9">
        <f t="shared" si="0"/>
        <v>7020211988135.1631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328</v>
      </c>
      <c r="B12" s="173" t="s">
        <v>329</v>
      </c>
      <c r="C12" s="13">
        <f>(B10+C10)/2</f>
        <v>6532393322779.6387</v>
      </c>
      <c r="D12" s="14">
        <f t="shared" ref="D12:J12" si="1">(C10+D10)/2</f>
        <v>6551902556323.7793</v>
      </c>
      <c r="E12" s="14">
        <f t="shared" si="1"/>
        <v>6582011493790.5176</v>
      </c>
      <c r="F12" s="14">
        <f t="shared" si="1"/>
        <v>6657477933168.2041</v>
      </c>
      <c r="G12" s="14">
        <f t="shared" si="1"/>
        <v>6719632067907.7451</v>
      </c>
      <c r="H12" s="14">
        <f t="shared" si="1"/>
        <v>6778843346908.916</v>
      </c>
      <c r="I12" s="14">
        <f t="shared" si="1"/>
        <v>6868935669678.7051</v>
      </c>
      <c r="J12" s="14">
        <f t="shared" si="1"/>
        <v>6972936757088.4639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45891</v>
      </c>
      <c r="C15" s="2">
        <v>45898</v>
      </c>
      <c r="D15" s="2">
        <v>45904</v>
      </c>
      <c r="E15" s="2">
        <v>45912</v>
      </c>
      <c r="F15" s="2">
        <v>45919</v>
      </c>
      <c r="G15" s="2">
        <v>45926</v>
      </c>
      <c r="H15" s="2">
        <v>45933</v>
      </c>
      <c r="I15" s="2">
        <v>45940</v>
      </c>
      <c r="J15" s="2">
        <v>45947</v>
      </c>
      <c r="K15" s="15"/>
    </row>
    <row r="16" spans="1:11">
      <c r="A16" s="16" t="s">
        <v>330</v>
      </c>
      <c r="B16" s="17">
        <v>16805945304.309999</v>
      </c>
      <c r="C16" s="17">
        <v>16769372316.030001</v>
      </c>
      <c r="D16" s="17">
        <v>16688373226.209</v>
      </c>
      <c r="E16" s="17">
        <v>16922657208.431</v>
      </c>
      <c r="F16" s="17">
        <v>16933585980.110001</v>
      </c>
      <c r="G16" s="17">
        <v>17030106986.16</v>
      </c>
      <c r="H16" s="17">
        <v>17235315862.970001</v>
      </c>
      <c r="I16" s="17">
        <v>17549594999.560001</v>
      </c>
      <c r="J16" s="17">
        <v>17680301749.16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9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20"/>
    </row>
  </sheetData>
  <sheetProtection algorithmName="SHA-512" hashValue="7imM5OBhYzSJqd9baIC2QhoCIh+NFKNyDYwdn1lBbl4zjYXKVGDUrjRmNnCYo8B/xJd5Cri6z3RsMEHPJecuLw==" saltValue="D+pNHOef+yONae8iqFYjFA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2025-10-23T12:32:40Z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