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196" windowHeight="768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Valuation'!$W$135</definedName>
    <definedName name="NFEM_RATE" localSheetId="0">'Weekly Valuation'!$W$135</definedName>
  </definedNames>
  <calcPr calcId="162913"/>
</workbook>
</file>

<file path=xl/calcChain.xml><?xml version="1.0" encoding="utf-8"?>
<calcChain xmlns="http://schemas.openxmlformats.org/spreadsheetml/2006/main">
  <c r="N122" i="1" l="1"/>
  <c r="M122" i="1"/>
  <c r="K137" i="1" l="1"/>
  <c r="M121" i="1" l="1"/>
  <c r="K121" i="1"/>
  <c r="N147" i="1"/>
  <c r="M147" i="1"/>
  <c r="K147" i="1"/>
  <c r="N135" i="1"/>
  <c r="M135" i="1"/>
  <c r="K135" i="1"/>
  <c r="N153" i="1"/>
  <c r="M153" i="1"/>
  <c r="K153" i="1"/>
  <c r="N136" i="1" l="1"/>
  <c r="M136" i="1"/>
  <c r="K136" i="1"/>
  <c r="N123" i="1" l="1"/>
  <c r="M123" i="1"/>
  <c r="K123" i="1"/>
  <c r="N144" i="1"/>
  <c r="M144" i="1"/>
  <c r="K144" i="1"/>
  <c r="K131" i="1" l="1"/>
  <c r="N143" i="1" l="1"/>
  <c r="M143" i="1"/>
  <c r="K143" i="1"/>
  <c r="N231" i="1" l="1"/>
  <c r="M231" i="1"/>
  <c r="K231" i="1"/>
  <c r="N126" i="1"/>
  <c r="M126" i="1"/>
  <c r="K126" i="1"/>
  <c r="N125" i="1"/>
  <c r="M125" i="1"/>
  <c r="K125" i="1"/>
  <c r="N129" i="1"/>
  <c r="M129" i="1"/>
  <c r="K129" i="1"/>
  <c r="N145" i="1"/>
  <c r="K127" i="1"/>
  <c r="N116" i="1" l="1"/>
  <c r="M116" i="1"/>
  <c r="K116" i="1"/>
  <c r="N146" i="1" l="1"/>
  <c r="M146" i="1"/>
  <c r="K146" i="1"/>
  <c r="K122" i="1"/>
  <c r="M142" i="1"/>
  <c r="K117" i="1"/>
  <c r="K139" i="1" l="1"/>
  <c r="M139" i="1"/>
  <c r="N139" i="1"/>
  <c r="N150" i="1" l="1"/>
  <c r="M150" i="1"/>
  <c r="K150" i="1"/>
  <c r="N132" i="1"/>
  <c r="M132" i="1"/>
  <c r="K132" i="1"/>
  <c r="N151" i="1"/>
  <c r="M151" i="1"/>
  <c r="K151" i="1"/>
  <c r="K152" i="1" l="1"/>
  <c r="N130" i="1" l="1"/>
  <c r="M130" i="1"/>
  <c r="K130" i="1"/>
  <c r="N229" i="1"/>
  <c r="M229" i="1"/>
  <c r="K229" i="1"/>
  <c r="N119" i="1"/>
  <c r="M119" i="1"/>
  <c r="K119" i="1"/>
  <c r="N118" i="1"/>
  <c r="M118" i="1"/>
  <c r="K118" i="1"/>
  <c r="N149" i="1"/>
  <c r="M149" i="1"/>
  <c r="K149" i="1"/>
  <c r="N120" i="1" l="1"/>
  <c r="M120" i="1"/>
  <c r="K120" i="1"/>
  <c r="K141" i="1"/>
  <c r="N128" i="1" l="1"/>
  <c r="M128" i="1"/>
  <c r="K128" i="1"/>
  <c r="O112" i="1" l="1"/>
  <c r="N131" i="1" l="1"/>
  <c r="M131" i="1"/>
  <c r="N142" i="1" l="1"/>
  <c r="U28" i="1"/>
  <c r="N121" i="1" l="1"/>
  <c r="M145" i="1"/>
  <c r="M127" i="1" l="1"/>
  <c r="N152" i="1" l="1"/>
  <c r="M152" i="1"/>
  <c r="T137" i="1" l="1"/>
  <c r="U137" i="1"/>
  <c r="V137" i="1"/>
  <c r="R79" i="1" l="1"/>
  <c r="S79" i="1"/>
  <c r="T79" i="1"/>
  <c r="V79" i="1" l="1"/>
  <c r="U79" i="1"/>
  <c r="N137" i="1"/>
  <c r="S137" i="1" s="1"/>
  <c r="M137" i="1"/>
  <c r="R40" i="1" l="1"/>
  <c r="V40" i="1"/>
  <c r="U40" i="1"/>
  <c r="T40" i="1"/>
  <c r="S40" i="1"/>
  <c r="V141" i="1" l="1"/>
  <c r="U141" i="1"/>
  <c r="T141" i="1"/>
  <c r="N141" i="1"/>
  <c r="S141" i="1" s="1"/>
  <c r="M141" i="1"/>
  <c r="R141" i="1"/>
  <c r="R183" i="1" l="1"/>
  <c r="R83" i="1" l="1"/>
  <c r="R84" i="1"/>
  <c r="R106" i="1" l="1"/>
  <c r="S106" i="1"/>
  <c r="T106" i="1"/>
  <c r="U106" i="1"/>
  <c r="V106" i="1"/>
  <c r="R15" i="1" l="1"/>
  <c r="V232" i="1" l="1"/>
  <c r="U232" i="1"/>
  <c r="T232" i="1"/>
  <c r="S232" i="1"/>
  <c r="R232" i="1"/>
  <c r="R238" i="1"/>
  <c r="R158" i="1" l="1"/>
  <c r="S158" i="1"/>
  <c r="T158" i="1"/>
  <c r="U158" i="1"/>
  <c r="V158" i="1"/>
  <c r="R128" i="1" l="1"/>
  <c r="R127" i="1"/>
  <c r="S135" i="1"/>
  <c r="R135" i="1"/>
  <c r="S153" i="1"/>
  <c r="R153" i="1"/>
  <c r="S123" i="1"/>
  <c r="S144" i="1"/>
  <c r="R144" i="1"/>
  <c r="R129" i="1"/>
  <c r="S149" i="1"/>
  <c r="R149" i="1"/>
  <c r="S139" i="1"/>
  <c r="R139" i="1"/>
  <c r="S122" i="1"/>
  <c r="R122" i="1"/>
  <c r="K163" i="1"/>
  <c r="V222" i="1"/>
  <c r="U222" i="1"/>
  <c r="T222" i="1"/>
  <c r="S222" i="1"/>
  <c r="R222" i="1"/>
  <c r="K199" i="1"/>
  <c r="L197" i="1" s="1"/>
  <c r="D199" i="1"/>
  <c r="B19" i="2" s="1"/>
  <c r="B9" i="2" s="1"/>
  <c r="V223" i="1"/>
  <c r="U223" i="1"/>
  <c r="T223" i="1"/>
  <c r="S223" i="1"/>
  <c r="R223" i="1"/>
  <c r="K225" i="1"/>
  <c r="L204" i="1" s="1"/>
  <c r="D225" i="1"/>
  <c r="S136" i="1"/>
  <c r="S152" i="1"/>
  <c r="R117" i="1"/>
  <c r="S147" i="1"/>
  <c r="R147" i="1"/>
  <c r="R130" i="1"/>
  <c r="S116" i="1"/>
  <c r="V238" i="1"/>
  <c r="N127" i="1"/>
  <c r="S127" i="1" s="1"/>
  <c r="V230" i="1"/>
  <c r="U230" i="1"/>
  <c r="T230" i="1"/>
  <c r="S230" i="1"/>
  <c r="R230" i="1"/>
  <c r="K234" i="1"/>
  <c r="L232" i="1" s="1"/>
  <c r="S142" i="1"/>
  <c r="U146" i="1"/>
  <c r="V146" i="1"/>
  <c r="N117" i="1"/>
  <c r="S117" i="1" s="1"/>
  <c r="M117" i="1"/>
  <c r="R231" i="1"/>
  <c r="S231" i="1"/>
  <c r="T231" i="1"/>
  <c r="U231" i="1"/>
  <c r="V231" i="1"/>
  <c r="V53" i="1"/>
  <c r="U53" i="1"/>
  <c r="T53" i="1"/>
  <c r="S53" i="1"/>
  <c r="R53" i="1"/>
  <c r="R152" i="1"/>
  <c r="V152" i="1"/>
  <c r="U152" i="1"/>
  <c r="T152" i="1"/>
  <c r="R171" i="1"/>
  <c r="S171" i="1"/>
  <c r="T171" i="1"/>
  <c r="U171" i="1"/>
  <c r="V171" i="1"/>
  <c r="V147" i="1"/>
  <c r="U147" i="1"/>
  <c r="T147" i="1"/>
  <c r="R59" i="1"/>
  <c r="V59" i="1"/>
  <c r="U59" i="1"/>
  <c r="S59" i="1"/>
  <c r="T59" i="1"/>
  <c r="R32" i="1"/>
  <c r="V32" i="1"/>
  <c r="U32" i="1"/>
  <c r="T32" i="1"/>
  <c r="S32" i="1"/>
  <c r="T140" i="1"/>
  <c r="V127" i="1"/>
  <c r="U127" i="1"/>
  <c r="T127" i="1"/>
  <c r="R46" i="1"/>
  <c r="S46" i="1"/>
  <c r="T46" i="1"/>
  <c r="U46" i="1"/>
  <c r="V46" i="1"/>
  <c r="O234" i="1"/>
  <c r="H234" i="1"/>
  <c r="D234" i="1"/>
  <c r="V229" i="1"/>
  <c r="U229" i="1"/>
  <c r="T229" i="1"/>
  <c r="S229" i="1"/>
  <c r="R229" i="1"/>
  <c r="V139" i="1"/>
  <c r="U139" i="1"/>
  <c r="T139" i="1"/>
  <c r="V84" i="1"/>
  <c r="U84" i="1"/>
  <c r="T84" i="1"/>
  <c r="S84" i="1"/>
  <c r="R175" i="1"/>
  <c r="V23" i="1"/>
  <c r="U23" i="1"/>
  <c r="T23" i="1"/>
  <c r="S23" i="1"/>
  <c r="R23" i="1"/>
  <c r="O225" i="1"/>
  <c r="H225" i="1"/>
  <c r="V224" i="1"/>
  <c r="U224" i="1"/>
  <c r="T224" i="1"/>
  <c r="S224" i="1"/>
  <c r="R224" i="1"/>
  <c r="R31" i="1"/>
  <c r="R119" i="1"/>
  <c r="S119" i="1"/>
  <c r="T119" i="1"/>
  <c r="U119" i="1"/>
  <c r="V119" i="1"/>
  <c r="R54" i="1"/>
  <c r="R216" i="1"/>
  <c r="V208" i="1"/>
  <c r="U208" i="1"/>
  <c r="T208" i="1"/>
  <c r="S208" i="1"/>
  <c r="R208" i="1"/>
  <c r="T149" i="1"/>
  <c r="U149" i="1"/>
  <c r="V149" i="1"/>
  <c r="R6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R96" i="1"/>
  <c r="V34" i="1"/>
  <c r="U34" i="1"/>
  <c r="T34" i="1"/>
  <c r="S34" i="1"/>
  <c r="R34" i="1"/>
  <c r="V77" i="1"/>
  <c r="V50" i="1"/>
  <c r="U50" i="1"/>
  <c r="T50" i="1"/>
  <c r="S50" i="1"/>
  <c r="R50" i="1"/>
  <c r="J10" i="4"/>
  <c r="I4" i="5" s="1"/>
  <c r="I3" i="5" s="1"/>
  <c r="I10" i="4"/>
  <c r="H4" i="5" s="1"/>
  <c r="H3" i="5" s="1"/>
  <c r="H10" i="4"/>
  <c r="G4" i="5" s="1"/>
  <c r="G3" i="5" s="1"/>
  <c r="G10" i="4"/>
  <c r="F4" i="5" s="1"/>
  <c r="F3" i="5" s="1"/>
  <c r="F10" i="4"/>
  <c r="E10" i="4"/>
  <c r="D4" i="5" s="1"/>
  <c r="D3" i="5" s="1"/>
  <c r="D10" i="4"/>
  <c r="C10" i="4"/>
  <c r="B10" i="4"/>
  <c r="I4" i="6"/>
  <c r="I3" i="6" s="1"/>
  <c r="H4" i="6"/>
  <c r="H3" i="6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V254" i="1"/>
  <c r="U254" i="1"/>
  <c r="S254" i="1"/>
  <c r="O254" i="1"/>
  <c r="K254" i="1"/>
  <c r="H254" i="1"/>
  <c r="D254" i="1"/>
  <c r="E242" i="1" s="1"/>
  <c r="V253" i="1"/>
  <c r="U253" i="1"/>
  <c r="T253" i="1"/>
  <c r="S253" i="1"/>
  <c r="R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V246" i="1"/>
  <c r="U246" i="1"/>
  <c r="T246" i="1"/>
  <c r="S246" i="1"/>
  <c r="R246" i="1"/>
  <c r="V245" i="1"/>
  <c r="U245" i="1"/>
  <c r="T245" i="1"/>
  <c r="S245" i="1"/>
  <c r="R245" i="1"/>
  <c r="V244" i="1"/>
  <c r="U244" i="1"/>
  <c r="T244" i="1"/>
  <c r="S244" i="1"/>
  <c r="R244" i="1"/>
  <c r="V243" i="1"/>
  <c r="U243" i="1"/>
  <c r="T243" i="1"/>
  <c r="S243" i="1"/>
  <c r="R243" i="1"/>
  <c r="V242" i="1"/>
  <c r="U242" i="1"/>
  <c r="T242" i="1"/>
  <c r="S242" i="1"/>
  <c r="R242" i="1"/>
  <c r="O239" i="1"/>
  <c r="K239" i="1"/>
  <c r="L237" i="1" s="1"/>
  <c r="H239" i="1"/>
  <c r="D239" i="1"/>
  <c r="E237" i="1" s="1"/>
  <c r="U238" i="1"/>
  <c r="T238" i="1"/>
  <c r="S238" i="1"/>
  <c r="V237" i="1"/>
  <c r="U237" i="1"/>
  <c r="T237" i="1"/>
  <c r="S237" i="1"/>
  <c r="R237" i="1"/>
  <c r="V233" i="1"/>
  <c r="U233" i="1"/>
  <c r="T233" i="1"/>
  <c r="S233" i="1"/>
  <c r="R233" i="1"/>
  <c r="V225" i="1"/>
  <c r="U225" i="1"/>
  <c r="S225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7" i="1"/>
  <c r="U207" i="1"/>
  <c r="T207" i="1"/>
  <c r="S207" i="1"/>
  <c r="R207" i="1"/>
  <c r="V204" i="1"/>
  <c r="U204" i="1"/>
  <c r="T204" i="1"/>
  <c r="S204" i="1"/>
  <c r="R204" i="1"/>
  <c r="V203" i="1"/>
  <c r="U203" i="1"/>
  <c r="T203" i="1"/>
  <c r="S203" i="1"/>
  <c r="R203" i="1"/>
  <c r="V199" i="1"/>
  <c r="U199" i="1"/>
  <c r="S199" i="1"/>
  <c r="O199" i="1"/>
  <c r="H199" i="1"/>
  <c r="V198" i="1"/>
  <c r="U198" i="1"/>
  <c r="T198" i="1"/>
  <c r="S198" i="1"/>
  <c r="R198" i="1"/>
  <c r="V197" i="1"/>
  <c r="U197" i="1"/>
  <c r="T197" i="1"/>
  <c r="S197" i="1"/>
  <c r="R197" i="1"/>
  <c r="V194" i="1"/>
  <c r="U194" i="1"/>
  <c r="S194" i="1"/>
  <c r="O194" i="1"/>
  <c r="K194" i="1"/>
  <c r="L178" i="1" s="1"/>
  <c r="H194" i="1"/>
  <c r="D194" i="1"/>
  <c r="E171" i="1" s="1"/>
  <c r="V163" i="1"/>
  <c r="U163" i="1"/>
  <c r="S163" i="1"/>
  <c r="O163" i="1"/>
  <c r="H163" i="1"/>
  <c r="D163" i="1"/>
  <c r="E157" i="1" s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7" i="1"/>
  <c r="U157" i="1"/>
  <c r="T157" i="1"/>
  <c r="S157" i="1"/>
  <c r="R157" i="1"/>
  <c r="V154" i="1"/>
  <c r="U154" i="1"/>
  <c r="S154" i="1"/>
  <c r="O154" i="1"/>
  <c r="H154" i="1"/>
  <c r="V153" i="1"/>
  <c r="U153" i="1"/>
  <c r="T153" i="1"/>
  <c r="V151" i="1"/>
  <c r="U151" i="1"/>
  <c r="T151" i="1"/>
  <c r="S151" i="1"/>
  <c r="R151" i="1"/>
  <c r="V150" i="1"/>
  <c r="U150" i="1"/>
  <c r="T150" i="1"/>
  <c r="S150" i="1"/>
  <c r="V148" i="1"/>
  <c r="U148" i="1"/>
  <c r="T148" i="1"/>
  <c r="S148" i="1"/>
  <c r="R148" i="1"/>
  <c r="T146" i="1"/>
  <c r="S146" i="1"/>
  <c r="V145" i="1"/>
  <c r="U145" i="1"/>
  <c r="T145" i="1"/>
  <c r="R145" i="1"/>
  <c r="S145" i="1"/>
  <c r="V144" i="1"/>
  <c r="U144" i="1"/>
  <c r="T144" i="1"/>
  <c r="V143" i="1"/>
  <c r="U143" i="1"/>
  <c r="T143" i="1"/>
  <c r="S143" i="1"/>
  <c r="R143" i="1"/>
  <c r="V142" i="1"/>
  <c r="U142" i="1"/>
  <c r="T142" i="1"/>
  <c r="R142" i="1"/>
  <c r="V140" i="1"/>
  <c r="U140" i="1"/>
  <c r="S140" i="1"/>
  <c r="R140" i="1"/>
  <c r="V138" i="1"/>
  <c r="U138" i="1"/>
  <c r="T138" i="1"/>
  <c r="S138" i="1"/>
  <c r="R138" i="1"/>
  <c r="V136" i="1"/>
  <c r="U136" i="1"/>
  <c r="T136" i="1"/>
  <c r="V135" i="1"/>
  <c r="U135" i="1"/>
  <c r="T135" i="1"/>
  <c r="V132" i="1"/>
  <c r="U132" i="1"/>
  <c r="T132" i="1"/>
  <c r="S132" i="1"/>
  <c r="V131" i="1"/>
  <c r="U131" i="1"/>
  <c r="T131" i="1"/>
  <c r="S131" i="1"/>
  <c r="R131" i="1"/>
  <c r="V130" i="1"/>
  <c r="U130" i="1"/>
  <c r="T130" i="1"/>
  <c r="S130" i="1"/>
  <c r="V129" i="1"/>
  <c r="U129" i="1"/>
  <c r="T129" i="1"/>
  <c r="S129" i="1"/>
  <c r="V128" i="1"/>
  <c r="U128" i="1"/>
  <c r="T128" i="1"/>
  <c r="S128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V122" i="1"/>
  <c r="U122" i="1"/>
  <c r="T122" i="1"/>
  <c r="V121" i="1"/>
  <c r="U121" i="1"/>
  <c r="T121" i="1"/>
  <c r="S121" i="1"/>
  <c r="V120" i="1"/>
  <c r="U120" i="1"/>
  <c r="T120" i="1"/>
  <c r="S120" i="1"/>
  <c r="V118" i="1"/>
  <c r="U118" i="1"/>
  <c r="T118" i="1"/>
  <c r="S118" i="1"/>
  <c r="V117" i="1"/>
  <c r="U117" i="1"/>
  <c r="T117" i="1"/>
  <c r="V116" i="1"/>
  <c r="U116" i="1"/>
  <c r="T116" i="1"/>
  <c r="R116" i="1"/>
  <c r="V112" i="1"/>
  <c r="U112" i="1"/>
  <c r="S112" i="1"/>
  <c r="K112" i="1"/>
  <c r="L139" i="1" s="1"/>
  <c r="H112" i="1"/>
  <c r="D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3" i="1"/>
  <c r="U83" i="1"/>
  <c r="T83" i="1"/>
  <c r="S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U78" i="1"/>
  <c r="V78" i="1" s="1"/>
  <c r="T78" i="1"/>
  <c r="S78" i="1"/>
  <c r="R78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0" i="1"/>
  <c r="U70" i="1"/>
  <c r="S70" i="1"/>
  <c r="O70" i="1"/>
  <c r="K70" i="1"/>
  <c r="H70" i="1"/>
  <c r="D70" i="1"/>
  <c r="B14" i="2" s="1"/>
  <c r="B4" i="2" s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V52" i="1"/>
  <c r="U52" i="1"/>
  <c r="T52" i="1"/>
  <c r="S52" i="1"/>
  <c r="R52" i="1"/>
  <c r="V51" i="1"/>
  <c r="U51" i="1"/>
  <c r="T51" i="1"/>
  <c r="S51" i="1"/>
  <c r="R51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T28" i="1"/>
  <c r="S28" i="1"/>
  <c r="R28" i="1"/>
  <c r="V25" i="1"/>
  <c r="U25" i="1"/>
  <c r="S25" i="1"/>
  <c r="O25" i="1"/>
  <c r="K25" i="1"/>
  <c r="L22" i="1" s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D154" i="1"/>
  <c r="E137" i="1" s="1"/>
  <c r="R118" i="1"/>
  <c r="R121" i="1"/>
  <c r="R132" i="1"/>
  <c r="R136" i="1"/>
  <c r="R146" i="1"/>
  <c r="R150" i="1"/>
  <c r="L92" i="1" l="1"/>
  <c r="L108" i="1"/>
  <c r="L103" i="1"/>
  <c r="L80" i="1"/>
  <c r="L65" i="1"/>
  <c r="L52" i="1"/>
  <c r="L251" i="1"/>
  <c r="L248" i="1"/>
  <c r="L107" i="1"/>
  <c r="L105" i="1"/>
  <c r="L76" i="1"/>
  <c r="L96" i="1"/>
  <c r="L180" i="1"/>
  <c r="L173" i="1"/>
  <c r="L32" i="1"/>
  <c r="L36" i="1"/>
  <c r="L212" i="1"/>
  <c r="L222" i="1"/>
  <c r="L69" i="1"/>
  <c r="L38" i="1"/>
  <c r="L188" i="1"/>
  <c r="L169" i="1"/>
  <c r="L29" i="1"/>
  <c r="L79" i="1"/>
  <c r="L160" i="1"/>
  <c r="L158" i="1"/>
  <c r="E12" i="4"/>
  <c r="L19" i="1"/>
  <c r="L9" i="1"/>
  <c r="E98" i="1"/>
  <c r="E79" i="1"/>
  <c r="E141" i="1"/>
  <c r="E135" i="1"/>
  <c r="L89" i="1"/>
  <c r="L183" i="1"/>
  <c r="L41" i="1"/>
  <c r="L40" i="1"/>
  <c r="E143" i="1"/>
  <c r="E151" i="1"/>
  <c r="E152" i="1"/>
  <c r="E153" i="1"/>
  <c r="L209" i="1"/>
  <c r="T199" i="1"/>
  <c r="L106" i="1"/>
  <c r="D12" i="4"/>
  <c r="L207" i="1"/>
  <c r="F12" i="4"/>
  <c r="E90" i="1"/>
  <c r="E238" i="1"/>
  <c r="E100" i="1"/>
  <c r="E102" i="1"/>
  <c r="G12" i="4"/>
  <c r="E161" i="1"/>
  <c r="E4" i="5"/>
  <c r="E3" i="5" s="1"/>
  <c r="E93" i="1"/>
  <c r="E106" i="1"/>
  <c r="E80" i="1"/>
  <c r="L174" i="1"/>
  <c r="L192" i="1"/>
  <c r="L193" i="1"/>
  <c r="E105" i="1"/>
  <c r="E92" i="1"/>
  <c r="I12" i="4"/>
  <c r="H12" i="4"/>
  <c r="E46" i="1"/>
  <c r="E197" i="1"/>
  <c r="E198" i="1"/>
  <c r="E110" i="1"/>
  <c r="E13" i="1"/>
  <c r="E17" i="1"/>
  <c r="E15" i="1"/>
  <c r="E34" i="1"/>
  <c r="E14" i="1"/>
  <c r="C4" i="5"/>
  <c r="C3" i="5" s="1"/>
  <c r="C12" i="4"/>
  <c r="B4" i="5"/>
  <c r="B3" i="5" s="1"/>
  <c r="T163" i="1"/>
  <c r="E91" i="1"/>
  <c r="E108" i="1"/>
  <c r="E87" i="1"/>
  <c r="E81" i="1"/>
  <c r="E95" i="1"/>
  <c r="E252" i="1"/>
  <c r="E78" i="1"/>
  <c r="E75" i="1"/>
  <c r="E185" i="1"/>
  <c r="E111" i="1"/>
  <c r="E73" i="1"/>
  <c r="E189" i="1"/>
  <c r="E86" i="1"/>
  <c r="E83" i="1"/>
  <c r="T112" i="1"/>
  <c r="E82" i="1"/>
  <c r="E76" i="1"/>
  <c r="E144" i="1"/>
  <c r="E109" i="1"/>
  <c r="E99" i="1"/>
  <c r="B15" i="2"/>
  <c r="B5" i="2" s="1"/>
  <c r="E88" i="1"/>
  <c r="B16" i="2"/>
  <c r="B6" i="2" s="1"/>
  <c r="E84" i="1"/>
  <c r="E107" i="1"/>
  <c r="E104" i="1"/>
  <c r="E103" i="1"/>
  <c r="E16" i="1"/>
  <c r="E9" i="1"/>
  <c r="E20" i="1"/>
  <c r="E247" i="1"/>
  <c r="E18" i="1"/>
  <c r="B13" i="2"/>
  <c r="B3" i="2" s="1"/>
  <c r="E6" i="1"/>
  <c r="E10" i="1"/>
  <c r="E24" i="1"/>
  <c r="E11" i="1"/>
  <c r="E208" i="1"/>
  <c r="E232" i="1"/>
  <c r="E12" i="1"/>
  <c r="E21" i="1"/>
  <c r="E7" i="1"/>
  <c r="E22" i="1"/>
  <c r="E8" i="1"/>
  <c r="E128" i="1"/>
  <c r="E19" i="1"/>
  <c r="L238" i="1"/>
  <c r="R239" i="1"/>
  <c r="L231" i="1"/>
  <c r="L230" i="1"/>
  <c r="R234" i="1"/>
  <c r="E209" i="1"/>
  <c r="B20" i="2"/>
  <c r="B10" i="2" s="1"/>
  <c r="E207" i="1"/>
  <c r="E214" i="1"/>
  <c r="E212" i="1"/>
  <c r="E230" i="1"/>
  <c r="E229" i="1"/>
  <c r="E217" i="1"/>
  <c r="E224" i="1"/>
  <c r="E215" i="1"/>
  <c r="E222" i="1"/>
  <c r="E184" i="1"/>
  <c r="E192" i="1"/>
  <c r="E173" i="1"/>
  <c r="E167" i="1"/>
  <c r="E179" i="1"/>
  <c r="E188" i="1"/>
  <c r="E49" i="1"/>
  <c r="E170" i="1"/>
  <c r="E190" i="1"/>
  <c r="E181" i="1"/>
  <c r="E172" i="1"/>
  <c r="E193" i="1"/>
  <c r="E183" i="1"/>
  <c r="E168" i="1"/>
  <c r="E180" i="1"/>
  <c r="E174" i="1"/>
  <c r="E186" i="1"/>
  <c r="E175" i="1"/>
  <c r="E187" i="1"/>
  <c r="E166" i="1"/>
  <c r="E191" i="1"/>
  <c r="E178" i="1"/>
  <c r="E169" i="1"/>
  <c r="E182" i="1"/>
  <c r="E176" i="1"/>
  <c r="B18" i="2"/>
  <c r="B8" i="2" s="1"/>
  <c r="E177" i="1"/>
  <c r="E160" i="1"/>
  <c r="E162" i="1"/>
  <c r="E147" i="1"/>
  <c r="E118" i="1"/>
  <c r="E149" i="1"/>
  <c r="E127" i="1"/>
  <c r="E119" i="1"/>
  <c r="E145" i="1"/>
  <c r="E120" i="1"/>
  <c r="E139" i="1"/>
  <c r="L229" i="1"/>
  <c r="L162" i="1"/>
  <c r="L157" i="1"/>
  <c r="B6" i="3"/>
  <c r="L233" i="1"/>
  <c r="T225" i="1"/>
  <c r="L159" i="1"/>
  <c r="L161" i="1"/>
  <c r="C17" i="2"/>
  <c r="C7" i="2" s="1"/>
  <c r="E251" i="1"/>
  <c r="E249" i="1"/>
  <c r="L243" i="1"/>
  <c r="R199" i="1"/>
  <c r="L198" i="1"/>
  <c r="B2" i="3"/>
  <c r="C19" i="2"/>
  <c r="C9" i="2" s="1"/>
  <c r="L214" i="1"/>
  <c r="L215" i="1"/>
  <c r="L217" i="1"/>
  <c r="C20" i="2"/>
  <c r="C10" i="2" s="1"/>
  <c r="L203" i="1"/>
  <c r="L219" i="1"/>
  <c r="L213" i="1"/>
  <c r="L210" i="1"/>
  <c r="B4" i="3"/>
  <c r="L208" i="1"/>
  <c r="L218" i="1"/>
  <c r="L216" i="1"/>
  <c r="T25" i="1"/>
  <c r="L23" i="1"/>
  <c r="L11" i="1"/>
  <c r="B3" i="3"/>
  <c r="L20" i="1"/>
  <c r="L17" i="1"/>
  <c r="L16" i="1"/>
  <c r="L18" i="1"/>
  <c r="L7" i="1"/>
  <c r="L13" i="1"/>
  <c r="L14" i="1"/>
  <c r="L12" i="1"/>
  <c r="L10" i="1"/>
  <c r="L34" i="1"/>
  <c r="L8" i="1"/>
  <c r="L6" i="1"/>
  <c r="L24" i="1"/>
  <c r="C13" i="2"/>
  <c r="C3" i="2" s="1"/>
  <c r="L21" i="1"/>
  <c r="R25" i="1"/>
  <c r="L15" i="1"/>
  <c r="L252" i="1"/>
  <c r="L247" i="1"/>
  <c r="L249" i="1"/>
  <c r="L245" i="1"/>
  <c r="L211" i="1"/>
  <c r="L223" i="1"/>
  <c r="L224" i="1"/>
  <c r="E30" i="1"/>
  <c r="T254" i="1"/>
  <c r="L250" i="1"/>
  <c r="L253" i="1"/>
  <c r="L246" i="1"/>
  <c r="L244" i="1"/>
  <c r="L242" i="1"/>
  <c r="K154" i="1"/>
  <c r="R120" i="1"/>
  <c r="R123" i="1"/>
  <c r="T70" i="1"/>
  <c r="E56" i="1"/>
  <c r="L33" i="1"/>
  <c r="L44" i="1"/>
  <c r="E69" i="1"/>
  <c r="L64" i="1"/>
  <c r="L63" i="1"/>
  <c r="L68" i="1"/>
  <c r="E64" i="1"/>
  <c r="L48" i="1"/>
  <c r="E47" i="1"/>
  <c r="L31" i="1"/>
  <c r="E35" i="1"/>
  <c r="E62" i="1"/>
  <c r="E44" i="1"/>
  <c r="E48" i="1"/>
  <c r="E31" i="1"/>
  <c r="E67" i="1"/>
  <c r="E97" i="1"/>
  <c r="L61" i="1"/>
  <c r="L43" i="1"/>
  <c r="E28" i="1"/>
  <c r="L47" i="1"/>
  <c r="L30" i="1"/>
  <c r="E65" i="1"/>
  <c r="L45" i="1"/>
  <c r="E60" i="1"/>
  <c r="E42" i="1"/>
  <c r="E45" i="1"/>
  <c r="E29" i="1"/>
  <c r="E63" i="1"/>
  <c r="E59" i="1"/>
  <c r="L58" i="1"/>
  <c r="E43" i="1"/>
  <c r="L28" i="1"/>
  <c r="E61" i="1"/>
  <c r="B9" i="3"/>
  <c r="E57" i="1"/>
  <c r="E39" i="1"/>
  <c r="L42" i="1"/>
  <c r="E58" i="1"/>
  <c r="L97" i="1"/>
  <c r="L56" i="1"/>
  <c r="E41" i="1"/>
  <c r="L50" i="1"/>
  <c r="L53" i="1"/>
  <c r="E68" i="1"/>
  <c r="E55" i="1"/>
  <c r="E38" i="1"/>
  <c r="L39" i="1"/>
  <c r="L55" i="1"/>
  <c r="E50" i="1"/>
  <c r="L46" i="1"/>
  <c r="E53" i="1"/>
  <c r="C14" i="2"/>
  <c r="C4" i="2" s="1"/>
  <c r="L67" i="1"/>
  <c r="L54" i="1"/>
  <c r="L37" i="1"/>
  <c r="L66" i="1"/>
  <c r="L35" i="1"/>
  <c r="L59" i="1"/>
  <c r="E66" i="1"/>
  <c r="E52" i="1"/>
  <c r="E36" i="1"/>
  <c r="E51" i="1"/>
  <c r="L57" i="1"/>
  <c r="E32" i="1"/>
  <c r="L51" i="1"/>
  <c r="E33" i="1"/>
  <c r="E37" i="1"/>
  <c r="E54" i="1"/>
  <c r="L60" i="1"/>
  <c r="L62" i="1"/>
  <c r="R70" i="1"/>
  <c r="E245" i="1"/>
  <c r="E243" i="1"/>
  <c r="E246" i="1"/>
  <c r="E248" i="1"/>
  <c r="E250" i="1"/>
  <c r="E253" i="1"/>
  <c r="E244" i="1"/>
  <c r="R254" i="1"/>
  <c r="E223" i="1"/>
  <c r="E210" i="1"/>
  <c r="E203" i="1"/>
  <c r="E204" i="1"/>
  <c r="E219" i="1"/>
  <c r="E213" i="1"/>
  <c r="E231" i="1"/>
  <c r="E233" i="1"/>
  <c r="E218" i="1"/>
  <c r="R225" i="1"/>
  <c r="E216" i="1"/>
  <c r="T194" i="1"/>
  <c r="H226" i="1"/>
  <c r="H255" i="1" s="1"/>
  <c r="B17" i="2"/>
  <c r="B7" i="2" s="1"/>
  <c r="E159" i="1"/>
  <c r="R163" i="1"/>
  <c r="T154" i="1"/>
  <c r="E124" i="1"/>
  <c r="E138" i="1"/>
  <c r="E125" i="1"/>
  <c r="E150" i="1"/>
  <c r="E130" i="1"/>
  <c r="E129" i="1"/>
  <c r="E142" i="1"/>
  <c r="E146" i="1"/>
  <c r="E132" i="1"/>
  <c r="E148" i="1"/>
  <c r="E136" i="1"/>
  <c r="E126" i="1"/>
  <c r="E121" i="1"/>
  <c r="E116" i="1"/>
  <c r="E140" i="1"/>
  <c r="E131" i="1"/>
  <c r="E117" i="1"/>
  <c r="E123" i="1"/>
  <c r="E85" i="1"/>
  <c r="E101" i="1"/>
  <c r="E96" i="1"/>
  <c r="E74" i="1"/>
  <c r="E89" i="1"/>
  <c r="E94" i="1"/>
  <c r="D226" i="1"/>
  <c r="E25" i="1" s="1"/>
  <c r="J12" i="4"/>
  <c r="O226" i="1"/>
  <c r="O255" i="1" s="1"/>
  <c r="L175" i="1"/>
  <c r="L186" i="1"/>
  <c r="R194" i="1"/>
  <c r="B5" i="3"/>
  <c r="L166" i="1"/>
  <c r="L187" i="1"/>
  <c r="L49" i="1"/>
  <c r="L177" i="1"/>
  <c r="L190" i="1"/>
  <c r="L176" i="1"/>
  <c r="L170" i="1"/>
  <c r="L185" i="1"/>
  <c r="L182" i="1"/>
  <c r="C18" i="2"/>
  <c r="C8" i="2" s="1"/>
  <c r="L181" i="1"/>
  <c r="L189" i="1"/>
  <c r="L171" i="1"/>
  <c r="L167" i="1"/>
  <c r="L168" i="1"/>
  <c r="L179" i="1"/>
  <c r="L191" i="1"/>
  <c r="L184" i="1"/>
  <c r="L172" i="1"/>
  <c r="L73" i="1"/>
  <c r="L100" i="1"/>
  <c r="L98" i="1"/>
  <c r="L101" i="1"/>
  <c r="L94" i="1"/>
  <c r="L74" i="1"/>
  <c r="L84" i="1"/>
  <c r="L85" i="1"/>
  <c r="E77" i="1"/>
  <c r="L90" i="1"/>
  <c r="R112" i="1"/>
  <c r="L93" i="1"/>
  <c r="L88" i="1"/>
  <c r="L82" i="1"/>
  <c r="L86" i="1"/>
  <c r="C15" i="2"/>
  <c r="C5" i="2" s="1"/>
  <c r="L91" i="1"/>
  <c r="L99" i="1"/>
  <c r="L83" i="1"/>
  <c r="B7" i="3"/>
  <c r="L81" i="1"/>
  <c r="L109" i="1"/>
  <c r="L78" i="1"/>
  <c r="L104" i="1"/>
  <c r="L77" i="1"/>
  <c r="L95" i="1"/>
  <c r="L111" i="1"/>
  <c r="L102" i="1"/>
  <c r="L75" i="1"/>
  <c r="L87" i="1"/>
  <c r="L110" i="1"/>
  <c r="L148" i="1" l="1"/>
  <c r="L138" i="1"/>
  <c r="L141" i="1"/>
  <c r="L137" i="1"/>
  <c r="L136" i="1"/>
  <c r="L151" i="1"/>
  <c r="L120" i="1"/>
  <c r="L146" i="1"/>
  <c r="B8" i="3"/>
  <c r="L140" i="1"/>
  <c r="L130" i="1"/>
  <c r="L150" i="1"/>
  <c r="L147" i="1"/>
  <c r="L125" i="1"/>
  <c r="L144" i="1"/>
  <c r="L131" i="1"/>
  <c r="L126" i="1"/>
  <c r="R154" i="1"/>
  <c r="L123" i="1"/>
  <c r="L122" i="1"/>
  <c r="C16" i="2"/>
  <c r="C6" i="2" s="1"/>
  <c r="L149" i="1"/>
  <c r="K226" i="1"/>
  <c r="L154" i="1" s="1"/>
  <c r="L119" i="1"/>
  <c r="L118" i="1"/>
  <c r="L132" i="1"/>
  <c r="L152" i="1"/>
  <c r="L121" i="1"/>
  <c r="L116" i="1"/>
  <c r="L145" i="1"/>
  <c r="L143" i="1"/>
  <c r="L124" i="1"/>
  <c r="L142" i="1"/>
  <c r="L127" i="1"/>
  <c r="L128" i="1"/>
  <c r="L135" i="1"/>
  <c r="L117" i="1"/>
  <c r="L129" i="1"/>
  <c r="L153" i="1"/>
  <c r="E225" i="1"/>
  <c r="D255" i="1"/>
  <c r="E163" i="1"/>
  <c r="E199" i="1"/>
  <c r="E112" i="1"/>
  <c r="E194" i="1"/>
  <c r="E154" i="1"/>
  <c r="E70" i="1"/>
  <c r="L25" i="1" l="1"/>
  <c r="L70" i="1"/>
  <c r="L163" i="1"/>
  <c r="R226" i="1"/>
  <c r="L199" i="1"/>
  <c r="L194" i="1"/>
  <c r="K255" i="1"/>
  <c r="L225" i="1"/>
  <c r="L112" i="1"/>
</calcChain>
</file>

<file path=xl/sharedStrings.xml><?xml version="1.0" encoding="utf-8"?>
<sst xmlns="http://schemas.openxmlformats.org/spreadsheetml/2006/main" count="521" uniqueCount="329">
  <si>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</si>
  <si>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</si>
  <si>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</si>
  <si>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</si>
  <si>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</si>
  <si>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</si>
  <si>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</si>
  <si>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</si>
  <si>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</si>
  <si>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</si>
  <si>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</si>
  <si>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</si>
  <si>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</si>
  <si>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</si>
  <si>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</si>
  <si>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</si>
  <si>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</si>
  <si>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</si>
  <si>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</si>
  <si>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</si>
  <si>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</si>
  <si>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</si>
  <si>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</si>
  <si>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</si>
  <si>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</si>
  <si>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</si>
  <si>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</si>
  <si>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</si>
  <si>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</si>
  <si>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</si>
  <si>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</si>
  <si>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</si>
  <si>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</si>
  <si>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</si>
  <si>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</si>
  <si>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</si>
  <si>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</si>
  <si>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</si>
  <si>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</si>
  <si>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</si>
  <si>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</si>
  <si>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</si>
  <si>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</si>
  <si>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</si>
  <si>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</si>
  <si>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</si>
  <si>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</si>
  <si>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</si>
  <si>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</si>
  <si>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</si>
  <si>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</si>
  <si>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</si>
  <si>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</si>
  <si>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</si>
  <si>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</si>
  <si>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</si>
  <si>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</si>
  <si>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</si>
  <si>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</si>
  <si>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</si>
  <si>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</si>
  <si>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</si>
  <si>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</si>
  <si>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</si>
  <si>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</si>
  <si>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</si>
  <si>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</si>
  <si>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</si>
  <si>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</si>
  <si>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</si>
  <si>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</si>
  <si>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</si>
  <si>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</si>
  <si>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</si>
  <si>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</si>
  <si>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</si>
  <si>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</si>
  <si>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</si>
  <si>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</si>
  <si>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</si>
  <si>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</si>
  <si>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</si>
  <si>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</si>
  <si>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</si>
  <si>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</si>
  <si>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</si>
  <si>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</si>
  <si>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</si>
  <si>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</si>
  <si>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</si>
  <si>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</si>
  <si>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</si>
  <si>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</si>
  <si>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</si>
  <si>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</si>
  <si>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</si>
  <si>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</si>
  <si>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</si>
  <si>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</si>
  <si>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</si>
  <si>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</si>
  <si>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</si>
  <si>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</si>
  <si>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</si>
  <si>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</si>
  <si>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</si>
  <si>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</si>
  <si>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</si>
  <si>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</si>
  <si>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</si>
  <si>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</si>
  <si>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</si>
  <si>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</si>
  <si>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</si>
  <si>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</si>
  <si>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</si>
  <si>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</si>
  <si>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</si>
  <si>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</si>
  <si>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</si>
  <si>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</si>
  <si>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</si>
  <si>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</si>
  <si>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</si>
  <si>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</si>
  <si>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</si>
  <si>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</si>
  <si>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</si>
  <si>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</si>
  <si>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</si>
  <si>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</si>
  <si>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</si>
  <si>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</si>
  <si>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</si>
  <si>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</si>
  <si>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</si>
  <si>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</si>
  <si>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</si>
  <si>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</si>
  <si>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</si>
  <si>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</si>
  <si>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</si>
  <si>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</si>
  <si>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</si>
  <si>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</si>
  <si>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</si>
  <si>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</si>
  <si>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</si>
  <si>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</si>
  <si>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</si>
  <si>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</si>
  <si>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</si>
  <si>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</si>
  <si>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</si>
  <si>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</si>
  <si>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</si>
  <si>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</si>
  <si>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</si>
  <si>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</si>
  <si>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</si>
  <si>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</si>
  <si>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</si>
  <si>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</si>
  <si>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</si>
  <si>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</si>
  <si>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</si>
  <si>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</si>
  <si>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</si>
  <si>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</si>
  <si>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</si>
  <si>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</si>
  <si>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</si>
  <si>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</si>
  <si>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</si>
  <si>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</si>
  <si>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</si>
  <si>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</si>
  <si>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</si>
  <si>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</si>
  <si>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</si>
  <si>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</si>
  <si>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</si>
  <si>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</si>
  <si>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</si>
  <si>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</si>
  <si>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</si>
  <si>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</si>
  <si>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</si>
  <si>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</si>
  <si>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</si>
  <si>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</si>
  <si>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</si>
  <si>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</si>
  <si>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</si>
  <si>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</si>
  <si>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</si>
  <si>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</si>
  <si>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</si>
  <si>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</si>
  <si>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</si>
  <si>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</si>
  <si>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</si>
  <si>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</si>
  <si>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</si>
  <si>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</si>
  <si>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</si>
  <si>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</si>
  <si>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</si>
  <si>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</si>
  <si>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</si>
  <si>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</si>
  <si>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</si>
  <si>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</si>
  <si>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</si>
  <si>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</si>
  <si>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</si>
  <si>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</si>
  <si>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</si>
  <si>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</si>
  <si>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</si>
  <si>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</si>
  <si>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</si>
  <si>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</si>
  <si>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</si>
  <si>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</si>
  <si>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</si>
  <si>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</si>
  <si>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</si>
  <si>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</si>
  <si>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</si>
  <si>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</si>
  <si>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</si>
  <si>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</si>
  <si>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</si>
  <si>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</si>
  <si>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</si>
  <si>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</si>
  <si>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</si>
  <si>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</si>
  <si>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</si>
  <si>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</si>
  <si>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</si>
  <si>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</si>
  <si>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</si>
  <si>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</si>
  <si>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</si>
  <si>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</si>
  <si>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</si>
  <si>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</si>
  <si>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</si>
  <si>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</si>
  <si>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</si>
  <si>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</si>
  <si>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</si>
  <si>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</si>
  <si>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</si>
  <si>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</si>
  <si>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</si>
  <si>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</si>
  <si>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</si>
  <si>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</si>
  <si>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</si>
  <si>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</si>
  <si>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</si>
  <si>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</si>
  <si>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</si>
  <si>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</si>
  <si>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</si>
  <si>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</si>
  <si>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</si>
  <si>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</si>
  <si>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</si>
  <si>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</si>
  <si>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</si>
  <si>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</si>
  <si>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</si>
  <si>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</si>
  <si>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</si>
  <si>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</si>
  <si>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</si>
  <si>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</si>
  <si>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</si>
  <si>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</si>
  <si>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</si>
  <si>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</si>
  <si>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</si>
  <si>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</si>
  <si>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</si>
  <si>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</si>
  <si>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</si>
  <si>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</si>
  <si>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</si>
  <si>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</si>
  <si>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</si>
  <si>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</si>
  <si>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</si>
  <si>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FSL Money Market Fund</t>
  </si>
  <si>
    <t>FSL Asset Management Limited</t>
  </si>
  <si>
    <t>FSL Eurobond Fund</t>
  </si>
  <si>
    <t>AVA GAM Money Market Fund</t>
  </si>
  <si>
    <t>Guaranty Trust Dollar Fund</t>
  </si>
  <si>
    <t>Parthian Capital Limited</t>
  </si>
  <si>
    <t>Parthian Money Market Fund</t>
  </si>
  <si>
    <t>Parthian Dollar Fixed Income Fund</t>
  </si>
  <si>
    <t>CardinalStone Balanced Fund</t>
  </si>
  <si>
    <t>Vetiva USD Fixed Income Fund</t>
  </si>
  <si>
    <t>Mango Asset Management Limited</t>
  </si>
  <si>
    <t>Mango Naira Money Market Fund</t>
  </si>
  <si>
    <t>FBN Blended Dollar Fund</t>
  </si>
  <si>
    <t>ValuAlliance Money Market Fund</t>
  </si>
  <si>
    <t>ARM Specialized Dollar Fund</t>
  </si>
  <si>
    <t>ARM Halal Balanced Fund</t>
  </si>
  <si>
    <t>MOFI Real Estate Investment Fund</t>
  </si>
  <si>
    <t>United Capital Children Investment Fund</t>
  </si>
  <si>
    <t>Trustbanc Fixed Income Fund</t>
  </si>
  <si>
    <t>First Asset Management Limited</t>
  </si>
  <si>
    <t>% Change (Current from Previous)</t>
  </si>
  <si>
    <t>Difference</t>
  </si>
  <si>
    <t>Greenwich Fixed Income Dollar Fund</t>
  </si>
  <si>
    <t>DLM Money Market Fund</t>
  </si>
  <si>
    <t>CFG Asset Management Limited</t>
  </si>
  <si>
    <t>CFG AM Fixed Income Dollar Fund</t>
  </si>
  <si>
    <t>CFG AM Fixed Income Naira Fund</t>
  </si>
  <si>
    <t>NAV, Unit Price and Yield as at Week Ended September 12, 2025</t>
  </si>
  <si>
    <t>Week Ended September 12, 2025</t>
  </si>
  <si>
    <t>WEEKLY VALUATION REPORT OF COLLECTIVE INVESTMENT SCHEMES AS AT WEEK ENDED FRIDAY, SEPTEMBER 19, 2025</t>
  </si>
  <si>
    <t>NAV, Unit Price and Yield as at Week Ended September 19, 2025</t>
  </si>
  <si>
    <t>NFEM RATE NG₦/US$ as at 19th September, 2025 = N1487.8962</t>
  </si>
  <si>
    <t>Week Ended September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</si>
</sst>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  <numFmt numFmtId="167" formatCode="_-* #,##0.0000_-;\-* #,##0.0000_-;_-* &quot;-&quot;??_-;_-@_-"/>
  </numFmts>
  <fonts count="5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8"/>
      <color rgb="FF424242"/>
      <name val="Arial"/>
      <family val="2"/>
    </font>
    <font>
      <sz val="8"/>
      <color theme="0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8"/>
      <color theme="0"/>
      <name val="Ebrima"/>
    </font>
    <font>
      <b/>
      <sz val="8"/>
      <color theme="4"/>
      <name val="Arial Narrow"/>
      <family val="2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8"/>
      <color theme="0"/>
      <name val="Arial Narrow"/>
      <family val="2"/>
    </font>
    <font>
      <sz val="10"/>
      <name val="Calibri"/>
      <family val="2"/>
      <scheme val="minor"/>
    </font>
    <font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3" fillId="5" borderId="0" applyNumberFormat="0" applyBorder="0" applyAlignment="0" applyProtection="0"/>
    <xf numFmtId="0" fontId="13" fillId="17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5" fillId="21" borderId="0" applyNumberFormat="0" applyBorder="0" applyAlignment="0" applyProtection="0"/>
    <xf numFmtId="0" fontId="36" fillId="0" borderId="0"/>
    <xf numFmtId="0" fontId="39" fillId="0" borderId="0"/>
    <xf numFmtId="0" fontId="37" fillId="0" borderId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164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6" fillId="0" borderId="1" xfId="0" applyFont="1" applyBorder="1" applyAlignment="1">
      <alignment horizontal="right"/>
    </xf>
    <xf numFmtId="16" fontId="7" fillId="2" borderId="1" xfId="0" applyNumberFormat="1" applyFont="1" applyFill="1" applyBorder="1"/>
    <xf numFmtId="0" fontId="7" fillId="0" borderId="1" xfId="0" applyFont="1" applyBorder="1" applyAlignment="1">
      <alignment horizontal="right"/>
    </xf>
    <xf numFmtId="4" fontId="8" fillId="2" borderId="1" xfId="0" applyNumberFormat="1" applyFont="1" applyFill="1" applyBorder="1" applyAlignment="1">
      <alignment horizontal="right"/>
    </xf>
    <xf numFmtId="4" fontId="8" fillId="2" borderId="1" xfId="0" applyNumberFormat="1" applyFont="1" applyFill="1" applyBorder="1"/>
    <xf numFmtId="4" fontId="9" fillId="2" borderId="1" xfId="0" applyNumberFormat="1" applyFont="1" applyFill="1" applyBorder="1"/>
    <xf numFmtId="164" fontId="8" fillId="2" borderId="1" xfId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right"/>
    </xf>
    <xf numFmtId="43" fontId="10" fillId="3" borderId="1" xfId="0" applyNumberFormat="1" applyFont="1" applyFill="1" applyBorder="1"/>
    <xf numFmtId="0" fontId="9" fillId="0" borderId="0" xfId="0" applyFont="1"/>
    <xf numFmtId="164" fontId="9" fillId="0" borderId="0" xfId="1" applyFont="1"/>
    <xf numFmtId="0" fontId="6" fillId="4" borderId="1" xfId="0" applyFont="1" applyFill="1" applyBorder="1" applyAlignment="1">
      <alignment horizontal="right"/>
    </xf>
    <xf numFmtId="43" fontId="6" fillId="4" borderId="1" xfId="0" applyNumberFormat="1" applyFont="1" applyFill="1" applyBorder="1"/>
    <xf numFmtId="164" fontId="6" fillId="4" borderId="1" xfId="1" applyFont="1" applyFill="1" applyBorder="1"/>
    <xf numFmtId="0" fontId="11" fillId="0" borderId="0" xfId="0" applyFont="1"/>
    <xf numFmtId="0" fontId="12" fillId="0" borderId="1" xfId="0" applyFont="1" applyBorder="1" applyAlignment="1">
      <alignment horizontal="right"/>
    </xf>
    <xf numFmtId="164" fontId="8" fillId="0" borderId="1" xfId="1" applyFont="1" applyBorder="1"/>
    <xf numFmtId="164" fontId="11" fillId="0" borderId="0" xfId="1" applyFont="1"/>
    <xf numFmtId="0" fontId="13" fillId="0" borderId="0" xfId="0" applyFont="1"/>
    <xf numFmtId="0" fontId="9" fillId="2" borderId="0" xfId="0" applyFont="1" applyFill="1" applyAlignment="1">
      <alignment wrapText="1"/>
    </xf>
    <xf numFmtId="0" fontId="15" fillId="3" borderId="1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 vertical="top" wrapText="1"/>
    </xf>
    <xf numFmtId="164" fontId="18" fillId="2" borderId="1" xfId="10" applyFont="1" applyFill="1" applyBorder="1"/>
    <xf numFmtId="10" fontId="18" fillId="8" borderId="1" xfId="2" applyNumberFormat="1" applyFont="1" applyFill="1" applyBorder="1" applyAlignment="1">
      <alignment horizontal="center"/>
    </xf>
    <xf numFmtId="4" fontId="18" fillId="2" borderId="1" xfId="0" applyNumberFormat="1" applyFont="1" applyFill="1" applyBorder="1" applyAlignment="1">
      <alignment horizontal="right"/>
    </xf>
    <xf numFmtId="164" fontId="18" fillId="10" borderId="1" xfId="1" applyFont="1" applyFill="1" applyBorder="1" applyAlignment="1">
      <alignment horizontal="center"/>
    </xf>
    <xf numFmtId="4" fontId="18" fillId="2" borderId="1" xfId="0" applyNumberFormat="1" applyFont="1" applyFill="1" applyBorder="1"/>
    <xf numFmtId="164" fontId="16" fillId="10" borderId="1" xfId="1" applyFont="1" applyFill="1" applyBorder="1" applyAlignment="1">
      <alignment horizontal="center"/>
    </xf>
    <xf numFmtId="164" fontId="18" fillId="2" borderId="1" xfId="1" applyFont="1" applyFill="1" applyBorder="1"/>
    <xf numFmtId="0" fontId="16" fillId="0" borderId="1" xfId="0" applyFont="1" applyBorder="1"/>
    <xf numFmtId="0" fontId="16" fillId="2" borderId="1" xfId="0" applyFont="1" applyFill="1" applyBorder="1"/>
    <xf numFmtId="0" fontId="15" fillId="2" borderId="1" xfId="0" applyFont="1" applyFill="1" applyBorder="1" applyAlignment="1">
      <alignment horizontal="right"/>
    </xf>
    <xf numFmtId="164" fontId="15" fillId="2" borderId="1" xfId="1" applyFont="1" applyFill="1" applyBorder="1" applyAlignment="1">
      <alignment horizontal="right" vertical="top" wrapText="1"/>
    </xf>
    <xf numFmtId="10" fontId="19" fillId="8" borderId="1" xfId="2" applyNumberFormat="1" applyFont="1" applyFill="1" applyBorder="1" applyAlignment="1">
      <alignment horizontal="center" vertical="top" wrapText="1"/>
    </xf>
    <xf numFmtId="10" fontId="18" fillId="2" borderId="1" xfId="2" applyNumberFormat="1" applyFont="1" applyFill="1" applyBorder="1" applyAlignment="1">
      <alignment horizontal="center" vertical="top" wrapText="1"/>
    </xf>
    <xf numFmtId="4" fontId="18" fillId="2" borderId="1" xfId="1" applyNumberFormat="1" applyFont="1" applyFill="1" applyBorder="1" applyAlignment="1">
      <alignment vertical="top" wrapText="1"/>
    </xf>
    <xf numFmtId="164" fontId="15" fillId="10" borderId="1" xfId="1" applyFont="1" applyFill="1" applyBorder="1" applyAlignment="1">
      <alignment horizontal="center"/>
    </xf>
    <xf numFmtId="164" fontId="18" fillId="2" borderId="1" xfId="10" applyFont="1" applyFill="1" applyBorder="1" applyAlignment="1">
      <alignment horizontal="right"/>
    </xf>
    <xf numFmtId="4" fontId="18" fillId="2" borderId="1" xfId="1" applyNumberFormat="1" applyFont="1" applyFill="1" applyBorder="1" applyAlignment="1">
      <alignment horizontal="right"/>
    </xf>
    <xf numFmtId="164" fontId="18" fillId="10" borderId="1" xfId="1" applyFont="1" applyFill="1" applyBorder="1" applyAlignment="1">
      <alignment horizontal="center" wrapText="1"/>
    </xf>
    <xf numFmtId="164" fontId="18" fillId="2" borderId="1" xfId="10" applyFont="1" applyFill="1" applyBorder="1" applyAlignment="1">
      <alignment horizontal="right" wrapText="1"/>
    </xf>
    <xf numFmtId="164" fontId="15" fillId="2" borderId="1" xfId="1" applyFont="1" applyFill="1" applyBorder="1" applyAlignment="1">
      <alignment horizontal="right"/>
    </xf>
    <xf numFmtId="164" fontId="14" fillId="3" borderId="1" xfId="1" applyFont="1" applyFill="1" applyBorder="1" applyAlignment="1">
      <alignment horizontal="center" vertical="top"/>
    </xf>
    <xf numFmtId="10" fontId="18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/>
    </xf>
    <xf numFmtId="10" fontId="18" fillId="10" borderId="1" xfId="2" applyNumberFormat="1" applyFont="1" applyFill="1" applyBorder="1" applyAlignment="1">
      <alignment horizontal="center" vertical="top" wrapText="1"/>
    </xf>
    <xf numFmtId="10" fontId="18" fillId="10" borderId="1" xfId="2" applyNumberFormat="1" applyFont="1" applyFill="1" applyBorder="1" applyAlignment="1">
      <alignment horizontal="center" wrapText="1"/>
    </xf>
    <xf numFmtId="10" fontId="18" fillId="8" borderId="1" xfId="2" applyNumberFormat="1" applyFont="1" applyFill="1" applyBorder="1" applyAlignment="1">
      <alignment horizontal="center" wrapText="1"/>
    </xf>
    <xf numFmtId="10" fontId="18" fillId="10" borderId="1" xfId="1" applyNumberFormat="1" applyFont="1" applyFill="1" applyBorder="1" applyAlignment="1">
      <alignment horizontal="center"/>
    </xf>
    <xf numFmtId="10" fontId="18" fillId="3" borderId="1" xfId="2" applyNumberFormat="1" applyFont="1" applyFill="1" applyBorder="1" applyAlignment="1">
      <alignment horizontal="center" vertical="top" wrapText="1"/>
    </xf>
    <xf numFmtId="10" fontId="16" fillId="3" borderId="1" xfId="2" applyNumberFormat="1" applyFont="1" applyFill="1" applyBorder="1" applyAlignment="1">
      <alignment horizontal="center" vertical="top" wrapText="1"/>
    </xf>
    <xf numFmtId="10" fontId="16" fillId="3" borderId="1" xfId="1" applyNumberFormat="1" applyFont="1" applyFill="1" applyBorder="1" applyAlignment="1">
      <alignment horizontal="center" vertical="top" wrapText="1"/>
    </xf>
    <xf numFmtId="10" fontId="20" fillId="11" borderId="0" xfId="0" applyNumberFormat="1" applyFont="1" applyFill="1" applyAlignment="1">
      <alignment horizontal="right" vertical="center" wrapText="1"/>
    </xf>
    <xf numFmtId="2" fontId="18" fillId="2" borderId="1" xfId="0" applyNumberFormat="1" applyFont="1" applyFill="1" applyBorder="1"/>
    <xf numFmtId="164" fontId="18" fillId="2" borderId="1" xfId="10" applyFont="1" applyFill="1" applyBorder="1" applyAlignment="1">
      <alignment wrapText="1"/>
    </xf>
    <xf numFmtId="164" fontId="18" fillId="12" borderId="1" xfId="1" applyFont="1" applyFill="1" applyBorder="1" applyAlignment="1">
      <alignment horizontal="center"/>
    </xf>
    <xf numFmtId="10" fontId="18" fillId="12" borderId="1" xfId="2" applyNumberFormat="1" applyFont="1" applyFill="1" applyBorder="1" applyAlignment="1">
      <alignment horizontal="center"/>
    </xf>
    <xf numFmtId="10" fontId="18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2" fillId="0" borderId="0" xfId="1" applyFont="1"/>
    <xf numFmtId="4" fontId="23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4" fillId="11" borderId="0" xfId="0" applyNumberFormat="1" applyFont="1" applyFill="1" applyAlignment="1">
      <alignment horizontal="right" vertical="center" wrapText="1"/>
    </xf>
    <xf numFmtId="0" fontId="15" fillId="0" borderId="1" xfId="0" applyFont="1" applyBorder="1" applyAlignment="1">
      <alignment horizontal="right"/>
    </xf>
    <xf numFmtId="4" fontId="26" fillId="0" borderId="1" xfId="0" applyNumberFormat="1" applyFont="1" applyFill="1" applyBorder="1" applyAlignment="1" applyProtection="1"/>
    <xf numFmtId="0" fontId="27" fillId="2" borderId="1" xfId="0" applyFont="1" applyFill="1" applyBorder="1"/>
    <xf numFmtId="4" fontId="18" fillId="2" borderId="1" xfId="1" applyNumberFormat="1" applyFont="1" applyFill="1" applyBorder="1" applyAlignment="1">
      <alignment horizontal="right" vertical="top" wrapText="1"/>
    </xf>
    <xf numFmtId="164" fontId="15" fillId="2" borderId="1" xfId="1" applyFont="1" applyFill="1" applyBorder="1"/>
    <xf numFmtId="43" fontId="18" fillId="2" borderId="1" xfId="0" applyNumberFormat="1" applyFont="1" applyFill="1" applyBorder="1"/>
    <xf numFmtId="4" fontId="18" fillId="2" borderId="1" xfId="10" applyNumberFormat="1" applyFont="1" applyFill="1" applyBorder="1" applyAlignment="1">
      <alignment horizontal="right"/>
    </xf>
    <xf numFmtId="4" fontId="18" fillId="2" borderId="1" xfId="0" applyNumberFormat="1" applyFont="1" applyFill="1" applyBorder="1" applyAlignment="1">
      <alignment horizontal="right" wrapText="1"/>
    </xf>
    <xf numFmtId="4" fontId="18" fillId="2" borderId="1" xfId="10" applyNumberFormat="1" applyFont="1" applyFill="1" applyBorder="1" applyAlignment="1">
      <alignment horizontal="right" wrapText="1"/>
    </xf>
    <xf numFmtId="4" fontId="18" fillId="10" borderId="1" xfId="1" applyNumberFormat="1" applyFont="1" applyFill="1" applyBorder="1" applyAlignment="1">
      <alignment horizontal="center"/>
    </xf>
    <xf numFmtId="4" fontId="18" fillId="10" borderId="1" xfId="1" applyNumberFormat="1" applyFont="1" applyFill="1" applyBorder="1" applyAlignment="1">
      <alignment horizontal="center" vertical="top" wrapText="1"/>
    </xf>
    <xf numFmtId="43" fontId="18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5" fillId="10" borderId="1" xfId="1" applyNumberFormat="1" applyFont="1" applyFill="1" applyBorder="1" applyAlignment="1">
      <alignment horizontal="right" vertical="top" wrapText="1"/>
    </xf>
    <xf numFmtId="0" fontId="18" fillId="15" borderId="1" xfId="0" applyFont="1" applyFill="1" applyBorder="1" applyAlignment="1">
      <alignment horizontal="right" vertical="center"/>
    </xf>
    <xf numFmtId="0" fontId="15" fillId="15" borderId="1" xfId="0" applyFont="1" applyFill="1" applyBorder="1" applyAlignment="1">
      <alignment horizontal="right" vertical="center"/>
    </xf>
    <xf numFmtId="164" fontId="15" fillId="15" borderId="1" xfId="1" applyFont="1" applyFill="1" applyBorder="1" applyAlignment="1">
      <alignment horizontal="right" vertical="center" wrapText="1"/>
    </xf>
    <xf numFmtId="10" fontId="18" fillId="15" borderId="1" xfId="1" applyNumberFormat="1" applyFont="1" applyFill="1" applyBorder="1" applyAlignment="1">
      <alignment horizontal="right" vertical="center" wrapText="1"/>
    </xf>
    <xf numFmtId="4" fontId="18" fillId="15" borderId="1" xfId="1" applyNumberFormat="1" applyFont="1" applyFill="1" applyBorder="1" applyAlignment="1">
      <alignment horizontal="right" vertical="center" wrapText="1"/>
    </xf>
    <xf numFmtId="164" fontId="15" fillId="15" borderId="1" xfId="1" applyFont="1" applyFill="1" applyBorder="1" applyAlignment="1">
      <alignment horizontal="right" vertical="top" wrapText="1"/>
    </xf>
    <xf numFmtId="4" fontId="18" fillId="2" borderId="1" xfId="10" applyNumberFormat="1" applyFont="1" applyFill="1" applyBorder="1" applyAlignment="1">
      <alignment horizontal="right" vertical="top" wrapText="1"/>
    </xf>
    <xf numFmtId="164" fontId="28" fillId="15" borderId="1" xfId="1" applyFont="1" applyFill="1" applyBorder="1" applyAlignment="1">
      <alignment horizontal="right" vertical="top" wrapText="1"/>
    </xf>
    <xf numFmtId="4" fontId="18" fillId="15" borderId="1" xfId="1" applyNumberFormat="1" applyFont="1" applyFill="1" applyBorder="1" applyAlignment="1">
      <alignment horizontal="right" vertical="top" wrapText="1"/>
    </xf>
    <xf numFmtId="164" fontId="18" fillId="2" borderId="1" xfId="10" applyFont="1" applyFill="1" applyBorder="1" applyAlignment="1">
      <alignment horizontal="right" vertical="top" wrapText="1"/>
    </xf>
    <xf numFmtId="10" fontId="18" fillId="8" borderId="1" xfId="2" applyNumberFormat="1" applyFont="1" applyFill="1" applyBorder="1" applyAlignment="1">
      <alignment horizontal="center" vertical="top" wrapText="1"/>
    </xf>
    <xf numFmtId="164" fontId="18" fillId="10" borderId="1" xfId="1" applyFont="1" applyFill="1" applyBorder="1" applyAlignment="1">
      <alignment horizontal="center" vertical="top" wrapText="1"/>
    </xf>
    <xf numFmtId="164" fontId="18" fillId="2" borderId="1" xfId="1" applyFont="1" applyFill="1" applyBorder="1" applyAlignment="1">
      <alignment horizontal="right" vertical="top" wrapText="1"/>
    </xf>
    <xf numFmtId="0" fontId="18" fillId="16" borderId="1" xfId="0" applyFont="1" applyFill="1" applyBorder="1" applyAlignment="1">
      <alignment horizontal="right" vertical="top" wrapText="1"/>
    </xf>
    <xf numFmtId="0" fontId="25" fillId="16" borderId="1" xfId="0" applyFont="1" applyFill="1" applyBorder="1" applyAlignment="1">
      <alignment horizontal="right" vertical="top" wrapText="1"/>
    </xf>
    <xf numFmtId="164" fontId="25" fillId="16" borderId="1" xfId="1" applyFont="1" applyFill="1" applyBorder="1" applyAlignment="1">
      <alignment horizontal="right" vertical="top" wrapText="1"/>
    </xf>
    <xf numFmtId="164" fontId="29" fillId="16" borderId="1" xfId="1" applyFont="1" applyFill="1" applyBorder="1" applyAlignment="1">
      <alignment horizontal="right" vertical="top" wrapText="1"/>
    </xf>
    <xf numFmtId="4" fontId="29" fillId="16" borderId="1" xfId="0" applyNumberFormat="1" applyFont="1" applyFill="1" applyBorder="1" applyAlignment="1">
      <alignment horizontal="right"/>
    </xf>
    <xf numFmtId="0" fontId="30" fillId="6" borderId="1" xfId="0" applyFont="1" applyFill="1" applyBorder="1" applyAlignment="1">
      <alignment horizontal="right" vertical="center"/>
    </xf>
    <xf numFmtId="0" fontId="13" fillId="6" borderId="1" xfId="0" applyFont="1" applyFill="1" applyBorder="1"/>
    <xf numFmtId="0" fontId="31" fillId="0" borderId="0" xfId="0" applyFont="1"/>
    <xf numFmtId="43" fontId="0" fillId="0" borderId="0" xfId="0" applyNumberFormat="1"/>
    <xf numFmtId="0" fontId="32" fillId="0" borderId="0" xfId="0" applyFont="1"/>
    <xf numFmtId="0" fontId="27" fillId="2" borderId="0" xfId="0" applyFont="1" applyFill="1" applyAlignment="1">
      <alignment wrapText="1"/>
    </xf>
    <xf numFmtId="43" fontId="32" fillId="0" borderId="0" xfId="11" applyFont="1" applyBorder="1"/>
    <xf numFmtId="2" fontId="32" fillId="0" borderId="0" xfId="0" applyNumberFormat="1" applyFont="1"/>
    <xf numFmtId="9" fontId="18" fillId="15" borderId="1" xfId="2" applyFont="1" applyFill="1" applyBorder="1" applyAlignment="1">
      <alignment horizontal="center" vertical="center" wrapText="1"/>
    </xf>
    <xf numFmtId="4" fontId="18" fillId="15" borderId="1" xfId="1" applyNumberFormat="1" applyFont="1" applyFill="1" applyBorder="1" applyAlignment="1">
      <alignment horizontal="center" vertical="center" wrapText="1"/>
    </xf>
    <xf numFmtId="4" fontId="18" fillId="15" borderId="1" xfId="1" applyNumberFormat="1" applyFont="1" applyFill="1" applyBorder="1" applyAlignment="1">
      <alignment horizontal="center" vertical="top" wrapText="1"/>
    </xf>
    <xf numFmtId="9" fontId="29" fillId="16" borderId="1" xfId="2" applyFont="1" applyFill="1" applyBorder="1" applyAlignment="1">
      <alignment horizontal="center"/>
    </xf>
    <xf numFmtId="4" fontId="29" fillId="16" borderId="1" xfId="0" applyNumberFormat="1" applyFont="1" applyFill="1" applyBorder="1" applyAlignment="1">
      <alignment horizontal="center"/>
    </xf>
    <xf numFmtId="10" fontId="32" fillId="0" borderId="0" xfId="2" applyNumberFormat="1" applyFont="1" applyBorder="1"/>
    <xf numFmtId="10" fontId="33" fillId="0" borderId="0" xfId="2" applyNumberFormat="1" applyFont="1" applyBorder="1"/>
    <xf numFmtId="10" fontId="16" fillId="15" borderId="1" xfId="2" applyNumberFormat="1" applyFont="1" applyFill="1" applyBorder="1" applyAlignment="1">
      <alignment horizontal="center" vertical="top" wrapText="1"/>
    </xf>
    <xf numFmtId="166" fontId="16" fillId="15" borderId="1" xfId="2" applyNumberFormat="1" applyFont="1" applyFill="1" applyBorder="1" applyAlignment="1">
      <alignment horizontal="center" vertical="top" wrapText="1"/>
    </xf>
    <xf numFmtId="10" fontId="16" fillId="15" borderId="1" xfId="1" applyNumberFormat="1" applyFont="1" applyFill="1" applyBorder="1" applyAlignment="1">
      <alignment horizontal="center" vertical="top" wrapText="1"/>
    </xf>
    <xf numFmtId="10" fontId="29" fillId="16" borderId="1" xfId="2" applyNumberFormat="1" applyFont="1" applyFill="1" applyBorder="1" applyAlignment="1">
      <alignment horizontal="center" vertical="top" wrapText="1"/>
    </xf>
    <xf numFmtId="166" fontId="29" fillId="16" borderId="1" xfId="2" applyNumberFormat="1" applyFont="1" applyFill="1" applyBorder="1" applyAlignment="1">
      <alignment horizontal="center" vertical="top" wrapText="1"/>
    </xf>
    <xf numFmtId="166" fontId="18" fillId="16" borderId="1" xfId="2" applyNumberFormat="1" applyFont="1" applyFill="1" applyBorder="1" applyAlignment="1">
      <alignment horizontal="center" vertical="top" wrapText="1"/>
    </xf>
    <xf numFmtId="43" fontId="6" fillId="4" borderId="1" xfId="0" quotePrefix="1" applyNumberFormat="1" applyFont="1" applyFill="1" applyBorder="1" applyAlignment="1">
      <alignment horizontal="center"/>
    </xf>
    <xf numFmtId="0" fontId="41" fillId="0" borderId="0" xfId="0" applyFont="1"/>
    <xf numFmtId="0" fontId="30" fillId="6" borderId="1" xfId="0" applyFont="1" applyFill="1" applyBorder="1" applyAlignment="1">
      <alignment horizontal="left" vertical="center"/>
    </xf>
    <xf numFmtId="4" fontId="22" fillId="0" borderId="0" xfId="0" applyNumberFormat="1" applyFont="1"/>
    <xf numFmtId="0" fontId="18" fillId="15" borderId="1" xfId="0" applyFont="1" applyFill="1" applyBorder="1" applyAlignment="1">
      <alignment horizontal="right"/>
    </xf>
    <xf numFmtId="0" fontId="15" fillId="15" borderId="1" xfId="0" applyFont="1" applyFill="1" applyBorder="1" applyAlignment="1">
      <alignment horizontal="right"/>
    </xf>
    <xf numFmtId="43" fontId="11" fillId="0" borderId="0" xfId="0" applyNumberFormat="1" applyFont="1"/>
    <xf numFmtId="164" fontId="18" fillId="2" borderId="1" xfId="1" applyFont="1" applyFill="1" applyBorder="1" applyAlignment="1">
      <alignment horizontal="right"/>
    </xf>
    <xf numFmtId="0" fontId="18" fillId="2" borderId="1" xfId="0" applyFont="1" applyFill="1" applyBorder="1" applyAlignment="1">
      <alignment horizontal="center" wrapText="1"/>
    </xf>
    <xf numFmtId="0" fontId="9" fillId="0" borderId="1" xfId="0" applyFont="1" applyBorder="1"/>
    <xf numFmtId="4" fontId="8" fillId="2" borderId="0" xfId="0" applyNumberFormat="1" applyFont="1" applyFill="1" applyAlignment="1">
      <alignment horizontal="right"/>
    </xf>
    <xf numFmtId="167" fontId="42" fillId="0" borderId="0" xfId="1" applyNumberFormat="1" applyFont="1"/>
    <xf numFmtId="0" fontId="12" fillId="0" borderId="0" xfId="0" applyFont="1" applyAlignment="1">
      <alignment horizontal="right"/>
    </xf>
    <xf numFmtId="164" fontId="44" fillId="2" borderId="0" xfId="1" applyFont="1" applyFill="1" applyBorder="1" applyAlignment="1">
      <alignment horizontal="right" vertical="top" wrapText="1"/>
    </xf>
    <xf numFmtId="0" fontId="43" fillId="0" borderId="0" xfId="0" applyFont="1" applyAlignment="1">
      <alignment horizontal="right"/>
    </xf>
    <xf numFmtId="4" fontId="44" fillId="2" borderId="0" xfId="0" applyNumberFormat="1" applyFont="1" applyFill="1"/>
    <xf numFmtId="0" fontId="43" fillId="0" borderId="0" xfId="0" applyFont="1" applyBorder="1" applyAlignment="1">
      <alignment horizontal="right"/>
    </xf>
    <xf numFmtId="4" fontId="44" fillId="2" borderId="0" xfId="0" applyNumberFormat="1" applyFont="1" applyFill="1" applyBorder="1"/>
    <xf numFmtId="0" fontId="13" fillId="0" borderId="0" xfId="0" applyFont="1" applyBorder="1"/>
    <xf numFmtId="0" fontId="9" fillId="7" borderId="1" xfId="0" applyFont="1" applyFill="1" applyBorder="1"/>
    <xf numFmtId="0" fontId="14" fillId="8" borderId="1" xfId="0" applyFont="1" applyFill="1" applyBorder="1"/>
    <xf numFmtId="0" fontId="46" fillId="8" borderId="1" xfId="0" applyFont="1" applyFill="1" applyBorder="1"/>
    <xf numFmtId="0" fontId="22" fillId="0" borderId="0" xfId="0" applyFont="1"/>
    <xf numFmtId="0" fontId="18" fillId="0" borderId="1" xfId="0" applyFont="1" applyBorder="1"/>
    <xf numFmtId="10" fontId="18" fillId="3" borderId="1" xfId="1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right"/>
    </xf>
    <xf numFmtId="164" fontId="8" fillId="2" borderId="0" xfId="1" applyFont="1" applyFill="1" applyBorder="1" applyAlignment="1">
      <alignment horizontal="right" vertical="top" wrapText="1"/>
    </xf>
    <xf numFmtId="4" fontId="8" fillId="2" borderId="0" xfId="0" applyNumberFormat="1" applyFont="1" applyFill="1"/>
    <xf numFmtId="0" fontId="47" fillId="0" borderId="0" xfId="0" applyFont="1"/>
    <xf numFmtId="16" fontId="48" fillId="2" borderId="0" xfId="0" applyNumberFormat="1" applyFont="1" applyFill="1"/>
    <xf numFmtId="164" fontId="49" fillId="0" borderId="0" xfId="1" applyFont="1"/>
    <xf numFmtId="43" fontId="49" fillId="0" borderId="0" xfId="0" applyNumberFormat="1" applyFont="1"/>
    <xf numFmtId="4" fontId="49" fillId="0" borderId="0" xfId="0" applyNumberFormat="1" applyFont="1"/>
    <xf numFmtId="0" fontId="50" fillId="0" borderId="0" xfId="0" applyFont="1" applyBorder="1" applyAlignment="1">
      <alignment horizontal="right"/>
    </xf>
    <xf numFmtId="16" fontId="43" fillId="2" borderId="0" xfId="0" applyNumberFormat="1" applyFont="1" applyFill="1" applyBorder="1"/>
    <xf numFmtId="4" fontId="44" fillId="2" borderId="0" xfId="0" applyNumberFormat="1" applyFont="1" applyFill="1" applyBorder="1" applyAlignment="1">
      <alignment horizontal="right"/>
    </xf>
    <xf numFmtId="164" fontId="13" fillId="0" borderId="0" xfId="1" applyFont="1" applyBorder="1"/>
    <xf numFmtId="164" fontId="42" fillId="0" borderId="0" xfId="1" applyFont="1" applyBorder="1"/>
    <xf numFmtId="4" fontId="42" fillId="2" borderId="0" xfId="0" applyNumberFormat="1" applyFont="1" applyFill="1" applyBorder="1"/>
    <xf numFmtId="0" fontId="51" fillId="0" borderId="0" xfId="0" applyFont="1" applyBorder="1" applyAlignment="1">
      <alignment horizontal="right"/>
    </xf>
    <xf numFmtId="0" fontId="18" fillId="0" borderId="1" xfId="0" applyFont="1" applyBorder="1" applyAlignment="1">
      <alignment horizontal="center" vertical="center"/>
    </xf>
    <xf numFmtId="4" fontId="18" fillId="2" borderId="1" xfId="0" applyNumberFormat="1" applyFont="1" applyFill="1" applyBorder="1" applyAlignment="1">
      <alignment wrapText="1"/>
    </xf>
    <xf numFmtId="0" fontId="18" fillId="2" borderId="1" xfId="0" applyFont="1" applyFill="1" applyBorder="1" applyAlignment="1">
      <alignment wrapText="1"/>
    </xf>
    <xf numFmtId="0" fontId="18" fillId="2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wrapText="1"/>
    </xf>
    <xf numFmtId="4" fontId="18" fillId="2" borderId="1" xfId="42" applyNumberFormat="1" applyFont="1" applyFill="1" applyBorder="1" applyAlignment="1">
      <alignment wrapText="1"/>
    </xf>
    <xf numFmtId="49" fontId="18" fillId="2" borderId="1" xfId="0" applyNumberFormat="1" applyFont="1" applyFill="1" applyBorder="1" applyAlignment="1">
      <alignment wrapText="1"/>
    </xf>
    <xf numFmtId="4" fontId="18" fillId="0" borderId="1" xfId="0" applyNumberFormat="1" applyFont="1" applyBorder="1" applyAlignment="1">
      <alignment wrapText="1"/>
    </xf>
    <xf numFmtId="0" fontId="45" fillId="6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17" fillId="9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wrapText="1"/>
    </xf>
    <xf numFmtId="0" fontId="21" fillId="13" borderId="1" xfId="0" applyFont="1" applyFill="1" applyBorder="1" applyAlignment="1">
      <alignment horizontal="center"/>
    </xf>
    <xf numFmtId="0" fontId="25" fillId="9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25" fillId="14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/>
    </xf>
    <xf numFmtId="0" fontId="29" fillId="2" borderId="0" xfId="0" applyFont="1" applyFill="1" applyAlignment="1">
      <alignment horizontal="center" wrapText="1"/>
    </xf>
    <xf numFmtId="0" fontId="11" fillId="0" borderId="0" xfId="0" applyFont="1" applyBorder="1"/>
    <xf numFmtId="0" fontId="25" fillId="0" borderId="0" xfId="0" applyFont="1" applyBorder="1" applyAlignment="1">
      <alignment horizontal="right"/>
    </xf>
    <xf numFmtId="16" fontId="25" fillId="2" borderId="0" xfId="0" applyNumberFormat="1" applyFont="1" applyFill="1" applyBorder="1" applyAlignment="1">
      <alignment horizontal="center" wrapText="1"/>
    </xf>
    <xf numFmtId="0" fontId="52" fillId="0" borderId="0" xfId="0" applyFont="1" applyBorder="1"/>
    <xf numFmtId="0" fontId="25" fillId="0" borderId="0" xfId="0" applyFont="1" applyBorder="1" applyAlignment="1">
      <alignment horizontal="right" wrapText="1"/>
    </xf>
    <xf numFmtId="4" fontId="29" fillId="2" borderId="0" xfId="0" applyNumberFormat="1" applyFont="1" applyFill="1" applyBorder="1"/>
    <xf numFmtId="4" fontId="29" fillId="2" borderId="0" xfId="0" applyNumberFormat="1" applyFont="1" applyFill="1" applyBorder="1" applyAlignment="1">
      <alignment horizontal="right"/>
    </xf>
    <xf numFmtId="164" fontId="29" fillId="2" borderId="0" xfId="1" applyFont="1" applyFill="1" applyBorder="1" applyAlignment="1">
      <alignment horizontal="right" vertical="top" wrapText="1"/>
    </xf>
    <xf numFmtId="0" fontId="15" fillId="0" borderId="0" xfId="0" applyFont="1" applyBorder="1" applyAlignment="1">
      <alignment horizontal="right" wrapText="1"/>
    </xf>
    <xf numFmtId="164" fontId="53" fillId="0" borderId="0" xfId="1" applyFont="1" applyBorder="1"/>
    <xf numFmtId="4" fontId="53" fillId="2" borderId="0" xfId="0" applyNumberFormat="1" applyFont="1" applyFill="1" applyBorder="1"/>
    <xf numFmtId="0" fontId="15" fillId="0" borderId="0" xfId="0" applyFont="1" applyBorder="1" applyAlignment="1">
      <alignment horizontal="right"/>
    </xf>
    <xf numFmtId="4" fontId="53" fillId="2" borderId="0" xfId="0" applyNumberFormat="1" applyFont="1" applyFill="1" applyBorder="1" applyAlignment="1">
      <alignment horizontal="right"/>
    </xf>
    <xf numFmtId="164" fontId="53" fillId="2" borderId="0" xfId="1" applyFont="1" applyFill="1" applyBorder="1" applyAlignment="1">
      <alignment horizontal="right" vertical="top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45"/>
    <cellStyle name="Comma 11" xfId="43"/>
    <cellStyle name="Comma 14" xfId="28"/>
    <cellStyle name="Comma 15" xfId="30"/>
    <cellStyle name="Comma 15 2" xfId="34"/>
    <cellStyle name="Comma 2" xfId="11"/>
    <cellStyle name="Comma 2 2" xfId="12"/>
    <cellStyle name="Comma 2 2 2" xfId="47"/>
    <cellStyle name="Comma 2 3" xfId="46"/>
    <cellStyle name="Comma 3" xfId="13"/>
    <cellStyle name="Comma 3 2" xfId="14"/>
    <cellStyle name="Comma 3 2 2" xfId="15"/>
    <cellStyle name="Comma 3 2 2 2" xfId="49"/>
    <cellStyle name="Comma 3 2 3" xfId="48"/>
    <cellStyle name="Comma 4" xfId="16"/>
    <cellStyle name="Comma 5" xfId="17"/>
    <cellStyle name="Comma 6" xfId="18"/>
    <cellStyle name="Comma 7" xfId="37"/>
    <cellStyle name="Comma 7 2" xfId="56"/>
    <cellStyle name="Comma 8" xfId="19"/>
    <cellStyle name="Comma 9" xfId="40"/>
    <cellStyle name="Comma 9 2" xfId="59"/>
    <cellStyle name="Neutral 2" xfId="20"/>
    <cellStyle name="Normal" xfId="0" builtinId="0"/>
    <cellStyle name="Normal 2" xfId="21"/>
    <cellStyle name="Normal 2 2" xfId="22"/>
    <cellStyle name="Normal 2 2 2" xfId="50"/>
    <cellStyle name="Normal 27 2" xfId="23"/>
    <cellStyle name="Normal 3" xfId="33"/>
    <cellStyle name="Normal 3 2" xfId="54"/>
    <cellStyle name="Normal 4" xfId="36"/>
    <cellStyle name="Normal 4 2" xfId="55"/>
    <cellStyle name="Normal 5" xfId="39"/>
    <cellStyle name="Normal 5 2" xfId="58"/>
    <cellStyle name="Normal 6" xfId="42"/>
    <cellStyle name="Normal 6 2" xfId="31"/>
    <cellStyle name="Normal 6 2 2" xfId="52"/>
    <cellStyle name="Percent" xfId="2" builtinId="5"/>
    <cellStyle name="Percent 13" xfId="29"/>
    <cellStyle name="Percent 13 2" xfId="35"/>
    <cellStyle name="Percent 2" xfId="32"/>
    <cellStyle name="Percent 2 2" xfId="24"/>
    <cellStyle name="Percent 2 2 2" xfId="51"/>
    <cellStyle name="Percent 2 3" xfId="53"/>
    <cellStyle name="Percent 3" xfId="38"/>
    <cellStyle name="Percent 3 2" xfId="57"/>
    <cellStyle name="Percent 4" xfId="41"/>
    <cellStyle name="Percent 4 2" xfId="60"/>
    <cellStyle name="Percent 5" xfId="25"/>
    <cellStyle name="Percent 6" xfId="26"/>
    <cellStyle name="Percent 7" xfId="44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September 12,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69.131472753822507</c:v>
                </c:pt>
                <c:pt idx="1">
                  <c:v>3840.9173367668377</c:v>
                </c:pt>
                <c:pt idx="2">
                  <c:v>230.56550475869139</c:v>
                </c:pt>
                <c:pt idx="3">
                  <c:v>1964.8824081374414</c:v>
                </c:pt>
                <c:pt idx="4">
                  <c:v>365.11432843996323</c:v>
                </c:pt>
                <c:pt idx="5" formatCode="_-* #,##0.00_-;\-* #,##0.00_-;_-* &quot;-&quot;??_-;_-@_-">
                  <c:v>76.14788898844705</c:v>
                </c:pt>
                <c:pt idx="6">
                  <c:v>8.1676093224600006</c:v>
                </c:pt>
                <c:pt idx="7">
                  <c:v>66.242061855439999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September 19,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67.012799943281706</c:v>
                </c:pt>
                <c:pt idx="1">
                  <c:v>3906.2854556151242</c:v>
                </c:pt>
                <c:pt idx="2">
                  <c:v>231.41626279129923</c:v>
                </c:pt>
                <c:pt idx="3">
                  <c:v>1968.4847175597044</c:v>
                </c:pt>
                <c:pt idx="4">
                  <c:v>366.11043500173014</c:v>
                </c:pt>
                <c:pt idx="5" formatCode="_-* #,##0.00_-;\-* #,##0.00_-;_-* &quot;-&quot;??_-;_-@_-">
                  <c:v>79.408928723084188</c:v>
                </c:pt>
                <c:pt idx="6">
                  <c:v>8.0778251310199991</c:v>
                </c:pt>
                <c:pt idx="7">
                  <c:v>66.990830548069994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4210160"/>
        <c:axId val="254209768"/>
      </c:barChart>
      <c:catAx>
        <c:axId val="25421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54209768"/>
        <c:crosses val="autoZero"/>
        <c:auto val="1"/>
        <c:lblAlgn val="ctr"/>
        <c:lblOffset val="100"/>
        <c:noMultiLvlLbl val="0"/>
      </c:catAx>
      <c:valAx>
        <c:axId val="254209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5421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19TH SEPTEMBER,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4175604054306885"/>
          <c:y val="1.653327529846503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19-Sep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1860977719486063"/>
                  <c:y val="-0.134291330027987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2.4747124087697164E-2"/>
                  <c:y val="0.118168034175886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8077825131.0199995</c:v>
                </c:pt>
                <c:pt idx="1">
                  <c:v>67012799943.281708</c:v>
                </c:pt>
                <c:pt idx="2" formatCode="_-* #,##0.00_-;\-* #,##0.00_-;_-* &quot;-&quot;??_-;_-@_-">
                  <c:v>66990830548.07</c:v>
                </c:pt>
                <c:pt idx="3">
                  <c:v>79408928723.084183</c:v>
                </c:pt>
                <c:pt idx="4">
                  <c:v>366110435001.73016</c:v>
                </c:pt>
                <c:pt idx="5">
                  <c:v>231416262791.29922</c:v>
                </c:pt>
                <c:pt idx="6">
                  <c:v>1968484717559.7043</c:v>
                </c:pt>
                <c:pt idx="7">
                  <c:v>3906285455615.124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45870</c:v>
                </c:pt>
                <c:pt idx="1">
                  <c:v>45877</c:v>
                </c:pt>
                <c:pt idx="2">
                  <c:v>45884</c:v>
                </c:pt>
                <c:pt idx="3">
                  <c:v>45891</c:v>
                </c:pt>
                <c:pt idx="4">
                  <c:v>45898</c:v>
                </c:pt>
                <c:pt idx="5">
                  <c:v>45904</c:v>
                </c:pt>
                <c:pt idx="6">
                  <c:v>45912</c:v>
                </c:pt>
                <c:pt idx="7">
                  <c:v>45919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6280.3086656737469</c:v>
                </c:pt>
                <c:pt idx="1">
                  <c:v>6385.4792470095699</c:v>
                </c:pt>
                <c:pt idx="2">
                  <c:v>6450.9481367566641</c:v>
                </c:pt>
                <c:pt idx="3">
                  <c:v>6503.8359094696516</c:v>
                </c:pt>
                <c:pt idx="4">
                  <c:v>6560.9507360896305</c:v>
                </c:pt>
                <c:pt idx="5">
                  <c:v>6542.8543765579298</c:v>
                </c:pt>
                <c:pt idx="6">
                  <c:v>6621.1686110231039</c:v>
                </c:pt>
                <c:pt idx="7">
                  <c:v>6693.7872553133138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54211336"/>
        <c:axId val="254209376"/>
      </c:lineChart>
      <c:dateAx>
        <c:axId val="25421133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209376"/>
        <c:crosses val="autoZero"/>
        <c:auto val="1"/>
        <c:lblOffset val="100"/>
        <c:baseTimeUnit val="days"/>
      </c:dateAx>
      <c:valAx>
        <c:axId val="254209376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211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45870</c:v>
                </c:pt>
                <c:pt idx="1">
                  <c:v>45877</c:v>
                </c:pt>
                <c:pt idx="2">
                  <c:v>45884</c:v>
                </c:pt>
                <c:pt idx="3">
                  <c:v>45891</c:v>
                </c:pt>
                <c:pt idx="4">
                  <c:v>45898</c:v>
                </c:pt>
                <c:pt idx="5">
                  <c:v>45904</c:v>
                </c:pt>
                <c:pt idx="6">
                  <c:v>45912</c:v>
                </c:pt>
                <c:pt idx="7">
                  <c:v>45919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17.113558632019</c:v>
                </c:pt>
                <c:pt idx="1">
                  <c:v>17.395938297309996</c:v>
                </c:pt>
                <c:pt idx="2">
                  <c:v>17.188495940759999</c:v>
                </c:pt>
                <c:pt idx="3">
                  <c:v>16.805945304309997</c:v>
                </c:pt>
                <c:pt idx="4">
                  <c:v>16.769372316030001</c:v>
                </c:pt>
                <c:pt idx="5">
                  <c:v>16.688373226208999</c:v>
                </c:pt>
                <c:pt idx="6">
                  <c:v>16.922657208430998</c:v>
                </c:pt>
                <c:pt idx="7">
                  <c:v>16.933585980109999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54214080"/>
        <c:axId val="253268968"/>
      </c:lineChart>
      <c:dateAx>
        <c:axId val="25421408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268968"/>
        <c:crosses val="autoZero"/>
        <c:auto val="1"/>
        <c:lblOffset val="100"/>
        <c:baseTimeUnit val="days"/>
      </c:dateAx>
      <c:valAx>
        <c:axId val="25326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214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3</xdr:row>
      <xdr:rowOff>38100</xdr:rowOff>
    </xdr:from>
    <xdr:to>
      <xdr:col>22</xdr:col>
      <xdr:colOff>434340</xdr:colOff>
      <xdr:row>26</xdr:row>
      <xdr:rowOff>165735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62"/>
  <sheetViews>
    <sheetView tabSelected="1" zoomScale="120" zoomScaleNormal="120" zoomScaleSheetLayoutView="10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4" width="10.109375" customWidth="1"/>
    <col min="15" max="15" width="9.8867187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72" t="s">
        <v>325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1:25" ht="14.4" customHeight="1">
      <c r="A2" s="140"/>
      <c r="B2" s="141"/>
      <c r="C2" s="142"/>
      <c r="D2" s="173" t="s">
        <v>323</v>
      </c>
      <c r="E2" s="173"/>
      <c r="F2" s="173"/>
      <c r="G2" s="173"/>
      <c r="H2" s="173"/>
      <c r="I2" s="173"/>
      <c r="J2" s="173"/>
      <c r="K2" s="173" t="s">
        <v>326</v>
      </c>
      <c r="L2" s="173"/>
      <c r="M2" s="173"/>
      <c r="N2" s="173"/>
      <c r="O2" s="173"/>
      <c r="P2" s="173"/>
      <c r="Q2" s="173"/>
      <c r="R2" s="173" t="s">
        <v>316</v>
      </c>
      <c r="S2" s="173"/>
      <c r="T2" s="173"/>
      <c r="U2" s="173" t="s">
        <v>317</v>
      </c>
      <c r="V2" s="173"/>
    </row>
    <row r="3" spans="1:25" ht="20.399999999999999">
      <c r="A3" s="21" t="s">
        <v>0</v>
      </c>
      <c r="B3" s="22" t="s">
        <v>1</v>
      </c>
      <c r="C3" s="23" t="s">
        <v>2</v>
      </c>
      <c r="D3" s="24" t="s">
        <v>3</v>
      </c>
      <c r="E3" s="25" t="s">
        <v>4</v>
      </c>
      <c r="F3" s="25" t="s">
        <v>282</v>
      </c>
      <c r="G3" s="25" t="s">
        <v>6</v>
      </c>
      <c r="H3" s="25" t="s">
        <v>7</v>
      </c>
      <c r="I3" s="25" t="s">
        <v>8</v>
      </c>
      <c r="J3" s="25" t="s">
        <v>9</v>
      </c>
      <c r="K3" s="46" t="s">
        <v>3</v>
      </c>
      <c r="L3" s="25" t="s">
        <v>4</v>
      </c>
      <c r="M3" s="25" t="s">
        <v>5</v>
      </c>
      <c r="N3" s="25" t="s">
        <v>6</v>
      </c>
      <c r="O3" s="25" t="s">
        <v>7</v>
      </c>
      <c r="P3" s="25" t="s">
        <v>8</v>
      </c>
      <c r="Q3" s="25" t="s">
        <v>9</v>
      </c>
      <c r="R3" s="24" t="s">
        <v>10</v>
      </c>
      <c r="S3" s="25" t="s">
        <v>11</v>
      </c>
      <c r="T3" s="25" t="s">
        <v>12</v>
      </c>
      <c r="U3" s="25" t="s">
        <v>13</v>
      </c>
      <c r="V3" s="25" t="s">
        <v>14</v>
      </c>
    </row>
    <row r="4" spans="1:25" ht="5.25" customHeight="1">
      <c r="A4" s="130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</row>
    <row r="5" spans="1:25" ht="15" customHeight="1">
      <c r="A5" s="175" t="s">
        <v>15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</row>
    <row r="6" spans="1:25">
      <c r="A6" s="161">
        <v>1</v>
      </c>
      <c r="B6" s="162" t="s">
        <v>16</v>
      </c>
      <c r="C6" s="163" t="s">
        <v>17</v>
      </c>
      <c r="D6" s="30">
        <v>3467174584.1300001</v>
      </c>
      <c r="E6" s="27">
        <f t="shared" ref="E6:E22" si="0">(D6/$D$25)</f>
        <v>5.0153344721536958E-2</v>
      </c>
      <c r="F6" s="30">
        <v>578.67100000000005</v>
      </c>
      <c r="G6" s="30">
        <v>581.6848</v>
      </c>
      <c r="H6" s="29">
        <v>1696</v>
      </c>
      <c r="I6" s="47">
        <v>2.3099999999999999E-2</v>
      </c>
      <c r="J6" s="47">
        <v>0.45569999999999999</v>
      </c>
      <c r="K6" s="30">
        <v>3513900912.4400001</v>
      </c>
      <c r="L6" s="27">
        <f t="shared" ref="L6:L21" si="1">(K6/$K$25)</f>
        <v>5.2436264645173689E-2</v>
      </c>
      <c r="M6" s="30">
        <v>580.5652</v>
      </c>
      <c r="N6" s="30">
        <v>583.77869999999996</v>
      </c>
      <c r="O6" s="29">
        <v>1696</v>
      </c>
      <c r="P6" s="47">
        <v>3.3E-3</v>
      </c>
      <c r="Q6" s="47">
        <v>0.46050000000000002</v>
      </c>
      <c r="R6" s="53">
        <f>((K6-D6)/D6)</f>
        <v>1.3476774006096015E-2</v>
      </c>
      <c r="S6" s="53">
        <f>((N6-G6)/G6)</f>
        <v>3.5997158598608083E-3</v>
      </c>
      <c r="T6" s="53">
        <f>((O6-H6)/H6)</f>
        <v>0</v>
      </c>
      <c r="U6" s="54">
        <f>P6-I6</f>
        <v>-1.9799999999999998E-2</v>
      </c>
      <c r="V6" s="55">
        <f>Q6-J6</f>
        <v>4.8000000000000265E-3</v>
      </c>
    </row>
    <row r="7" spans="1:25">
      <c r="A7" s="161">
        <v>2</v>
      </c>
      <c r="B7" s="162" t="s">
        <v>18</v>
      </c>
      <c r="C7" s="163" t="s">
        <v>19</v>
      </c>
      <c r="D7" s="30">
        <v>943300441.75</v>
      </c>
      <c r="E7" s="27">
        <f t="shared" si="0"/>
        <v>1.3645021640275149E-2</v>
      </c>
      <c r="F7" s="30">
        <v>389.64350000000002</v>
      </c>
      <c r="G7" s="30">
        <v>395.16340000000002</v>
      </c>
      <c r="H7" s="29">
        <v>581</v>
      </c>
      <c r="I7" s="47">
        <v>-1.18E-4</v>
      </c>
      <c r="J7" s="47">
        <v>0.5131</v>
      </c>
      <c r="K7" s="30">
        <v>938912070.98000002</v>
      </c>
      <c r="L7" s="27">
        <f t="shared" si="1"/>
        <v>1.4010936295374561E-2</v>
      </c>
      <c r="M7" s="30">
        <v>386.4151</v>
      </c>
      <c r="N7" s="30">
        <v>391.8621</v>
      </c>
      <c r="O7" s="29">
        <v>589</v>
      </c>
      <c r="P7" s="47">
        <v>-8.3649999999999992E-3</v>
      </c>
      <c r="Q7" s="47">
        <v>0.50060000000000004</v>
      </c>
      <c r="R7" s="53">
        <f t="shared" ref="R7:R25" si="2">((K7-D7)/D7)</f>
        <v>-4.6521453566360331E-3</v>
      </c>
      <c r="S7" s="53">
        <f t="shared" ref="S7:S25" si="3">((N7-G7)/G7)</f>
        <v>-8.3542656025330942E-3</v>
      </c>
      <c r="T7" s="53">
        <f t="shared" ref="T7:T25" si="4">((O7-H7)/H7)</f>
        <v>1.3769363166953529E-2</v>
      </c>
      <c r="U7" s="54">
        <f t="shared" ref="U7:U25" si="5">P7-I7</f>
        <v>-8.2469999999999991E-3</v>
      </c>
      <c r="V7" s="55">
        <f t="shared" ref="V7:V25" si="6">Q7-J7</f>
        <v>-1.2499999999999956E-2</v>
      </c>
    </row>
    <row r="8" spans="1:25">
      <c r="A8" s="161">
        <v>3</v>
      </c>
      <c r="B8" s="162" t="s">
        <v>20</v>
      </c>
      <c r="C8" s="163" t="s">
        <v>21</v>
      </c>
      <c r="D8" s="30">
        <v>6002650028.2799997</v>
      </c>
      <c r="E8" s="27">
        <f t="shared" si="0"/>
        <v>8.6829482855883364E-2</v>
      </c>
      <c r="F8" s="30">
        <v>47.514800000000001</v>
      </c>
      <c r="G8" s="143">
        <v>48.947400000000002</v>
      </c>
      <c r="H8" s="31">
        <v>7397</v>
      </c>
      <c r="I8" s="48">
        <v>0.45960000000000001</v>
      </c>
      <c r="J8" s="48">
        <v>0.4869</v>
      </c>
      <c r="K8" s="30">
        <v>6080149349.8000002</v>
      </c>
      <c r="L8" s="27">
        <f t="shared" si="1"/>
        <v>9.0731164120080296E-2</v>
      </c>
      <c r="M8" s="30">
        <v>48.169899999999998</v>
      </c>
      <c r="N8" s="143">
        <v>49.622300000000003</v>
      </c>
      <c r="O8" s="31">
        <v>7452</v>
      </c>
      <c r="P8" s="48">
        <v>0.71899999999999997</v>
      </c>
      <c r="Q8" s="48">
        <v>0.49959999999999999</v>
      </c>
      <c r="R8" s="53">
        <f t="shared" si="2"/>
        <v>1.2910851233185607E-2</v>
      </c>
      <c r="S8" s="53">
        <f t="shared" si="3"/>
        <v>1.3788270674233992E-2</v>
      </c>
      <c r="T8" s="53">
        <f t="shared" si="4"/>
        <v>7.435446802757875E-3</v>
      </c>
      <c r="U8" s="54">
        <f t="shared" si="5"/>
        <v>0.25939999999999996</v>
      </c>
      <c r="V8" s="55">
        <f t="shared" si="6"/>
        <v>1.2699999999999989E-2</v>
      </c>
      <c r="X8" s="56"/>
      <c r="Y8" s="56"/>
    </row>
    <row r="9" spans="1:25">
      <c r="A9" s="161">
        <v>4</v>
      </c>
      <c r="B9" s="162" t="s">
        <v>22</v>
      </c>
      <c r="C9" s="163" t="s">
        <v>23</v>
      </c>
      <c r="D9" s="30">
        <v>1073137109.3</v>
      </c>
      <c r="E9" s="27">
        <f t="shared" si="0"/>
        <v>1.5523133915017927E-2</v>
      </c>
      <c r="F9" s="30">
        <v>246.43799999999999</v>
      </c>
      <c r="G9" s="30">
        <v>246.43799999999999</v>
      </c>
      <c r="H9" s="29">
        <v>2172</v>
      </c>
      <c r="I9" s="47">
        <v>8.6999999999999994E-3</v>
      </c>
      <c r="J9" s="47">
        <v>0.27979999999999999</v>
      </c>
      <c r="K9" s="30">
        <v>1078704603.0599999</v>
      </c>
      <c r="L9" s="27">
        <f t="shared" si="1"/>
        <v>1.6096993469501258E-2</v>
      </c>
      <c r="M9" s="30">
        <v>244.73240000000001</v>
      </c>
      <c r="N9" s="30">
        <v>244.73240000000001</v>
      </c>
      <c r="O9" s="29">
        <v>2176</v>
      </c>
      <c r="P9" s="47">
        <v>-6.8999999999999999E-3</v>
      </c>
      <c r="Q9" s="47">
        <v>0.27200000000000002</v>
      </c>
      <c r="R9" s="53">
        <f t="shared" si="2"/>
        <v>5.1880544543200348E-3</v>
      </c>
      <c r="S9" s="53">
        <f t="shared" si="3"/>
        <v>-6.9210105584365062E-3</v>
      </c>
      <c r="T9" s="53">
        <f t="shared" si="4"/>
        <v>1.841620626151013E-3</v>
      </c>
      <c r="U9" s="54">
        <f t="shared" si="5"/>
        <v>-1.5599999999999999E-2</v>
      </c>
      <c r="V9" s="55">
        <f t="shared" si="6"/>
        <v>-7.7999999999999736E-3</v>
      </c>
    </row>
    <row r="10" spans="1:25">
      <c r="A10" s="161">
        <v>5</v>
      </c>
      <c r="B10" s="162" t="s">
        <v>24</v>
      </c>
      <c r="C10" s="163" t="s">
        <v>25</v>
      </c>
      <c r="D10" s="30">
        <v>1729614986.5899999</v>
      </c>
      <c r="E10" s="27">
        <f t="shared" si="0"/>
        <v>2.5019212200919932E-2</v>
      </c>
      <c r="F10" s="30">
        <v>1.5871</v>
      </c>
      <c r="G10" s="30">
        <v>1.6057999999999999</v>
      </c>
      <c r="H10" s="29">
        <v>747</v>
      </c>
      <c r="I10" s="47">
        <v>2.06E-2</v>
      </c>
      <c r="J10" s="47">
        <v>0.34720000000000001</v>
      </c>
      <c r="K10" s="30">
        <v>1748647079.75</v>
      </c>
      <c r="L10" s="27">
        <f t="shared" si="1"/>
        <v>2.6094225002238677E-2</v>
      </c>
      <c r="M10" s="30">
        <v>1.5874999999999999</v>
      </c>
      <c r="N10" s="30">
        <v>1.6073999999999999</v>
      </c>
      <c r="O10" s="29">
        <v>765</v>
      </c>
      <c r="P10" s="47">
        <v>5.9999999999999995E-4</v>
      </c>
      <c r="Q10" s="47">
        <v>0.34799999999999998</v>
      </c>
      <c r="R10" s="53">
        <f t="shared" si="2"/>
        <v>1.100365879548868E-2</v>
      </c>
      <c r="S10" s="53">
        <f t="shared" si="3"/>
        <v>9.9638809316231528E-4</v>
      </c>
      <c r="T10" s="53">
        <f t="shared" si="4"/>
        <v>2.4096385542168676E-2</v>
      </c>
      <c r="U10" s="54">
        <f t="shared" si="5"/>
        <v>-0.02</v>
      </c>
      <c r="V10" s="55">
        <f t="shared" si="6"/>
        <v>7.999999999999674E-4</v>
      </c>
    </row>
    <row r="11" spans="1:25">
      <c r="A11" s="161">
        <v>6</v>
      </c>
      <c r="B11" s="162" t="s">
        <v>26</v>
      </c>
      <c r="C11" s="163" t="s">
        <v>27</v>
      </c>
      <c r="D11" s="32">
        <v>199279717.41999999</v>
      </c>
      <c r="E11" s="27">
        <f t="shared" si="0"/>
        <v>2.8826192974310844E-3</v>
      </c>
      <c r="F11" s="30">
        <v>202.3047</v>
      </c>
      <c r="G11" s="30">
        <v>203.65029999999999</v>
      </c>
      <c r="H11" s="31">
        <v>6</v>
      </c>
      <c r="I11" s="48">
        <v>1.5020000000000001E-3</v>
      </c>
      <c r="J11" s="48">
        <v>0.20699999999999999</v>
      </c>
      <c r="K11" s="32">
        <v>199475956.22999999</v>
      </c>
      <c r="L11" s="27">
        <f t="shared" si="1"/>
        <v>2.976684400574703E-3</v>
      </c>
      <c r="M11" s="30">
        <v>202.2354</v>
      </c>
      <c r="N11" s="30">
        <v>203.57919999999999</v>
      </c>
      <c r="O11" s="31">
        <v>6</v>
      </c>
      <c r="P11" s="48">
        <v>1.92E-3</v>
      </c>
      <c r="Q11" s="48">
        <v>0.22559999999999999</v>
      </c>
      <c r="R11" s="53">
        <f t="shared" si="2"/>
        <v>9.8474050716567101E-4</v>
      </c>
      <c r="S11" s="53">
        <f t="shared" si="3"/>
        <v>-3.4912789227416446E-4</v>
      </c>
      <c r="T11" s="53">
        <f t="shared" si="4"/>
        <v>0</v>
      </c>
      <c r="U11" s="54">
        <f t="shared" si="5"/>
        <v>4.1799999999999997E-4</v>
      </c>
      <c r="V11" s="55">
        <f t="shared" si="6"/>
        <v>1.8600000000000005E-2</v>
      </c>
    </row>
    <row r="12" spans="1:25">
      <c r="A12" s="161">
        <v>7</v>
      </c>
      <c r="B12" s="162" t="s">
        <v>28</v>
      </c>
      <c r="C12" s="163" t="s">
        <v>29</v>
      </c>
      <c r="D12" s="30">
        <v>2676988786.8800001</v>
      </c>
      <c r="E12" s="27">
        <f t="shared" si="0"/>
        <v>3.8723155752992122E-2</v>
      </c>
      <c r="F12" s="30">
        <v>492.26</v>
      </c>
      <c r="G12" s="30">
        <v>499.04</v>
      </c>
      <c r="H12" s="31">
        <v>1796</v>
      </c>
      <c r="I12" s="48">
        <v>1.34E-2</v>
      </c>
      <c r="J12" s="48">
        <v>0.5202</v>
      </c>
      <c r="K12" s="30">
        <v>2676539003.8400002</v>
      </c>
      <c r="L12" s="27">
        <f t="shared" si="1"/>
        <v>3.9940712910151034E-2</v>
      </c>
      <c r="M12" s="30">
        <v>490.41</v>
      </c>
      <c r="N12" s="30">
        <v>497.4</v>
      </c>
      <c r="O12" s="31">
        <v>1799</v>
      </c>
      <c r="P12" s="48">
        <v>-3.5000000000000001E-3</v>
      </c>
      <c r="Q12" s="48">
        <v>0.51449999999999996</v>
      </c>
      <c r="R12" s="53">
        <f t="shared" si="2"/>
        <v>-1.6801827568511366E-4</v>
      </c>
      <c r="S12" s="53">
        <f t="shared" si="3"/>
        <v>-3.2863097146522183E-3</v>
      </c>
      <c r="T12" s="53">
        <f t="shared" si="4"/>
        <v>1.6703786191536749E-3</v>
      </c>
      <c r="U12" s="54">
        <f t="shared" si="5"/>
        <v>-1.6900000000000002E-2</v>
      </c>
      <c r="V12" s="55">
        <f t="shared" si="6"/>
        <v>-5.7000000000000384E-3</v>
      </c>
    </row>
    <row r="13" spans="1:25">
      <c r="A13" s="161">
        <v>8</v>
      </c>
      <c r="B13" s="162" t="s">
        <v>30</v>
      </c>
      <c r="C13" s="163" t="s">
        <v>31</v>
      </c>
      <c r="D13" s="26">
        <v>495908999.10000002</v>
      </c>
      <c r="E13" s="27">
        <f t="shared" si="0"/>
        <v>7.1734186955040614E-3</v>
      </c>
      <c r="F13" s="30">
        <v>247.14</v>
      </c>
      <c r="G13" s="30">
        <v>259.26</v>
      </c>
      <c r="H13" s="29">
        <v>2469</v>
      </c>
      <c r="I13" s="47">
        <v>2.5399999999999999E-2</v>
      </c>
      <c r="J13" s="47">
        <v>0.16700000000000001</v>
      </c>
      <c r="K13" s="26">
        <v>487704987.73000002</v>
      </c>
      <c r="L13" s="27">
        <f t="shared" si="1"/>
        <v>7.2777885440211982E-3</v>
      </c>
      <c r="M13" s="30">
        <v>243.05</v>
      </c>
      <c r="N13" s="30">
        <v>254.85</v>
      </c>
      <c r="O13" s="29">
        <v>2469</v>
      </c>
      <c r="P13" s="47">
        <v>-1.6500000000000001E-2</v>
      </c>
      <c r="Q13" s="47">
        <v>0.14765</v>
      </c>
      <c r="R13" s="53">
        <f t="shared" si="2"/>
        <v>-1.654338071075348E-2</v>
      </c>
      <c r="S13" s="53">
        <f t="shared" si="3"/>
        <v>-1.7009951400138845E-2</v>
      </c>
      <c r="T13" s="53">
        <f t="shared" si="4"/>
        <v>0</v>
      </c>
      <c r="U13" s="54">
        <f t="shared" si="5"/>
        <v>-4.19E-2</v>
      </c>
      <c r="V13" s="55">
        <f t="shared" si="6"/>
        <v>-1.9350000000000006E-2</v>
      </c>
    </row>
    <row r="14" spans="1:25">
      <c r="A14" s="161">
        <v>9</v>
      </c>
      <c r="B14" s="162" t="s">
        <v>32</v>
      </c>
      <c r="C14" s="163" t="s">
        <v>33</v>
      </c>
      <c r="D14" s="32">
        <v>87805925.752499998</v>
      </c>
      <c r="E14" s="27">
        <f t="shared" si="0"/>
        <v>1.2701295409281574E-3</v>
      </c>
      <c r="F14" s="30">
        <v>317.43</v>
      </c>
      <c r="G14" s="30">
        <v>319.04000000000002</v>
      </c>
      <c r="H14" s="29">
        <v>18</v>
      </c>
      <c r="I14" s="47">
        <v>7.4999999999999997E-3</v>
      </c>
      <c r="J14" s="47">
        <v>0.41649999999999998</v>
      </c>
      <c r="K14" s="32">
        <v>88443617.971699998</v>
      </c>
      <c r="L14" s="27">
        <f t="shared" si="1"/>
        <v>1.3198018594441196E-3</v>
      </c>
      <c r="M14" s="30">
        <v>319.69</v>
      </c>
      <c r="N14" s="30">
        <v>321.39</v>
      </c>
      <c r="O14" s="29">
        <v>18</v>
      </c>
      <c r="P14" s="47">
        <v>7.3000000000000001E-3</v>
      </c>
      <c r="Q14" s="47">
        <v>0.42670000000000002</v>
      </c>
      <c r="R14" s="53">
        <f t="shared" si="2"/>
        <v>7.2625191720826869E-3</v>
      </c>
      <c r="S14" s="53">
        <f t="shared" si="3"/>
        <v>7.3658475426277761E-3</v>
      </c>
      <c r="T14" s="53">
        <f t="shared" si="4"/>
        <v>0</v>
      </c>
      <c r="U14" s="54">
        <f t="shared" si="5"/>
        <v>-1.9999999999999966E-4</v>
      </c>
      <c r="V14" s="55">
        <f t="shared" si="6"/>
        <v>1.0200000000000042E-2</v>
      </c>
    </row>
    <row r="15" spans="1:25" ht="14.25" customHeight="1">
      <c r="A15" s="161">
        <v>10</v>
      </c>
      <c r="B15" s="162" t="s">
        <v>34</v>
      </c>
      <c r="C15" s="163" t="s">
        <v>35</v>
      </c>
      <c r="D15" s="26">
        <v>1908083619.03</v>
      </c>
      <c r="E15" s="27">
        <f t="shared" si="0"/>
        <v>2.7600795166402639E-2</v>
      </c>
      <c r="F15" s="30">
        <v>3.6625999999999999</v>
      </c>
      <c r="G15" s="30">
        <v>3.6966000000000001</v>
      </c>
      <c r="H15" s="29">
        <v>1325</v>
      </c>
      <c r="I15" s="47">
        <v>1.9300000000000001E-2</v>
      </c>
      <c r="J15" s="47">
        <v>0.74850000000000005</v>
      </c>
      <c r="K15" s="26">
        <v>1996564957.3599999</v>
      </c>
      <c r="L15" s="27">
        <f t="shared" si="1"/>
        <v>2.9793785053748724E-2</v>
      </c>
      <c r="M15" s="30">
        <v>3.7427999999999999</v>
      </c>
      <c r="N15" s="30">
        <v>3.7776000000000001</v>
      </c>
      <c r="O15" s="29">
        <v>1425</v>
      </c>
      <c r="P15" s="47">
        <v>2.1899999999999999E-2</v>
      </c>
      <c r="Q15" s="47">
        <v>0.78680000000000005</v>
      </c>
      <c r="R15" s="53">
        <f t="shared" si="2"/>
        <v>4.6371834781004304E-2</v>
      </c>
      <c r="S15" s="53">
        <f t="shared" si="3"/>
        <v>2.1912027268300591E-2</v>
      </c>
      <c r="T15" s="53">
        <f t="shared" si="4"/>
        <v>7.5471698113207544E-2</v>
      </c>
      <c r="U15" s="54">
        <f t="shared" si="5"/>
        <v>2.5999999999999981E-3</v>
      </c>
      <c r="V15" s="55">
        <f t="shared" si="6"/>
        <v>3.8300000000000001E-2</v>
      </c>
    </row>
    <row r="16" spans="1:25" ht="14.25" customHeight="1">
      <c r="A16" s="167">
        <v>11</v>
      </c>
      <c r="B16" s="162" t="s">
        <v>36</v>
      </c>
      <c r="C16" s="163" t="s">
        <v>37</v>
      </c>
      <c r="D16" s="26">
        <v>73354843.260000005</v>
      </c>
      <c r="E16" s="27">
        <f t="shared" si="0"/>
        <v>1.0610918636323131E-3</v>
      </c>
      <c r="F16" s="30">
        <v>22.52</v>
      </c>
      <c r="G16" s="30">
        <v>22.94</v>
      </c>
      <c r="H16" s="29">
        <v>52</v>
      </c>
      <c r="I16" s="47">
        <v>4.4999999999999997E-3</v>
      </c>
      <c r="J16" s="47">
        <v>0.125</v>
      </c>
      <c r="K16" s="26">
        <v>73867223.469999999</v>
      </c>
      <c r="L16" s="27">
        <f t="shared" si="1"/>
        <v>1.1022852877736751E-3</v>
      </c>
      <c r="M16" s="30">
        <v>22.54</v>
      </c>
      <c r="N16" s="30">
        <v>22.97</v>
      </c>
      <c r="O16" s="29">
        <v>52</v>
      </c>
      <c r="P16" s="47">
        <v>5.9999999999999995E-4</v>
      </c>
      <c r="Q16" s="47">
        <v>0.125</v>
      </c>
      <c r="R16" s="53">
        <f t="shared" ref="R16" si="7">((K16-D16)/D16)</f>
        <v>6.9849540565972632E-3</v>
      </c>
      <c r="S16" s="53">
        <f t="shared" ref="S16" si="8">((N16-G16)/G16)</f>
        <v>1.307759372275396E-3</v>
      </c>
      <c r="T16" s="53">
        <f t="shared" ref="T16" si="9">((O16-H16)/H16)</f>
        <v>0</v>
      </c>
      <c r="U16" s="54">
        <f t="shared" ref="U16" si="10">P16-I16</f>
        <v>-3.8999999999999998E-3</v>
      </c>
      <c r="V16" s="55">
        <f t="shared" ref="V16" si="11">Q16-J16</f>
        <v>0</v>
      </c>
    </row>
    <row r="17" spans="1:22">
      <c r="A17" s="161">
        <v>12</v>
      </c>
      <c r="B17" s="162" t="s">
        <v>38</v>
      </c>
      <c r="C17" s="163" t="s">
        <v>39</v>
      </c>
      <c r="D17" s="124">
        <v>2544718022.4299998</v>
      </c>
      <c r="E17" s="27">
        <f t="shared" si="0"/>
        <v>3.6809833800181754E-2</v>
      </c>
      <c r="F17" s="30">
        <v>5.15</v>
      </c>
      <c r="G17" s="30">
        <v>5.26</v>
      </c>
      <c r="H17" s="29">
        <v>3660</v>
      </c>
      <c r="I17" s="47">
        <v>-5.5999999999999999E-3</v>
      </c>
      <c r="J17" s="47">
        <v>0.41620000000000001</v>
      </c>
      <c r="K17" s="124">
        <v>2544718022.4299998</v>
      </c>
      <c r="L17" s="27">
        <f t="shared" si="1"/>
        <v>3.7973611378479905E-2</v>
      </c>
      <c r="M17" s="30">
        <v>5.12</v>
      </c>
      <c r="N17" s="30">
        <v>5.22</v>
      </c>
      <c r="O17" s="29">
        <v>3661</v>
      </c>
      <c r="P17" s="47">
        <v>-1.67E-2</v>
      </c>
      <c r="Q17" s="47">
        <v>0.40660000000000002</v>
      </c>
      <c r="R17" s="53">
        <f t="shared" si="2"/>
        <v>0</v>
      </c>
      <c r="S17" s="53">
        <f t="shared" si="3"/>
        <v>-7.6045627376425924E-3</v>
      </c>
      <c r="T17" s="53">
        <f t="shared" si="4"/>
        <v>2.7322404371584699E-4</v>
      </c>
      <c r="U17" s="54">
        <f t="shared" si="5"/>
        <v>-1.1099999999999999E-2</v>
      </c>
      <c r="V17" s="55">
        <f t="shared" si="6"/>
        <v>-9.5999999999999974E-3</v>
      </c>
    </row>
    <row r="18" spans="1:22">
      <c r="A18" s="161">
        <v>13</v>
      </c>
      <c r="B18" s="162" t="s">
        <v>40</v>
      </c>
      <c r="C18" s="163" t="s">
        <v>41</v>
      </c>
      <c r="D18" s="30">
        <v>1988141726.77</v>
      </c>
      <c r="E18" s="27">
        <f t="shared" si="0"/>
        <v>2.8758851035183088E-2</v>
      </c>
      <c r="F18" s="30">
        <v>32.345526</v>
      </c>
      <c r="G18" s="30">
        <v>32.473056999999997</v>
      </c>
      <c r="H18" s="29">
        <v>821</v>
      </c>
      <c r="I18" s="47">
        <v>-3.3999999999999998E-3</v>
      </c>
      <c r="J18" s="47">
        <v>0.37680000000000002</v>
      </c>
      <c r="K18" s="30">
        <v>1985757501.03</v>
      </c>
      <c r="L18" s="27">
        <f t="shared" si="1"/>
        <v>2.9632510545906234E-2</v>
      </c>
      <c r="M18" s="30">
        <v>31.77</v>
      </c>
      <c r="N18" s="30">
        <v>31.91</v>
      </c>
      <c r="O18" s="29">
        <v>821</v>
      </c>
      <c r="P18" s="47">
        <v>-1.78E-2</v>
      </c>
      <c r="Q18" s="47">
        <v>0.35310000000000002</v>
      </c>
      <c r="R18" s="53">
        <f t="shared" si="2"/>
        <v>-1.1992232283527897E-3</v>
      </c>
      <c r="S18" s="53">
        <f t="shared" si="3"/>
        <v>-1.7339205237129264E-2</v>
      </c>
      <c r="T18" s="53">
        <f t="shared" si="4"/>
        <v>0</v>
      </c>
      <c r="U18" s="54">
        <f t="shared" si="5"/>
        <v>-1.44E-2</v>
      </c>
      <c r="V18" s="55">
        <f t="shared" si="6"/>
        <v>-2.3699999999999999E-2</v>
      </c>
    </row>
    <row r="19" spans="1:22">
      <c r="A19" s="161">
        <v>14</v>
      </c>
      <c r="B19" s="162" t="s">
        <v>42</v>
      </c>
      <c r="C19" s="163" t="s">
        <v>43</v>
      </c>
      <c r="D19" s="30">
        <v>176124773.88</v>
      </c>
      <c r="E19" s="27">
        <f t="shared" si="0"/>
        <v>2.5476786022942273E-3</v>
      </c>
      <c r="F19" s="30">
        <v>1.94</v>
      </c>
      <c r="G19" s="30">
        <v>2.0099999999999998</v>
      </c>
      <c r="H19" s="29">
        <v>22</v>
      </c>
      <c r="I19" s="47">
        <v>1.3899999999999999E-2</v>
      </c>
      <c r="J19" s="47">
        <v>0.41620000000000001</v>
      </c>
      <c r="K19" s="30">
        <v>167548013.87</v>
      </c>
      <c r="L19" s="27">
        <f t="shared" si="1"/>
        <v>2.5002389694477665E-3</v>
      </c>
      <c r="M19" s="30">
        <v>1.81</v>
      </c>
      <c r="N19" s="30">
        <v>1.88</v>
      </c>
      <c r="O19" s="29">
        <v>23</v>
      </c>
      <c r="P19" s="47">
        <v>-1.47E-2</v>
      </c>
      <c r="Q19" s="47">
        <v>0.30149999999999999</v>
      </c>
      <c r="R19" s="53">
        <f t="shared" si="2"/>
        <v>-4.8697067545100947E-2</v>
      </c>
      <c r="S19" s="53">
        <f t="shared" si="3"/>
        <v>-6.4676616915422841E-2</v>
      </c>
      <c r="T19" s="53">
        <f t="shared" si="4"/>
        <v>4.5454545454545456E-2</v>
      </c>
      <c r="U19" s="54">
        <f t="shared" si="5"/>
        <v>-2.86E-2</v>
      </c>
      <c r="V19" s="55">
        <f t="shared" si="6"/>
        <v>-0.11470000000000002</v>
      </c>
    </row>
    <row r="20" spans="1:22">
      <c r="A20" s="161">
        <v>15</v>
      </c>
      <c r="B20" s="162" t="s">
        <v>44</v>
      </c>
      <c r="C20" s="163" t="s">
        <v>45</v>
      </c>
      <c r="D20" s="26">
        <v>8071627777.0200005</v>
      </c>
      <c r="E20" s="27">
        <f t="shared" si="0"/>
        <v>0.11675764243824378</v>
      </c>
      <c r="F20" s="30">
        <v>48.5</v>
      </c>
      <c r="G20" s="30">
        <v>48.69</v>
      </c>
      <c r="H20" s="29">
        <v>8944</v>
      </c>
      <c r="I20" s="47">
        <v>1.9400000000000001E-2</v>
      </c>
      <c r="J20" s="47">
        <v>0.59299999999999997</v>
      </c>
      <c r="K20" s="26">
        <v>8044226729.8999996</v>
      </c>
      <c r="L20" s="27">
        <f t="shared" si="1"/>
        <v>0.12004015257843982</v>
      </c>
      <c r="M20" s="30">
        <v>48.36</v>
      </c>
      <c r="N20" s="30">
        <v>48.57</v>
      </c>
      <c r="O20" s="29">
        <v>8944</v>
      </c>
      <c r="P20" s="47">
        <v>-3.5000000000000001E-3</v>
      </c>
      <c r="Q20" s="47">
        <v>0.58950000000000002</v>
      </c>
      <c r="R20" s="53">
        <f t="shared" si="2"/>
        <v>-3.394736213928481E-3</v>
      </c>
      <c r="S20" s="53">
        <f t="shared" si="3"/>
        <v>-2.4645717806530592E-3</v>
      </c>
      <c r="T20" s="53">
        <f t="shared" si="4"/>
        <v>0</v>
      </c>
      <c r="U20" s="54">
        <f t="shared" si="5"/>
        <v>-2.29E-2</v>
      </c>
      <c r="V20" s="55">
        <f t="shared" si="6"/>
        <v>-3.4999999999999476E-3</v>
      </c>
    </row>
    <row r="21" spans="1:22" ht="12.75" customHeight="1">
      <c r="A21" s="161">
        <v>16</v>
      </c>
      <c r="B21" s="162" t="s">
        <v>46</v>
      </c>
      <c r="C21" s="163" t="s">
        <v>47</v>
      </c>
      <c r="D21" s="30">
        <v>1493634440.3099999</v>
      </c>
      <c r="E21" s="27">
        <f t="shared" si="0"/>
        <v>2.1605708381605568E-2</v>
      </c>
      <c r="F21" s="30">
        <v>12057.31</v>
      </c>
      <c r="G21" s="30">
        <v>12225.73</v>
      </c>
      <c r="H21" s="29">
        <v>25</v>
      </c>
      <c r="I21" s="47">
        <v>1.8100000000000002E-2</v>
      </c>
      <c r="J21" s="47">
        <v>0.50729999999999997</v>
      </c>
      <c r="K21" s="30">
        <v>1506785951.4000001</v>
      </c>
      <c r="L21" s="27">
        <f t="shared" si="1"/>
        <v>2.2485046926487381E-2</v>
      </c>
      <c r="M21" s="30">
        <v>9283.7999999999993</v>
      </c>
      <c r="N21" s="30">
        <v>9405.57</v>
      </c>
      <c r="O21" s="29">
        <v>26</v>
      </c>
      <c r="P21" s="47">
        <v>-1.1999999999999999E-3</v>
      </c>
      <c r="Q21" s="47">
        <v>0.50549999999999995</v>
      </c>
      <c r="R21" s="53">
        <f t="shared" si="2"/>
        <v>8.8050400654062257E-3</v>
      </c>
      <c r="S21" s="53">
        <f t="shared" si="3"/>
        <v>-0.23067416015239989</v>
      </c>
      <c r="T21" s="53">
        <f t="shared" si="4"/>
        <v>0.04</v>
      </c>
      <c r="U21" s="54">
        <f t="shared" si="5"/>
        <v>-1.9300000000000001E-2</v>
      </c>
      <c r="V21" s="55">
        <f t="shared" si="6"/>
        <v>-1.8000000000000238E-3</v>
      </c>
    </row>
    <row r="22" spans="1:22">
      <c r="A22" s="161">
        <v>17</v>
      </c>
      <c r="B22" s="162" t="s">
        <v>48</v>
      </c>
      <c r="C22" s="163" t="s">
        <v>47</v>
      </c>
      <c r="D22" s="30">
        <v>22792493769.02</v>
      </c>
      <c r="E22" s="27">
        <f t="shared" si="0"/>
        <v>0.32969778974887709</v>
      </c>
      <c r="F22" s="30">
        <v>40365.08</v>
      </c>
      <c r="G22" s="30">
        <v>40945.9</v>
      </c>
      <c r="H22" s="29">
        <v>18904</v>
      </c>
      <c r="I22" s="47">
        <v>1.32E-2</v>
      </c>
      <c r="J22" s="47">
        <v>0.59309999999999996</v>
      </c>
      <c r="K22" s="30">
        <v>23239222773.599998</v>
      </c>
      <c r="L22" s="27">
        <f t="shared" ref="L22:L23" si="12">(K22/$K$25)</f>
        <v>0.34678781953998655</v>
      </c>
      <c r="M22" s="30">
        <v>40174.58</v>
      </c>
      <c r="N22" s="30">
        <v>40734.74</v>
      </c>
      <c r="O22" s="29">
        <v>18988</v>
      </c>
      <c r="P22" s="47">
        <v>-5.1999999999999998E-3</v>
      </c>
      <c r="Q22" s="47">
        <v>0.58489999999999998</v>
      </c>
      <c r="R22" s="53">
        <f t="shared" si="2"/>
        <v>1.9599830062790265E-2</v>
      </c>
      <c r="S22" s="53">
        <f t="shared" si="3"/>
        <v>-5.1570486910778243E-3</v>
      </c>
      <c r="T22" s="53">
        <f t="shared" si="4"/>
        <v>4.4435040203131609E-3</v>
      </c>
      <c r="U22" s="54">
        <f t="shared" si="5"/>
        <v>-1.84E-2</v>
      </c>
      <c r="V22" s="55">
        <f t="shared" si="6"/>
        <v>-8.1999999999999851E-3</v>
      </c>
    </row>
    <row r="23" spans="1:22">
      <c r="A23" s="161">
        <v>18</v>
      </c>
      <c r="B23" s="163" t="s">
        <v>49</v>
      </c>
      <c r="C23" s="163" t="s">
        <v>50</v>
      </c>
      <c r="D23" s="30">
        <v>6095574401.3299999</v>
      </c>
      <c r="E23" s="27">
        <f t="shared" ref="E23" si="13">(D23/$D$25)</f>
        <v>8.8173651717740317E-2</v>
      </c>
      <c r="F23" s="30">
        <v>1.8365</v>
      </c>
      <c r="G23" s="28">
        <v>1.855</v>
      </c>
      <c r="H23" s="29">
        <v>5916</v>
      </c>
      <c r="I23" s="47">
        <v>1.55E-2</v>
      </c>
      <c r="J23" s="47">
        <v>0.41639999999999999</v>
      </c>
      <c r="K23" s="30">
        <v>3173460690.9000001</v>
      </c>
      <c r="L23" s="27">
        <f t="shared" si="12"/>
        <v>4.7356037855244872E-2</v>
      </c>
      <c r="M23" s="30">
        <v>1.8291999999999999</v>
      </c>
      <c r="N23" s="28">
        <v>1.8479000000000001</v>
      </c>
      <c r="O23" s="29">
        <v>5976</v>
      </c>
      <c r="P23" s="47">
        <v>-3.8999999999999998E-3</v>
      </c>
      <c r="Q23" s="47">
        <v>0.41149999999999998</v>
      </c>
      <c r="R23" s="53">
        <f t="shared" ref="R23" si="14">((K23-D23)/D23)</f>
        <v>-0.47938283056514258</v>
      </c>
      <c r="S23" s="53">
        <f t="shared" ref="S23" si="15">((N23-G23)/G23)</f>
        <v>-3.8274932614554631E-3</v>
      </c>
      <c r="T23" s="53">
        <f t="shared" ref="T23" si="16">((O23-H23)/H23)</f>
        <v>1.0141987829614604E-2</v>
      </c>
      <c r="U23" s="54">
        <f t="shared" ref="U23" si="17">P23-I23</f>
        <v>-1.9400000000000001E-2</v>
      </c>
      <c r="V23" s="55">
        <f t="shared" ref="V23" si="18">Q23-J23</f>
        <v>-4.9000000000000155E-3</v>
      </c>
    </row>
    <row r="24" spans="1:22">
      <c r="A24" s="161">
        <v>19</v>
      </c>
      <c r="B24" s="163" t="s">
        <v>290</v>
      </c>
      <c r="C24" s="163" t="s">
        <v>291</v>
      </c>
      <c r="D24" s="30">
        <v>7311858801.5699997</v>
      </c>
      <c r="E24" s="27">
        <f>(D24/$D$25)</f>
        <v>0.10576743862535032</v>
      </c>
      <c r="F24" s="30">
        <v>201.08</v>
      </c>
      <c r="G24" s="28">
        <v>204.54</v>
      </c>
      <c r="H24" s="29">
        <v>63</v>
      </c>
      <c r="I24" s="47">
        <v>1.32E-2</v>
      </c>
      <c r="J24" s="47">
        <v>0.65249999999999997</v>
      </c>
      <c r="K24" s="30">
        <v>7468170497.5200005</v>
      </c>
      <c r="L24" s="27">
        <f>(K24/$K$25)</f>
        <v>0.11144394061792538</v>
      </c>
      <c r="M24" s="30">
        <v>200.65</v>
      </c>
      <c r="N24" s="28">
        <v>204.25</v>
      </c>
      <c r="O24" s="29">
        <v>66</v>
      </c>
      <c r="P24" s="47">
        <v>-1.6999999999999999E-3</v>
      </c>
      <c r="Q24" s="47">
        <v>0.64959999999999996</v>
      </c>
      <c r="R24" s="53">
        <f t="shared" si="2"/>
        <v>2.1377832941253949E-2</v>
      </c>
      <c r="S24" s="53">
        <f t="shared" si="3"/>
        <v>-1.4178155861933708E-3</v>
      </c>
      <c r="T24" s="53">
        <f t="shared" si="4"/>
        <v>4.7619047619047616E-2</v>
      </c>
      <c r="U24" s="54">
        <f t="shared" si="5"/>
        <v>-1.49E-2</v>
      </c>
      <c r="V24" s="55">
        <f t="shared" si="6"/>
        <v>-2.9000000000000137E-3</v>
      </c>
    </row>
    <row r="25" spans="1:22">
      <c r="A25" s="33"/>
      <c r="B25" s="34"/>
      <c r="C25" s="35" t="s">
        <v>51</v>
      </c>
      <c r="D25" s="36">
        <f>SUM(D6:D24)</f>
        <v>69131472753.82251</v>
      </c>
      <c r="E25" s="37">
        <f>(D25/$D$226)</f>
        <v>1.0440977539634097E-2</v>
      </c>
      <c r="F25" s="38"/>
      <c r="G25" s="39"/>
      <c r="H25" s="40">
        <f>SUM(H6:H24)</f>
        <v>56614</v>
      </c>
      <c r="I25" s="49"/>
      <c r="J25" s="29">
        <v>0</v>
      </c>
      <c r="K25" s="36">
        <f>SUM(K6:K24)</f>
        <v>67012799943.281708</v>
      </c>
      <c r="L25" s="37">
        <f>(K25/$K$226)</f>
        <v>1.0011193572082695E-2</v>
      </c>
      <c r="M25" s="38"/>
      <c r="N25" s="39"/>
      <c r="O25" s="40">
        <f>SUM(O6:O24)</f>
        <v>56952</v>
      </c>
      <c r="P25" s="49"/>
      <c r="Q25" s="40"/>
      <c r="R25" s="53">
        <f t="shared" si="2"/>
        <v>-3.0647008173620219E-2</v>
      </c>
      <c r="S25" s="53" t="e">
        <f t="shared" si="3"/>
        <v>#DIV/0!</v>
      </c>
      <c r="T25" s="53">
        <f t="shared" si="4"/>
        <v>5.9702547073162112E-3</v>
      </c>
      <c r="U25" s="54">
        <f t="shared" si="5"/>
        <v>0</v>
      </c>
      <c r="V25" s="55">
        <f t="shared" si="6"/>
        <v>0</v>
      </c>
    </row>
    <row r="26" spans="1:22" ht="4.5" customHeight="1">
      <c r="A26" s="33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</row>
    <row r="27" spans="1:22" ht="15" customHeight="1">
      <c r="A27" s="175" t="s">
        <v>52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</row>
    <row r="28" spans="1:22">
      <c r="A28" s="165">
        <v>20</v>
      </c>
      <c r="B28" s="162" t="s">
        <v>53</v>
      </c>
      <c r="C28" s="163" t="s">
        <v>17</v>
      </c>
      <c r="D28" s="41">
        <v>4730750155.1899996</v>
      </c>
      <c r="E28" s="27">
        <f t="shared" ref="E28:E33" si="19">(D28/$K$70)</f>
        <v>1.2110610473665569E-3</v>
      </c>
      <c r="F28" s="28">
        <v>100</v>
      </c>
      <c r="G28" s="28">
        <v>100</v>
      </c>
      <c r="H28" s="29">
        <v>870</v>
      </c>
      <c r="I28" s="47">
        <v>0.17610000000000001</v>
      </c>
      <c r="J28" s="47">
        <v>0.17610000000000001</v>
      </c>
      <c r="K28" s="41">
        <v>4764803000</v>
      </c>
      <c r="L28" s="27">
        <f t="shared" ref="L28:L33" si="20">(K28/$K$70)</f>
        <v>1.2197784965127913E-3</v>
      </c>
      <c r="M28" s="28">
        <v>100</v>
      </c>
      <c r="N28" s="28">
        <v>100</v>
      </c>
      <c r="O28" s="29">
        <v>870</v>
      </c>
      <c r="P28" s="47">
        <v>0.18</v>
      </c>
      <c r="Q28" s="47">
        <v>0.18</v>
      </c>
      <c r="R28" s="53">
        <f>((K28-D28)/D28)</f>
        <v>7.1981913423692029E-3</v>
      </c>
      <c r="S28" s="53">
        <f>((N28-G28)/G28)</f>
        <v>0</v>
      </c>
      <c r="T28" s="53">
        <f>((O28-H28)/H28)</f>
        <v>0</v>
      </c>
      <c r="U28" s="54">
        <f>P28-I28</f>
        <v>3.8999999999999868E-3</v>
      </c>
      <c r="V28" s="55">
        <f>Q28-J28</f>
        <v>3.8999999999999868E-3</v>
      </c>
    </row>
    <row r="29" spans="1:22">
      <c r="A29" s="165">
        <v>21</v>
      </c>
      <c r="B29" s="162" t="s">
        <v>54</v>
      </c>
      <c r="C29" s="163" t="s">
        <v>55</v>
      </c>
      <c r="D29" s="41">
        <v>25422320806.32</v>
      </c>
      <c r="E29" s="27">
        <f t="shared" si="19"/>
        <v>6.5080550551615381E-3</v>
      </c>
      <c r="F29" s="28">
        <v>100</v>
      </c>
      <c r="G29" s="28">
        <v>100</v>
      </c>
      <c r="H29" s="29">
        <v>3318</v>
      </c>
      <c r="I29" s="47">
        <v>0.205813</v>
      </c>
      <c r="J29" s="47">
        <v>0.205813</v>
      </c>
      <c r="K29" s="41">
        <v>25947135266.880001</v>
      </c>
      <c r="L29" s="27">
        <f t="shared" si="20"/>
        <v>6.6424063376070135E-3</v>
      </c>
      <c r="M29" s="28">
        <v>100</v>
      </c>
      <c r="N29" s="28">
        <v>100</v>
      </c>
      <c r="O29" s="29">
        <v>3346</v>
      </c>
      <c r="P29" s="47">
        <v>0.20599999999999999</v>
      </c>
      <c r="Q29" s="47">
        <v>0.20599999999999999</v>
      </c>
      <c r="R29" s="53">
        <f t="shared" ref="R29:R70" si="21">((K29-D29)/D29)</f>
        <v>2.0643845404921972E-2</v>
      </c>
      <c r="S29" s="53">
        <f t="shared" ref="S29:S70" si="22">((N29-G29)/G29)</f>
        <v>0</v>
      </c>
      <c r="T29" s="53">
        <f t="shared" ref="T29:T70" si="23">((O29-H29)/H29)</f>
        <v>8.4388185654008432E-3</v>
      </c>
      <c r="U29" s="54">
        <f t="shared" ref="U29:U70" si="24">P29-I29</f>
        <v>1.8699999999999273E-4</v>
      </c>
      <c r="V29" s="55">
        <f t="shared" ref="V29:V70" si="25">Q29-J29</f>
        <v>1.8699999999999273E-4</v>
      </c>
    </row>
    <row r="30" spans="1:22">
      <c r="A30" s="164">
        <v>22</v>
      </c>
      <c r="B30" s="162" t="s">
        <v>56</v>
      </c>
      <c r="C30" s="163" t="s">
        <v>19</v>
      </c>
      <c r="D30" s="41">
        <v>2391612274.7800002</v>
      </c>
      <c r="E30" s="27">
        <f t="shared" si="19"/>
        <v>6.1224718519793696E-4</v>
      </c>
      <c r="F30" s="28">
        <v>100</v>
      </c>
      <c r="G30" s="28">
        <v>100</v>
      </c>
      <c r="H30" s="29">
        <v>2171</v>
      </c>
      <c r="I30" s="47">
        <v>0.20519999999999999</v>
      </c>
      <c r="J30" s="47">
        <v>0.20519999999999999</v>
      </c>
      <c r="K30" s="41">
        <v>2429065269.7600002</v>
      </c>
      <c r="L30" s="27">
        <f t="shared" si="20"/>
        <v>6.2183506488710887E-4</v>
      </c>
      <c r="M30" s="28">
        <v>100</v>
      </c>
      <c r="N30" s="28">
        <v>100</v>
      </c>
      <c r="O30" s="29">
        <v>2180</v>
      </c>
      <c r="P30" s="47">
        <v>0.2026</v>
      </c>
      <c r="Q30" s="47">
        <v>0.2026</v>
      </c>
      <c r="R30" s="53">
        <f t="shared" si="21"/>
        <v>1.5660144988779691E-2</v>
      </c>
      <c r="S30" s="53">
        <f t="shared" si="22"/>
        <v>0</v>
      </c>
      <c r="T30" s="53">
        <f t="shared" si="23"/>
        <v>4.1455550437586369E-3</v>
      </c>
      <c r="U30" s="54">
        <f t="shared" si="24"/>
        <v>-2.5999999999999912E-3</v>
      </c>
      <c r="V30" s="55">
        <f t="shared" si="25"/>
        <v>-2.5999999999999912E-3</v>
      </c>
    </row>
    <row r="31" spans="1:22">
      <c r="A31" s="165">
        <v>23</v>
      </c>
      <c r="B31" s="162" t="s">
        <v>57</v>
      </c>
      <c r="C31" s="163" t="s">
        <v>21</v>
      </c>
      <c r="D31" s="41">
        <v>258100189820.98999</v>
      </c>
      <c r="E31" s="27">
        <f t="shared" si="19"/>
        <v>6.607304887306216E-2</v>
      </c>
      <c r="F31" s="28">
        <v>1</v>
      </c>
      <c r="G31" s="28">
        <v>1</v>
      </c>
      <c r="H31" s="29">
        <v>74197</v>
      </c>
      <c r="I31" s="47">
        <v>0.2084</v>
      </c>
      <c r="J31" s="47">
        <v>0.2084</v>
      </c>
      <c r="K31" s="41">
        <v>262531749043.01999</v>
      </c>
      <c r="L31" s="27">
        <f t="shared" si="20"/>
        <v>6.7207517736739247E-2</v>
      </c>
      <c r="M31" s="28">
        <v>1</v>
      </c>
      <c r="N31" s="28">
        <v>1</v>
      </c>
      <c r="O31" s="29">
        <v>74447</v>
      </c>
      <c r="P31" s="47">
        <v>0.2064</v>
      </c>
      <c r="Q31" s="47">
        <v>0.2064</v>
      </c>
      <c r="R31" s="53">
        <f t="shared" si="21"/>
        <v>1.7169918492131238E-2</v>
      </c>
      <c r="S31" s="53">
        <f t="shared" si="22"/>
        <v>0</v>
      </c>
      <c r="T31" s="53">
        <f t="shared" si="23"/>
        <v>3.3694084666495948E-3</v>
      </c>
      <c r="U31" s="54">
        <f t="shared" si="24"/>
        <v>-2.0000000000000018E-3</v>
      </c>
      <c r="V31" s="55">
        <f t="shared" si="25"/>
        <v>-2.0000000000000018E-3</v>
      </c>
    </row>
    <row r="32" spans="1:22">
      <c r="A32" s="165">
        <v>24</v>
      </c>
      <c r="B32" s="162" t="s">
        <v>299</v>
      </c>
      <c r="C32" s="163" t="s">
        <v>113</v>
      </c>
      <c r="D32" s="41">
        <v>1287389020.4000001</v>
      </c>
      <c r="E32" s="27">
        <f t="shared" si="19"/>
        <v>3.2956859784771526E-4</v>
      </c>
      <c r="F32" s="28">
        <v>1</v>
      </c>
      <c r="G32" s="28">
        <v>1</v>
      </c>
      <c r="H32" s="29">
        <v>300</v>
      </c>
      <c r="I32" s="47">
        <v>0.19</v>
      </c>
      <c r="J32" s="47">
        <v>0.19</v>
      </c>
      <c r="K32" s="41">
        <v>1320461410.5699999</v>
      </c>
      <c r="L32" s="27">
        <f t="shared" si="20"/>
        <v>3.380350528842922E-4</v>
      </c>
      <c r="M32" s="28">
        <v>1</v>
      </c>
      <c r="N32" s="28">
        <v>1</v>
      </c>
      <c r="O32" s="29">
        <v>300</v>
      </c>
      <c r="P32" s="47">
        <v>0.19900000000000001</v>
      </c>
      <c r="Q32" s="47">
        <v>0.19900000000000001</v>
      </c>
      <c r="R32" s="53">
        <f t="shared" si="21"/>
        <v>2.5689507713623373E-2</v>
      </c>
      <c r="S32" s="53">
        <f t="shared" si="22"/>
        <v>0</v>
      </c>
      <c r="T32" s="53">
        <f t="shared" si="23"/>
        <v>0</v>
      </c>
      <c r="U32" s="54">
        <f t="shared" si="24"/>
        <v>9.000000000000008E-3</v>
      </c>
      <c r="V32" s="55">
        <f t="shared" si="25"/>
        <v>9.000000000000008E-3</v>
      </c>
    </row>
    <row r="33" spans="1:22">
      <c r="A33" s="165">
        <v>25</v>
      </c>
      <c r="B33" s="162" t="s">
        <v>58</v>
      </c>
      <c r="C33" s="163" t="s">
        <v>23</v>
      </c>
      <c r="D33" s="41">
        <v>151618548158.06</v>
      </c>
      <c r="E33" s="27">
        <f t="shared" si="19"/>
        <v>3.8813996027892587E-2</v>
      </c>
      <c r="F33" s="28">
        <v>1</v>
      </c>
      <c r="G33" s="28">
        <v>1</v>
      </c>
      <c r="H33" s="29">
        <v>35616</v>
      </c>
      <c r="I33" s="47">
        <v>0.19650000000000001</v>
      </c>
      <c r="J33" s="47">
        <v>0.19650000000000001</v>
      </c>
      <c r="K33" s="41">
        <v>155105797777.35999</v>
      </c>
      <c r="L33" s="27">
        <f t="shared" si="20"/>
        <v>3.9706723827466782E-2</v>
      </c>
      <c r="M33" s="28">
        <v>1</v>
      </c>
      <c r="N33" s="28">
        <v>1</v>
      </c>
      <c r="O33" s="29">
        <v>35677</v>
      </c>
      <c r="P33" s="47">
        <v>0.19350000000000001</v>
      </c>
      <c r="Q33" s="47">
        <v>0.20050000000000001</v>
      </c>
      <c r="R33" s="53">
        <f t="shared" si="21"/>
        <v>2.3000151773413528E-2</v>
      </c>
      <c r="S33" s="53">
        <f t="shared" si="22"/>
        <v>0</v>
      </c>
      <c r="T33" s="53">
        <f t="shared" si="23"/>
        <v>1.7127133872416891E-3</v>
      </c>
      <c r="U33" s="54">
        <f t="shared" si="24"/>
        <v>-3.0000000000000027E-3</v>
      </c>
      <c r="V33" s="55">
        <f t="shared" si="25"/>
        <v>4.0000000000000036E-3</v>
      </c>
    </row>
    <row r="34" spans="1:22">
      <c r="A34" s="165">
        <v>26</v>
      </c>
      <c r="B34" s="162" t="s">
        <v>284</v>
      </c>
      <c r="C34" s="163" t="s">
        <v>25</v>
      </c>
      <c r="D34" s="30">
        <v>11888732004.360001</v>
      </c>
      <c r="E34" s="27">
        <f t="shared" ref="E34" si="26">(D34/$D$25)</f>
        <v>0.1719727865005253</v>
      </c>
      <c r="F34" s="30">
        <v>1</v>
      </c>
      <c r="G34" s="30">
        <v>1</v>
      </c>
      <c r="H34" s="29">
        <v>1114</v>
      </c>
      <c r="I34" s="47">
        <v>0.20150000000000001</v>
      </c>
      <c r="J34" s="47">
        <v>0.20150000000000001</v>
      </c>
      <c r="K34" s="30">
        <v>12190475248.360001</v>
      </c>
      <c r="L34" s="27">
        <f t="shared" ref="L34" si="27">(K34/$K$25)</f>
        <v>0.18191263846127567</v>
      </c>
      <c r="M34" s="30">
        <v>1</v>
      </c>
      <c r="N34" s="30">
        <v>1</v>
      </c>
      <c r="O34" s="29">
        <v>1142</v>
      </c>
      <c r="P34" s="47">
        <v>0.20180000000000001</v>
      </c>
      <c r="Q34" s="47">
        <v>0.20180000000000001</v>
      </c>
      <c r="R34" s="53">
        <f t="shared" si="21"/>
        <v>2.5380607779647194E-2</v>
      </c>
      <c r="S34" s="53">
        <f t="shared" si="22"/>
        <v>0</v>
      </c>
      <c r="T34" s="53">
        <f t="shared" si="23"/>
        <v>2.5134649910233394E-2</v>
      </c>
      <c r="U34" s="54">
        <f t="shared" si="24"/>
        <v>2.9999999999999472E-4</v>
      </c>
      <c r="V34" s="55">
        <f t="shared" si="25"/>
        <v>2.9999999999999472E-4</v>
      </c>
    </row>
    <row r="35" spans="1:22" ht="15" customHeight="1">
      <c r="A35" s="165">
        <v>27</v>
      </c>
      <c r="B35" s="162" t="s">
        <v>59</v>
      </c>
      <c r="C35" s="163" t="s">
        <v>45</v>
      </c>
      <c r="D35" s="41">
        <v>34697747139.949997</v>
      </c>
      <c r="E35" s="27">
        <f t="shared" ref="E35:E48" si="28">(D35/$K$70)</f>
        <v>8.8825426442077898E-3</v>
      </c>
      <c r="F35" s="28">
        <v>100</v>
      </c>
      <c r="G35" s="28">
        <v>100</v>
      </c>
      <c r="H35" s="29">
        <v>2083</v>
      </c>
      <c r="I35" s="47">
        <v>0.2011</v>
      </c>
      <c r="J35" s="47">
        <v>0.2011</v>
      </c>
      <c r="K35" s="41">
        <v>35016509315.389999</v>
      </c>
      <c r="L35" s="27">
        <f t="shared" ref="L35:L48" si="29">(K35/$K$70)</f>
        <v>8.9641450204452442E-3</v>
      </c>
      <c r="M35" s="28">
        <v>100</v>
      </c>
      <c r="N35" s="28">
        <v>100</v>
      </c>
      <c r="O35" s="29">
        <v>2083</v>
      </c>
      <c r="P35" s="47">
        <v>0.21079999999999999</v>
      </c>
      <c r="Q35" s="47">
        <v>0.21079999999999999</v>
      </c>
      <c r="R35" s="53">
        <f t="shared" si="21"/>
        <v>9.186826284551159E-3</v>
      </c>
      <c r="S35" s="53">
        <f t="shared" si="22"/>
        <v>0</v>
      </c>
      <c r="T35" s="53">
        <f t="shared" si="23"/>
        <v>0</v>
      </c>
      <c r="U35" s="54">
        <f t="shared" si="24"/>
        <v>9.6999999999999864E-3</v>
      </c>
      <c r="V35" s="55">
        <f t="shared" si="25"/>
        <v>9.6999999999999864E-3</v>
      </c>
    </row>
    <row r="36" spans="1:22" ht="15" customHeight="1">
      <c r="A36" s="165">
        <v>28</v>
      </c>
      <c r="B36" s="162" t="s">
        <v>60</v>
      </c>
      <c r="C36" s="163" t="s">
        <v>61</v>
      </c>
      <c r="D36" s="41">
        <v>1323494652.4400001</v>
      </c>
      <c r="E36" s="27">
        <f t="shared" si="28"/>
        <v>3.388115557549772E-4</v>
      </c>
      <c r="F36" s="28">
        <v>1</v>
      </c>
      <c r="G36" s="28">
        <v>1</v>
      </c>
      <c r="H36" s="29">
        <v>529</v>
      </c>
      <c r="I36" s="47">
        <v>0.19900000000000001</v>
      </c>
      <c r="J36" s="47">
        <v>0.19900000000000001</v>
      </c>
      <c r="K36" s="41">
        <v>1459848551.6099999</v>
      </c>
      <c r="L36" s="27">
        <f t="shared" si="29"/>
        <v>3.7371783711083581E-4</v>
      </c>
      <c r="M36" s="28">
        <v>1</v>
      </c>
      <c r="N36" s="28">
        <v>1</v>
      </c>
      <c r="O36" s="29">
        <v>533</v>
      </c>
      <c r="P36" s="47">
        <v>0.19900000000000001</v>
      </c>
      <c r="Q36" s="47">
        <v>0.19900000000000001</v>
      </c>
      <c r="R36" s="53">
        <f t="shared" si="21"/>
        <v>0.10302565176112895</v>
      </c>
      <c r="S36" s="53">
        <f t="shared" si="22"/>
        <v>0</v>
      </c>
      <c r="T36" s="53">
        <f t="shared" si="23"/>
        <v>7.5614366729678641E-3</v>
      </c>
      <c r="U36" s="54">
        <f t="shared" si="24"/>
        <v>0</v>
      </c>
      <c r="V36" s="55">
        <f t="shared" si="25"/>
        <v>0</v>
      </c>
    </row>
    <row r="37" spans="1:22">
      <c r="A37" s="165">
        <v>29</v>
      </c>
      <c r="B37" s="162" t="s">
        <v>62</v>
      </c>
      <c r="C37" s="163" t="s">
        <v>63</v>
      </c>
      <c r="D37" s="41">
        <v>69040050959.779999</v>
      </c>
      <c r="E37" s="27">
        <f t="shared" si="28"/>
        <v>1.7674092624372285E-2</v>
      </c>
      <c r="F37" s="28">
        <v>100</v>
      </c>
      <c r="G37" s="28">
        <v>100</v>
      </c>
      <c r="H37" s="29">
        <v>5066</v>
      </c>
      <c r="I37" s="47">
        <v>0.20150000000000001</v>
      </c>
      <c r="J37" s="47">
        <v>0.20150000000000001</v>
      </c>
      <c r="K37" s="41">
        <v>70084611631.210007</v>
      </c>
      <c r="L37" s="27">
        <f t="shared" si="29"/>
        <v>1.7941497729119175E-2</v>
      </c>
      <c r="M37" s="28">
        <v>100</v>
      </c>
      <c r="N37" s="28">
        <v>100</v>
      </c>
      <c r="O37" s="29">
        <v>5087</v>
      </c>
      <c r="P37" s="47">
        <v>0.20100000000000001</v>
      </c>
      <c r="Q37" s="47">
        <v>0.20100000000000001</v>
      </c>
      <c r="R37" s="53">
        <f t="shared" si="21"/>
        <v>1.5129778395420474E-2</v>
      </c>
      <c r="S37" s="53">
        <f t="shared" si="22"/>
        <v>0</v>
      </c>
      <c r="T37" s="53">
        <f t="shared" si="23"/>
        <v>4.1452822739834186E-3</v>
      </c>
      <c r="U37" s="54">
        <f t="shared" si="24"/>
        <v>-5.0000000000000044E-4</v>
      </c>
      <c r="V37" s="55">
        <f t="shared" si="25"/>
        <v>-5.0000000000000044E-4</v>
      </c>
    </row>
    <row r="38" spans="1:22">
      <c r="A38" s="165">
        <v>30</v>
      </c>
      <c r="B38" s="162" t="s">
        <v>64</v>
      </c>
      <c r="C38" s="163" t="s">
        <v>65</v>
      </c>
      <c r="D38" s="41">
        <v>26491832638</v>
      </c>
      <c r="E38" s="27">
        <f t="shared" si="28"/>
        <v>6.7818475989559557E-3</v>
      </c>
      <c r="F38" s="28">
        <v>100</v>
      </c>
      <c r="G38" s="28">
        <v>100</v>
      </c>
      <c r="H38" s="29">
        <v>5250</v>
      </c>
      <c r="I38" s="47">
        <v>0.2001</v>
      </c>
      <c r="J38" s="47">
        <v>0.2001</v>
      </c>
      <c r="K38" s="41">
        <v>27129368044.860001</v>
      </c>
      <c r="L38" s="27">
        <f t="shared" si="29"/>
        <v>6.9450551817360545E-3</v>
      </c>
      <c r="M38" s="28">
        <v>100</v>
      </c>
      <c r="N38" s="28">
        <v>100</v>
      </c>
      <c r="O38" s="29">
        <v>5254</v>
      </c>
      <c r="P38" s="47">
        <v>0.19839999999999999</v>
      </c>
      <c r="Q38" s="47">
        <v>0.19839999999999999</v>
      </c>
      <c r="R38" s="53">
        <f t="shared" si="21"/>
        <v>2.4065356880803974E-2</v>
      </c>
      <c r="S38" s="53">
        <f t="shared" si="22"/>
        <v>0</v>
      </c>
      <c r="T38" s="53">
        <f t="shared" si="23"/>
        <v>7.6190476190476193E-4</v>
      </c>
      <c r="U38" s="54">
        <f t="shared" si="24"/>
        <v>-1.7000000000000071E-3</v>
      </c>
      <c r="V38" s="55">
        <f t="shared" si="25"/>
        <v>-1.7000000000000071E-3</v>
      </c>
    </row>
    <row r="39" spans="1:22">
      <c r="A39" s="165">
        <v>31</v>
      </c>
      <c r="B39" s="162" t="s">
        <v>66</v>
      </c>
      <c r="C39" s="163" t="s">
        <v>294</v>
      </c>
      <c r="D39" s="41">
        <v>39369374227.269997</v>
      </c>
      <c r="E39" s="27">
        <f t="shared" si="28"/>
        <v>1.0078468323577875E-2</v>
      </c>
      <c r="F39" s="28">
        <v>1</v>
      </c>
      <c r="G39" s="28">
        <v>1</v>
      </c>
      <c r="H39" s="29">
        <v>9998</v>
      </c>
      <c r="I39" s="47">
        <v>0.2109</v>
      </c>
      <c r="J39" s="47">
        <v>0.2109</v>
      </c>
      <c r="K39" s="41">
        <v>40349581400.139999</v>
      </c>
      <c r="L39" s="27">
        <f t="shared" si="29"/>
        <v>1.032939908222507E-2</v>
      </c>
      <c r="M39" s="28">
        <v>1</v>
      </c>
      <c r="N39" s="28">
        <v>1</v>
      </c>
      <c r="O39" s="29">
        <v>10288</v>
      </c>
      <c r="P39" s="47">
        <v>0.21190000000000001</v>
      </c>
      <c r="Q39" s="47">
        <v>0.21190000000000001</v>
      </c>
      <c r="R39" s="53">
        <f t="shared" si="21"/>
        <v>2.4897707726099502E-2</v>
      </c>
      <c r="S39" s="53">
        <f t="shared" si="22"/>
        <v>0</v>
      </c>
      <c r="T39" s="53">
        <f t="shared" si="23"/>
        <v>2.9005801160232048E-2</v>
      </c>
      <c r="U39" s="54">
        <f t="shared" si="24"/>
        <v>1.0000000000000009E-3</v>
      </c>
      <c r="V39" s="55">
        <f t="shared" si="25"/>
        <v>1.0000000000000009E-3</v>
      </c>
    </row>
    <row r="40" spans="1:22">
      <c r="A40" s="165">
        <v>32</v>
      </c>
      <c r="B40" s="162" t="s">
        <v>319</v>
      </c>
      <c r="C40" s="163" t="s">
        <v>94</v>
      </c>
      <c r="D40" s="41">
        <v>464676000</v>
      </c>
      <c r="E40" s="27">
        <v>0</v>
      </c>
      <c r="F40" s="28">
        <v>1000</v>
      </c>
      <c r="G40" s="28">
        <v>1000</v>
      </c>
      <c r="H40" s="29">
        <v>31</v>
      </c>
      <c r="I40" s="47">
        <v>0.1797</v>
      </c>
      <c r="J40" s="47">
        <v>0.1797</v>
      </c>
      <c r="K40" s="41">
        <v>586082778.65999997</v>
      </c>
      <c r="L40" s="27">
        <f t="shared" si="29"/>
        <v>1.5003582951612771E-4</v>
      </c>
      <c r="M40" s="28">
        <v>1000</v>
      </c>
      <c r="N40" s="28">
        <v>1000</v>
      </c>
      <c r="O40" s="29">
        <v>34</v>
      </c>
      <c r="P40" s="47">
        <v>0.19470000000000001</v>
      </c>
      <c r="Q40" s="47">
        <v>0.19470000000000001</v>
      </c>
      <c r="R40" s="53">
        <f t="shared" si="21"/>
        <v>0.26127189409394924</v>
      </c>
      <c r="S40" s="53">
        <f t="shared" si="22"/>
        <v>0</v>
      </c>
      <c r="T40" s="53">
        <f t="shared" si="23"/>
        <v>9.6774193548387094E-2</v>
      </c>
      <c r="U40" s="54">
        <f t="shared" si="24"/>
        <v>1.5000000000000013E-2</v>
      </c>
      <c r="V40" s="55">
        <f t="shared" si="25"/>
        <v>1.5000000000000013E-2</v>
      </c>
    </row>
    <row r="41" spans="1:22">
      <c r="A41" s="165">
        <v>33</v>
      </c>
      <c r="B41" s="162" t="s">
        <v>67</v>
      </c>
      <c r="C41" s="163" t="s">
        <v>68</v>
      </c>
      <c r="D41" s="41">
        <v>80752899010.610001</v>
      </c>
      <c r="E41" s="27">
        <f t="shared" si="28"/>
        <v>2.0672554509433262E-2</v>
      </c>
      <c r="F41" s="42">
        <v>100</v>
      </c>
      <c r="G41" s="42">
        <v>100</v>
      </c>
      <c r="H41" s="29">
        <v>4301</v>
      </c>
      <c r="I41" s="47">
        <v>0.19309999999999999</v>
      </c>
      <c r="J41" s="47">
        <v>0.19309999999999999</v>
      </c>
      <c r="K41" s="41">
        <v>81562997843.440002</v>
      </c>
      <c r="L41" s="27">
        <f t="shared" si="29"/>
        <v>2.0879937928293634E-2</v>
      </c>
      <c r="M41" s="42">
        <v>100</v>
      </c>
      <c r="N41" s="42">
        <v>100</v>
      </c>
      <c r="O41" s="29">
        <v>4301</v>
      </c>
      <c r="P41" s="47">
        <v>0.19289999999999999</v>
      </c>
      <c r="Q41" s="47">
        <v>0.19289999999999999</v>
      </c>
      <c r="R41" s="53">
        <f t="shared" si="21"/>
        <v>1.0031823535196726E-2</v>
      </c>
      <c r="S41" s="53">
        <f t="shared" si="22"/>
        <v>0</v>
      </c>
      <c r="T41" s="53">
        <f t="shared" si="23"/>
        <v>0</v>
      </c>
      <c r="U41" s="54">
        <f t="shared" si="24"/>
        <v>-2.0000000000000573E-4</v>
      </c>
      <c r="V41" s="55">
        <f t="shared" si="25"/>
        <v>-2.0000000000000573E-4</v>
      </c>
    </row>
    <row r="42" spans="1:22">
      <c r="A42" s="165">
        <v>34</v>
      </c>
      <c r="B42" s="162" t="s">
        <v>69</v>
      </c>
      <c r="C42" s="163" t="s">
        <v>68</v>
      </c>
      <c r="D42" s="41">
        <v>10010144035.860001</v>
      </c>
      <c r="E42" s="27">
        <f t="shared" si="28"/>
        <v>2.5625736136284747E-3</v>
      </c>
      <c r="F42" s="42">
        <v>1000000</v>
      </c>
      <c r="G42" s="42">
        <v>1000000</v>
      </c>
      <c r="H42" s="29">
        <v>45</v>
      </c>
      <c r="I42" s="47">
        <v>0.19739999999999999</v>
      </c>
      <c r="J42" s="47">
        <v>0.19739999999999999</v>
      </c>
      <c r="K42" s="41">
        <v>11357373954.549999</v>
      </c>
      <c r="L42" s="27">
        <f t="shared" si="29"/>
        <v>2.9074613423922318E-3</v>
      </c>
      <c r="M42" s="42">
        <v>1000000</v>
      </c>
      <c r="N42" s="42">
        <v>1000000</v>
      </c>
      <c r="O42" s="29">
        <v>45</v>
      </c>
      <c r="P42" s="47">
        <v>0.1825</v>
      </c>
      <c r="Q42" s="47">
        <v>0.1825</v>
      </c>
      <c r="R42" s="53">
        <f t="shared" si="21"/>
        <v>0.13458646687437542</v>
      </c>
      <c r="S42" s="53">
        <f t="shared" si="22"/>
        <v>0</v>
      </c>
      <c r="T42" s="53">
        <f t="shared" si="23"/>
        <v>0</v>
      </c>
      <c r="U42" s="54">
        <f t="shared" si="24"/>
        <v>-1.4899999999999997E-2</v>
      </c>
      <c r="V42" s="55">
        <f t="shared" si="25"/>
        <v>-1.4899999999999997E-2</v>
      </c>
    </row>
    <row r="43" spans="1:22">
      <c r="A43" s="165">
        <v>35</v>
      </c>
      <c r="B43" s="162" t="s">
        <v>70</v>
      </c>
      <c r="C43" s="163" t="s">
        <v>71</v>
      </c>
      <c r="D43" s="41">
        <v>6732201327.6899996</v>
      </c>
      <c r="E43" s="27">
        <f t="shared" si="28"/>
        <v>1.7234278969584106E-3</v>
      </c>
      <c r="F43" s="28">
        <v>1</v>
      </c>
      <c r="G43" s="28">
        <v>1</v>
      </c>
      <c r="H43" s="29">
        <v>973</v>
      </c>
      <c r="I43" s="47">
        <v>0.20530000000000001</v>
      </c>
      <c r="J43" s="47">
        <v>0.20530000000000001</v>
      </c>
      <c r="K43" s="41">
        <v>6789513051.8999996</v>
      </c>
      <c r="L43" s="27">
        <f t="shared" si="29"/>
        <v>1.7380995651867569E-3</v>
      </c>
      <c r="M43" s="28">
        <v>1</v>
      </c>
      <c r="N43" s="28">
        <v>1</v>
      </c>
      <c r="O43" s="29">
        <v>1020</v>
      </c>
      <c r="P43" s="47">
        <v>0.21129999999999999</v>
      </c>
      <c r="Q43" s="47">
        <v>0.21129999999999999</v>
      </c>
      <c r="R43" s="53">
        <f t="shared" si="21"/>
        <v>8.5130734243304695E-3</v>
      </c>
      <c r="S43" s="53">
        <f t="shared" si="22"/>
        <v>0</v>
      </c>
      <c r="T43" s="53">
        <f t="shared" si="23"/>
        <v>4.8304213771839674E-2</v>
      </c>
      <c r="U43" s="54">
        <f t="shared" si="24"/>
        <v>5.9999999999999776E-3</v>
      </c>
      <c r="V43" s="55">
        <f t="shared" si="25"/>
        <v>5.9999999999999776E-3</v>
      </c>
    </row>
    <row r="44" spans="1:22">
      <c r="A44" s="165">
        <v>36</v>
      </c>
      <c r="B44" s="162" t="s">
        <v>72</v>
      </c>
      <c r="C44" s="163" t="s">
        <v>315</v>
      </c>
      <c r="D44" s="41">
        <v>601926123928.58997</v>
      </c>
      <c r="E44" s="27">
        <f t="shared" si="28"/>
        <v>0.15409168909131973</v>
      </c>
      <c r="F44" s="28">
        <v>100</v>
      </c>
      <c r="G44" s="28">
        <v>100</v>
      </c>
      <c r="H44" s="29">
        <v>15543</v>
      </c>
      <c r="I44" s="47">
        <v>0.1993</v>
      </c>
      <c r="J44" s="47">
        <v>0.1993</v>
      </c>
      <c r="K44" s="41">
        <v>606701073461.57996</v>
      </c>
      <c r="L44" s="27">
        <f t="shared" si="29"/>
        <v>0.15531406507670151</v>
      </c>
      <c r="M44" s="28">
        <v>100</v>
      </c>
      <c r="N44" s="28">
        <v>100</v>
      </c>
      <c r="O44" s="29">
        <v>15583</v>
      </c>
      <c r="P44" s="47">
        <v>0.2</v>
      </c>
      <c r="Q44" s="47">
        <v>0.2</v>
      </c>
      <c r="R44" s="53">
        <f t="shared" si="21"/>
        <v>7.9327833486032093E-3</v>
      </c>
      <c r="S44" s="53">
        <f t="shared" si="22"/>
        <v>0</v>
      </c>
      <c r="T44" s="53">
        <f t="shared" si="23"/>
        <v>2.573505758219134E-3</v>
      </c>
      <c r="U44" s="54">
        <f t="shared" si="24"/>
        <v>7.0000000000000617E-4</v>
      </c>
      <c r="V44" s="55">
        <f t="shared" si="25"/>
        <v>7.0000000000000617E-4</v>
      </c>
    </row>
    <row r="45" spans="1:22">
      <c r="A45" s="165">
        <v>37</v>
      </c>
      <c r="B45" s="162" t="s">
        <v>73</v>
      </c>
      <c r="C45" s="163" t="s">
        <v>74</v>
      </c>
      <c r="D45" s="41">
        <v>2800137819.79</v>
      </c>
      <c r="E45" s="27">
        <f t="shared" si="28"/>
        <v>7.1682877547131572E-4</v>
      </c>
      <c r="F45" s="28">
        <v>1</v>
      </c>
      <c r="G45" s="28">
        <v>1</v>
      </c>
      <c r="H45" s="43">
        <v>1520</v>
      </c>
      <c r="I45" s="50">
        <v>0.2044</v>
      </c>
      <c r="J45" s="50">
        <v>0.2044</v>
      </c>
      <c r="K45" s="41">
        <v>2910774460.6100001</v>
      </c>
      <c r="L45" s="27">
        <f t="shared" si="29"/>
        <v>7.4515149844614709E-4</v>
      </c>
      <c r="M45" s="28">
        <v>1</v>
      </c>
      <c r="N45" s="28">
        <v>1</v>
      </c>
      <c r="O45" s="43">
        <v>1529</v>
      </c>
      <c r="P45" s="50">
        <v>0.20419999999999999</v>
      </c>
      <c r="Q45" s="50">
        <v>0.20419999999999999</v>
      </c>
      <c r="R45" s="53">
        <f t="shared" si="21"/>
        <v>3.9511141215291153E-2</v>
      </c>
      <c r="S45" s="53">
        <f t="shared" si="22"/>
        <v>0</v>
      </c>
      <c r="T45" s="53">
        <f t="shared" si="23"/>
        <v>5.9210526315789476E-3</v>
      </c>
      <c r="U45" s="54">
        <f t="shared" si="24"/>
        <v>-2.0000000000000573E-4</v>
      </c>
      <c r="V45" s="55">
        <f t="shared" si="25"/>
        <v>-2.0000000000000573E-4</v>
      </c>
    </row>
    <row r="46" spans="1:22">
      <c r="A46" s="165">
        <v>38</v>
      </c>
      <c r="B46" s="162" t="s">
        <v>296</v>
      </c>
      <c r="C46" s="163" t="s">
        <v>297</v>
      </c>
      <c r="D46" s="41">
        <v>2009657499.5899999</v>
      </c>
      <c r="E46" s="27">
        <f t="shared" si="28"/>
        <v>5.1446765025868761E-4</v>
      </c>
      <c r="F46" s="28">
        <v>1</v>
      </c>
      <c r="G46" s="28">
        <v>1</v>
      </c>
      <c r="H46" s="43">
        <v>351</v>
      </c>
      <c r="I46" s="50">
        <v>0.1908</v>
      </c>
      <c r="J46" s="50">
        <v>0.1908</v>
      </c>
      <c r="K46" s="41">
        <v>2043792021.1600001</v>
      </c>
      <c r="L46" s="27">
        <f t="shared" si="29"/>
        <v>5.232060084656981E-4</v>
      </c>
      <c r="M46" s="28">
        <v>1</v>
      </c>
      <c r="N46" s="28">
        <v>1</v>
      </c>
      <c r="O46" s="43">
        <v>365</v>
      </c>
      <c r="P46" s="50">
        <v>0.1913</v>
      </c>
      <c r="Q46" s="50">
        <v>0.1913</v>
      </c>
      <c r="R46" s="53">
        <f t="shared" si="21"/>
        <v>1.6985243294921709E-2</v>
      </c>
      <c r="S46" s="53">
        <f t="shared" si="22"/>
        <v>0</v>
      </c>
      <c r="T46" s="53">
        <f t="shared" si="23"/>
        <v>3.9886039886039885E-2</v>
      </c>
      <c r="U46" s="54">
        <f t="shared" si="24"/>
        <v>5.0000000000000044E-4</v>
      </c>
      <c r="V46" s="55">
        <f t="shared" si="25"/>
        <v>5.0000000000000044E-4</v>
      </c>
    </row>
    <row r="47" spans="1:22">
      <c r="A47" s="165">
        <v>39</v>
      </c>
      <c r="B47" s="162" t="s">
        <v>75</v>
      </c>
      <c r="C47" s="163" t="s">
        <v>76</v>
      </c>
      <c r="D47" s="41">
        <v>1225326759.49</v>
      </c>
      <c r="E47" s="27">
        <f t="shared" si="28"/>
        <v>3.1368080326250696E-4</v>
      </c>
      <c r="F47" s="28">
        <v>10</v>
      </c>
      <c r="G47" s="28">
        <v>10</v>
      </c>
      <c r="H47" s="29">
        <v>485</v>
      </c>
      <c r="I47" s="47">
        <v>0.18029999999999999</v>
      </c>
      <c r="J47" s="47">
        <v>0.18029999999999999</v>
      </c>
      <c r="K47" s="41">
        <v>1192666486.3299999</v>
      </c>
      <c r="L47" s="27">
        <f t="shared" si="29"/>
        <v>3.0531984922289564E-4</v>
      </c>
      <c r="M47" s="28">
        <v>10</v>
      </c>
      <c r="N47" s="28">
        <v>10</v>
      </c>
      <c r="O47" s="29">
        <v>484</v>
      </c>
      <c r="P47" s="47">
        <v>0.1807</v>
      </c>
      <c r="Q47" s="47">
        <v>0.1807</v>
      </c>
      <c r="R47" s="53">
        <f t="shared" si="21"/>
        <v>-2.6654337634472128E-2</v>
      </c>
      <c r="S47" s="53">
        <f t="shared" si="22"/>
        <v>0</v>
      </c>
      <c r="T47" s="53">
        <f t="shared" si="23"/>
        <v>-2.0618556701030928E-3</v>
      </c>
      <c r="U47" s="54">
        <f t="shared" si="24"/>
        <v>4.0000000000001146E-4</v>
      </c>
      <c r="V47" s="55">
        <f t="shared" si="25"/>
        <v>4.0000000000001146E-4</v>
      </c>
    </row>
    <row r="48" spans="1:22">
      <c r="A48" s="165">
        <v>40</v>
      </c>
      <c r="B48" s="162" t="s">
        <v>77</v>
      </c>
      <c r="C48" s="163" t="s">
        <v>78</v>
      </c>
      <c r="D48" s="41">
        <v>8384329241.7200003</v>
      </c>
      <c r="E48" s="27">
        <f t="shared" si="28"/>
        <v>2.1463688040688047E-3</v>
      </c>
      <c r="F48" s="28">
        <v>100</v>
      </c>
      <c r="G48" s="28">
        <v>100</v>
      </c>
      <c r="H48" s="29">
        <v>965</v>
      </c>
      <c r="I48" s="47">
        <v>0.18210000000000001</v>
      </c>
      <c r="J48" s="47">
        <v>0.18210000000000001</v>
      </c>
      <c r="K48" s="41">
        <v>8462156887.6999998</v>
      </c>
      <c r="L48" s="27">
        <f t="shared" si="29"/>
        <v>2.1662925005995143E-3</v>
      </c>
      <c r="M48" s="28">
        <v>100</v>
      </c>
      <c r="N48" s="28">
        <v>100</v>
      </c>
      <c r="O48" s="29">
        <v>964</v>
      </c>
      <c r="P48" s="47">
        <v>0.18959999999999999</v>
      </c>
      <c r="Q48" s="47">
        <v>0.18959999999999999</v>
      </c>
      <c r="R48" s="53">
        <f t="shared" si="21"/>
        <v>9.282513095112379E-3</v>
      </c>
      <c r="S48" s="53">
        <f t="shared" si="22"/>
        <v>0</v>
      </c>
      <c r="T48" s="53">
        <f t="shared" si="23"/>
        <v>-1.0362694300518134E-3</v>
      </c>
      <c r="U48" s="54">
        <f t="shared" si="24"/>
        <v>7.4999999999999789E-3</v>
      </c>
      <c r="V48" s="55">
        <f t="shared" si="25"/>
        <v>7.4999999999999789E-3</v>
      </c>
    </row>
    <row r="49" spans="1:22">
      <c r="A49" s="165">
        <v>41</v>
      </c>
      <c r="B49" s="162" t="s">
        <v>79</v>
      </c>
      <c r="C49" s="162" t="s">
        <v>80</v>
      </c>
      <c r="D49" s="128">
        <v>118227629.434331</v>
      </c>
      <c r="E49" s="27">
        <f>(D49/$D$194)</f>
        <v>1.5526054760660296E-3</v>
      </c>
      <c r="F49" s="30">
        <v>1</v>
      </c>
      <c r="G49" s="30">
        <v>1</v>
      </c>
      <c r="H49" s="29">
        <v>131</v>
      </c>
      <c r="I49" s="47">
        <v>0.1744</v>
      </c>
      <c r="J49" s="47">
        <v>0.1744</v>
      </c>
      <c r="K49" s="128">
        <v>118791993.10598899</v>
      </c>
      <c r="L49" s="51">
        <f>(K49/$K$194)</f>
        <v>1.495952596467356E-3</v>
      </c>
      <c r="M49" s="30">
        <v>1</v>
      </c>
      <c r="N49" s="30">
        <v>1</v>
      </c>
      <c r="O49" s="29">
        <v>136</v>
      </c>
      <c r="P49" s="47">
        <v>0.17469999999999999</v>
      </c>
      <c r="Q49" s="47">
        <v>0.17469999999999999</v>
      </c>
      <c r="R49" s="54">
        <f t="shared" si="21"/>
        <v>4.7735345312955599E-3</v>
      </c>
      <c r="S49" s="54">
        <f t="shared" si="22"/>
        <v>0</v>
      </c>
      <c r="T49" s="54">
        <f t="shared" si="23"/>
        <v>3.8167938931297711E-2</v>
      </c>
      <c r="U49" s="54">
        <f t="shared" si="24"/>
        <v>2.9999999999999472E-4</v>
      </c>
      <c r="V49" s="55">
        <f t="shared" si="25"/>
        <v>2.9999999999999472E-4</v>
      </c>
    </row>
    <row r="50" spans="1:22">
      <c r="A50" s="165">
        <v>42</v>
      </c>
      <c r="B50" s="162" t="s">
        <v>283</v>
      </c>
      <c r="C50" s="163" t="s">
        <v>35</v>
      </c>
      <c r="D50" s="41">
        <v>613991220.47000003</v>
      </c>
      <c r="E50" s="27">
        <f t="shared" ref="E50" si="30">(D50/$K$70)</f>
        <v>1.5718032577148529E-4</v>
      </c>
      <c r="F50" s="28">
        <v>100</v>
      </c>
      <c r="G50" s="28">
        <v>100</v>
      </c>
      <c r="H50" s="29">
        <v>4105</v>
      </c>
      <c r="I50" s="47">
        <v>0.19089999999999999</v>
      </c>
      <c r="J50" s="47">
        <v>0.19089999999999999</v>
      </c>
      <c r="K50" s="41">
        <v>624484859.08000004</v>
      </c>
      <c r="L50" s="27">
        <f t="shared" ref="L50" si="31">(K50/$K$70)</f>
        <v>1.5986667287264653E-4</v>
      </c>
      <c r="M50" s="28">
        <v>100</v>
      </c>
      <c r="N50" s="28">
        <v>100</v>
      </c>
      <c r="O50" s="29">
        <v>4134</v>
      </c>
      <c r="P50" s="47">
        <v>0.19139999999999999</v>
      </c>
      <c r="Q50" s="47">
        <v>0.19139999999999999</v>
      </c>
      <c r="R50" s="53">
        <f t="shared" ref="R50" si="32">((K50-D50)/D50)</f>
        <v>1.7090861009327316E-2</v>
      </c>
      <c r="S50" s="53">
        <f t="shared" ref="S50" si="33">((N50-G50)/G50)</f>
        <v>0</v>
      </c>
      <c r="T50" s="53">
        <f t="shared" ref="T50" si="34">((O50-H50)/H50)</f>
        <v>7.064555420219245E-3</v>
      </c>
      <c r="U50" s="54">
        <f t="shared" ref="U50" si="35">P50-I50</f>
        <v>5.0000000000000044E-4</v>
      </c>
      <c r="V50" s="55">
        <f t="shared" ref="V50" si="36">Q50-J50</f>
        <v>5.0000000000000044E-4</v>
      </c>
    </row>
    <row r="51" spans="1:22">
      <c r="A51" s="165">
        <v>43</v>
      </c>
      <c r="B51" s="162" t="s">
        <v>81</v>
      </c>
      <c r="C51" s="163" t="s">
        <v>35</v>
      </c>
      <c r="D51" s="41">
        <v>154016093020.79001</v>
      </c>
      <c r="E51" s="27">
        <f t="shared" ref="E51:E69" si="37">(D51/$K$70)</f>
        <v>3.9427761941820773E-2</v>
      </c>
      <c r="F51" s="28">
        <v>100</v>
      </c>
      <c r="G51" s="28">
        <v>100</v>
      </c>
      <c r="H51" s="29">
        <v>16757</v>
      </c>
      <c r="I51" s="47">
        <v>0.20319999999999999</v>
      </c>
      <c r="J51" s="47">
        <v>0.20319999999999999</v>
      </c>
      <c r="K51" s="41">
        <v>159818562407.64001</v>
      </c>
      <c r="L51" s="27">
        <f t="shared" ref="L51:L69" si="38">(K51/$K$70)</f>
        <v>4.0913180622247518E-2</v>
      </c>
      <c r="M51" s="28">
        <v>100</v>
      </c>
      <c r="N51" s="28">
        <v>100</v>
      </c>
      <c r="O51" s="29">
        <v>17180</v>
      </c>
      <c r="P51" s="47">
        <v>0.2036</v>
      </c>
      <c r="Q51" s="47">
        <v>0.2036</v>
      </c>
      <c r="R51" s="53">
        <f t="shared" si="21"/>
        <v>3.7674435658270819E-2</v>
      </c>
      <c r="S51" s="53">
        <f t="shared" si="22"/>
        <v>0</v>
      </c>
      <c r="T51" s="53">
        <f t="shared" si="23"/>
        <v>2.5243181953810347E-2</v>
      </c>
      <c r="U51" s="54">
        <f t="shared" si="24"/>
        <v>4.0000000000001146E-4</v>
      </c>
      <c r="V51" s="55">
        <f t="shared" si="25"/>
        <v>4.0000000000001146E-4</v>
      </c>
    </row>
    <row r="52" spans="1:22">
      <c r="A52" s="165">
        <v>44</v>
      </c>
      <c r="B52" s="162" t="s">
        <v>82</v>
      </c>
      <c r="C52" s="163" t="s">
        <v>39</v>
      </c>
      <c r="D52" s="41">
        <v>32424169161.720001</v>
      </c>
      <c r="E52" s="27">
        <f t="shared" si="37"/>
        <v>8.3005119646623864E-3</v>
      </c>
      <c r="F52" s="28">
        <v>1</v>
      </c>
      <c r="G52" s="28">
        <v>1</v>
      </c>
      <c r="H52" s="29">
        <v>2253</v>
      </c>
      <c r="I52" s="47">
        <v>0.19359999999999999</v>
      </c>
      <c r="J52" s="47">
        <v>0.19359999999999999</v>
      </c>
      <c r="K52" s="41">
        <v>32328433693.950001</v>
      </c>
      <c r="L52" s="27">
        <f t="shared" si="38"/>
        <v>8.2760039073640178E-3</v>
      </c>
      <c r="M52" s="28">
        <v>1</v>
      </c>
      <c r="N52" s="28">
        <v>1</v>
      </c>
      <c r="O52" s="29">
        <v>2280</v>
      </c>
      <c r="P52" s="47">
        <v>0.1976</v>
      </c>
      <c r="Q52" s="47">
        <v>0.1976</v>
      </c>
      <c r="R52" s="53">
        <f t="shared" si="21"/>
        <v>-2.9525958642920547E-3</v>
      </c>
      <c r="S52" s="53">
        <f t="shared" si="22"/>
        <v>0</v>
      </c>
      <c r="T52" s="53">
        <f t="shared" si="23"/>
        <v>1.1984021304926764E-2</v>
      </c>
      <c r="U52" s="54">
        <f t="shared" si="24"/>
        <v>4.0000000000000036E-3</v>
      </c>
      <c r="V52" s="55">
        <f t="shared" si="25"/>
        <v>4.0000000000000036E-3</v>
      </c>
    </row>
    <row r="53" spans="1:22">
      <c r="A53" s="165">
        <v>45</v>
      </c>
      <c r="B53" s="162" t="s">
        <v>307</v>
      </c>
      <c r="C53" s="163" t="s">
        <v>306</v>
      </c>
      <c r="D53" s="41">
        <v>4254209768.1349101</v>
      </c>
      <c r="E53" s="27">
        <f t="shared" si="37"/>
        <v>1.0890678155687928E-3</v>
      </c>
      <c r="F53" s="28">
        <v>100</v>
      </c>
      <c r="G53" s="28">
        <v>100</v>
      </c>
      <c r="H53" s="29">
        <v>212</v>
      </c>
      <c r="I53" s="47">
        <v>0.20349999999999999</v>
      </c>
      <c r="J53" s="47">
        <v>0.20349999999999999</v>
      </c>
      <c r="K53" s="41">
        <v>4275971845.8726001</v>
      </c>
      <c r="L53" s="27">
        <f t="shared" si="38"/>
        <v>1.0946388569033189E-3</v>
      </c>
      <c r="M53" s="28">
        <v>100</v>
      </c>
      <c r="N53" s="28">
        <v>100</v>
      </c>
      <c r="O53" s="29">
        <v>213</v>
      </c>
      <c r="P53" s="47">
        <v>0.20369999999999999</v>
      </c>
      <c r="Q53" s="47">
        <v>0.20369999999999999</v>
      </c>
      <c r="R53" s="53">
        <f t="shared" si="21"/>
        <v>5.1154218818012572E-3</v>
      </c>
      <c r="S53" s="53">
        <f t="shared" si="22"/>
        <v>0</v>
      </c>
      <c r="T53" s="53">
        <f t="shared" si="23"/>
        <v>4.7169811320754715E-3</v>
      </c>
      <c r="U53" s="54">
        <f t="shared" si="24"/>
        <v>2.0000000000000573E-4</v>
      </c>
      <c r="V53" s="55">
        <f t="shared" si="25"/>
        <v>2.0000000000000573E-4</v>
      </c>
    </row>
    <row r="54" spans="1:22">
      <c r="A54" s="165">
        <v>46</v>
      </c>
      <c r="B54" s="162" t="s">
        <v>83</v>
      </c>
      <c r="C54" s="163" t="s">
        <v>41</v>
      </c>
      <c r="D54" s="44">
        <v>61071892896.330002</v>
      </c>
      <c r="E54" s="27">
        <f t="shared" si="37"/>
        <v>1.5634262674926042E-2</v>
      </c>
      <c r="F54" s="28">
        <v>10</v>
      </c>
      <c r="G54" s="28">
        <v>10</v>
      </c>
      <c r="H54" s="29">
        <v>6648</v>
      </c>
      <c r="I54" s="47">
        <v>0.21940000000000001</v>
      </c>
      <c r="J54" s="47">
        <v>0.21940000000000001</v>
      </c>
      <c r="K54" s="44">
        <v>64283949746.720001</v>
      </c>
      <c r="L54" s="27">
        <f t="shared" si="38"/>
        <v>1.6456541765096679E-2</v>
      </c>
      <c r="M54" s="28">
        <v>10</v>
      </c>
      <c r="N54" s="28">
        <v>10</v>
      </c>
      <c r="O54" s="29">
        <v>6648</v>
      </c>
      <c r="P54" s="47">
        <v>0.21540000000000001</v>
      </c>
      <c r="Q54" s="47">
        <v>0.21540000000000001</v>
      </c>
      <c r="R54" s="53">
        <f t="shared" si="21"/>
        <v>5.2594683053994902E-2</v>
      </c>
      <c r="S54" s="53">
        <f t="shared" si="22"/>
        <v>0</v>
      </c>
      <c r="T54" s="53">
        <f t="shared" si="23"/>
        <v>0</v>
      </c>
      <c r="U54" s="54">
        <f t="shared" si="24"/>
        <v>-4.0000000000000036E-3</v>
      </c>
      <c r="V54" s="55">
        <f t="shared" si="25"/>
        <v>-4.0000000000000036E-3</v>
      </c>
    </row>
    <row r="55" spans="1:22">
      <c r="A55" s="165">
        <v>47</v>
      </c>
      <c r="B55" s="162" t="s">
        <v>84</v>
      </c>
      <c r="C55" s="163" t="s">
        <v>85</v>
      </c>
      <c r="D55" s="41">
        <v>27929930255</v>
      </c>
      <c r="E55" s="27">
        <f t="shared" si="37"/>
        <v>7.1499972473470621E-3</v>
      </c>
      <c r="F55" s="28">
        <v>100</v>
      </c>
      <c r="G55" s="28">
        <v>100</v>
      </c>
      <c r="H55" s="29">
        <v>4794</v>
      </c>
      <c r="I55" s="47">
        <v>0.2009</v>
      </c>
      <c r="J55" s="47">
        <v>0.2009</v>
      </c>
      <c r="K55" s="41">
        <v>28682256643</v>
      </c>
      <c r="L55" s="27">
        <f t="shared" si="38"/>
        <v>7.3425910545708946E-3</v>
      </c>
      <c r="M55" s="28">
        <v>100</v>
      </c>
      <c r="N55" s="28">
        <v>100</v>
      </c>
      <c r="O55" s="29">
        <v>4837</v>
      </c>
      <c r="P55" s="47">
        <v>0.2011</v>
      </c>
      <c r="Q55" s="47">
        <v>0.2011</v>
      </c>
      <c r="R55" s="53">
        <f t="shared" si="21"/>
        <v>2.6936207184596137E-2</v>
      </c>
      <c r="S55" s="53">
        <f t="shared" si="22"/>
        <v>0</v>
      </c>
      <c r="T55" s="53">
        <f t="shared" si="23"/>
        <v>8.9695452649144764E-3</v>
      </c>
      <c r="U55" s="54">
        <f t="shared" si="24"/>
        <v>2.0000000000000573E-4</v>
      </c>
      <c r="V55" s="55">
        <f t="shared" si="25"/>
        <v>2.0000000000000573E-4</v>
      </c>
    </row>
    <row r="56" spans="1:22">
      <c r="A56" s="165">
        <v>48</v>
      </c>
      <c r="B56" s="162" t="s">
        <v>86</v>
      </c>
      <c r="C56" s="163" t="s">
        <v>87</v>
      </c>
      <c r="D56" s="41">
        <v>249056780.03</v>
      </c>
      <c r="E56" s="27">
        <f t="shared" si="37"/>
        <v>6.3757956979818557E-5</v>
      </c>
      <c r="F56" s="28">
        <v>1</v>
      </c>
      <c r="G56" s="28">
        <v>1</v>
      </c>
      <c r="H56" s="29">
        <v>97</v>
      </c>
      <c r="I56" s="47">
        <v>0.17519999999999999</v>
      </c>
      <c r="J56" s="47">
        <v>0.17519999999999999</v>
      </c>
      <c r="K56" s="41">
        <v>246875027.53999999</v>
      </c>
      <c r="L56" s="27">
        <f t="shared" si="38"/>
        <v>6.3199433411894498E-5</v>
      </c>
      <c r="M56" s="28">
        <v>1</v>
      </c>
      <c r="N56" s="28">
        <v>1</v>
      </c>
      <c r="O56" s="29">
        <v>97</v>
      </c>
      <c r="P56" s="47">
        <v>0.17610000000000001</v>
      </c>
      <c r="Q56" s="47">
        <v>0.17610000000000001</v>
      </c>
      <c r="R56" s="53">
        <f t="shared" si="21"/>
        <v>-8.7600606164474123E-3</v>
      </c>
      <c r="S56" s="53">
        <f t="shared" si="22"/>
        <v>0</v>
      </c>
      <c r="T56" s="53">
        <f t="shared" si="23"/>
        <v>0</v>
      </c>
      <c r="U56" s="54">
        <f t="shared" si="24"/>
        <v>9.000000000000119E-4</v>
      </c>
      <c r="V56" s="55">
        <f t="shared" si="25"/>
        <v>9.000000000000119E-4</v>
      </c>
    </row>
    <row r="57" spans="1:22">
      <c r="A57" s="165">
        <v>49</v>
      </c>
      <c r="B57" s="162" t="s">
        <v>88</v>
      </c>
      <c r="C57" s="163" t="s">
        <v>43</v>
      </c>
      <c r="D57" s="44">
        <v>1816786419.0799999</v>
      </c>
      <c r="E57" s="27">
        <f t="shared" si="37"/>
        <v>4.6509310180300431E-4</v>
      </c>
      <c r="F57" s="28">
        <v>10</v>
      </c>
      <c r="G57" s="28">
        <v>10</v>
      </c>
      <c r="H57" s="29">
        <v>862</v>
      </c>
      <c r="I57" s="47">
        <v>0.1888</v>
      </c>
      <c r="J57" s="47">
        <v>0.1888</v>
      </c>
      <c r="K57" s="44">
        <v>1863972084.9200001</v>
      </c>
      <c r="L57" s="27">
        <f t="shared" si="38"/>
        <v>4.7717252261752076E-4</v>
      </c>
      <c r="M57" s="28">
        <v>10</v>
      </c>
      <c r="N57" s="28">
        <v>10</v>
      </c>
      <c r="O57" s="29">
        <v>860</v>
      </c>
      <c r="P57" s="47">
        <v>0.17399999999999999</v>
      </c>
      <c r="Q57" s="47">
        <v>0.17399999999999999</v>
      </c>
      <c r="R57" s="53">
        <f t="shared" si="21"/>
        <v>2.597204896759105E-2</v>
      </c>
      <c r="S57" s="53">
        <f t="shared" si="22"/>
        <v>0</v>
      </c>
      <c r="T57" s="53">
        <f t="shared" si="23"/>
        <v>-2.3201856148491878E-3</v>
      </c>
      <c r="U57" s="54">
        <f t="shared" si="24"/>
        <v>-1.4800000000000008E-2</v>
      </c>
      <c r="V57" s="55">
        <f t="shared" si="25"/>
        <v>-1.4800000000000008E-2</v>
      </c>
    </row>
    <row r="58" spans="1:22">
      <c r="A58" s="165">
        <v>50</v>
      </c>
      <c r="B58" s="162" t="s">
        <v>89</v>
      </c>
      <c r="C58" s="163" t="s">
        <v>90</v>
      </c>
      <c r="D58" s="44">
        <v>938447765</v>
      </c>
      <c r="E58" s="27">
        <f t="shared" si="37"/>
        <v>2.4024044726455413E-4</v>
      </c>
      <c r="F58" s="28">
        <v>1</v>
      </c>
      <c r="G58" s="28">
        <v>1</v>
      </c>
      <c r="H58" s="29">
        <v>135</v>
      </c>
      <c r="I58" s="47">
        <v>0.23039999999999999</v>
      </c>
      <c r="J58" s="47">
        <v>0.23039999999999999</v>
      </c>
      <c r="K58" s="44">
        <v>942015836</v>
      </c>
      <c r="L58" s="27">
        <f t="shared" si="38"/>
        <v>2.4115386514979114E-4</v>
      </c>
      <c r="M58" s="28">
        <v>1</v>
      </c>
      <c r="N58" s="28">
        <v>1</v>
      </c>
      <c r="O58" s="29">
        <v>138</v>
      </c>
      <c r="P58" s="47">
        <v>0.21379999999999999</v>
      </c>
      <c r="Q58" s="47">
        <v>0.21379999999999999</v>
      </c>
      <c r="R58" s="53">
        <f t="shared" si="21"/>
        <v>3.8020986708834029E-3</v>
      </c>
      <c r="S58" s="53">
        <f t="shared" si="22"/>
        <v>0</v>
      </c>
      <c r="T58" s="53">
        <f t="shared" si="23"/>
        <v>2.2222222222222223E-2</v>
      </c>
      <c r="U58" s="54">
        <f t="shared" si="24"/>
        <v>-1.6600000000000004E-2</v>
      </c>
      <c r="V58" s="55">
        <f t="shared" si="25"/>
        <v>-1.6600000000000004E-2</v>
      </c>
    </row>
    <row r="59" spans="1:22">
      <c r="A59" s="165">
        <v>51</v>
      </c>
      <c r="B59" s="162" t="s">
        <v>302</v>
      </c>
      <c r="C59" s="163" t="s">
        <v>301</v>
      </c>
      <c r="D59" s="44">
        <v>838689533.12</v>
      </c>
      <c r="E59" s="27">
        <f t="shared" si="37"/>
        <v>2.1470257170131242E-4</v>
      </c>
      <c r="F59" s="28">
        <v>1</v>
      </c>
      <c r="G59" s="28">
        <v>1</v>
      </c>
      <c r="H59" s="29">
        <v>1022</v>
      </c>
      <c r="I59" s="47">
        <v>0.1784</v>
      </c>
      <c r="J59" s="47">
        <v>0.1784</v>
      </c>
      <c r="K59" s="44">
        <v>872470333.92999995</v>
      </c>
      <c r="L59" s="27">
        <f t="shared" si="38"/>
        <v>2.2335037821566775E-4</v>
      </c>
      <c r="M59" s="28">
        <v>1</v>
      </c>
      <c r="N59" s="28">
        <v>1</v>
      </c>
      <c r="O59" s="29">
        <v>1079</v>
      </c>
      <c r="P59" s="47">
        <v>0.1787</v>
      </c>
      <c r="Q59" s="47">
        <v>0.1787</v>
      </c>
      <c r="R59" s="53">
        <f t="shared" si="21"/>
        <v>4.0278076065087334E-2</v>
      </c>
      <c r="S59" s="53">
        <f t="shared" si="22"/>
        <v>0</v>
      </c>
      <c r="T59" s="53">
        <f t="shared" si="23"/>
        <v>5.577299412915851E-2</v>
      </c>
      <c r="U59" s="54">
        <f t="shared" si="24"/>
        <v>2.9999999999999472E-4</v>
      </c>
      <c r="V59" s="55">
        <f t="shared" si="25"/>
        <v>2.9999999999999472E-4</v>
      </c>
    </row>
    <row r="60" spans="1:22">
      <c r="A60" s="165">
        <v>52</v>
      </c>
      <c r="B60" s="162" t="s">
        <v>91</v>
      </c>
      <c r="C60" s="163" t="s">
        <v>92</v>
      </c>
      <c r="D60" s="44">
        <v>12992240549.537901</v>
      </c>
      <c r="E60" s="27">
        <f t="shared" si="37"/>
        <v>3.3259833919362168E-3</v>
      </c>
      <c r="F60" s="28">
        <v>100</v>
      </c>
      <c r="G60" s="28">
        <v>100</v>
      </c>
      <c r="H60" s="29">
        <v>146</v>
      </c>
      <c r="I60" s="47">
        <v>0.19839999999999999</v>
      </c>
      <c r="J60" s="47">
        <v>0.19839999999999999</v>
      </c>
      <c r="K60" s="44">
        <v>12339021915.195299</v>
      </c>
      <c r="L60" s="27">
        <f t="shared" si="38"/>
        <v>3.1587609393620899E-3</v>
      </c>
      <c r="M60" s="28">
        <v>100</v>
      </c>
      <c r="N60" s="28">
        <v>100</v>
      </c>
      <c r="O60" s="29">
        <v>146</v>
      </c>
      <c r="P60" s="47">
        <v>0.20810000000000001</v>
      </c>
      <c r="Q60" s="47">
        <v>0.20810000000000001</v>
      </c>
      <c r="R60" s="53">
        <f t="shared" si="21"/>
        <v>-5.0277596989676661E-2</v>
      </c>
      <c r="S60" s="53">
        <f t="shared" si="22"/>
        <v>0</v>
      </c>
      <c r="T60" s="53">
        <f t="shared" si="23"/>
        <v>0</v>
      </c>
      <c r="U60" s="54">
        <f t="shared" si="24"/>
        <v>9.7000000000000142E-3</v>
      </c>
      <c r="V60" s="55">
        <f t="shared" si="25"/>
        <v>9.7000000000000142E-3</v>
      </c>
    </row>
    <row r="61" spans="1:22">
      <c r="A61" s="164">
        <v>53</v>
      </c>
      <c r="B61" s="162" t="s">
        <v>93</v>
      </c>
      <c r="C61" s="163" t="s">
        <v>94</v>
      </c>
      <c r="D61" s="44">
        <v>67548579.090000004</v>
      </c>
      <c r="E61" s="27">
        <f t="shared" si="37"/>
        <v>1.7292279291289812E-5</v>
      </c>
      <c r="F61" s="28">
        <v>1000</v>
      </c>
      <c r="G61" s="28">
        <v>1000</v>
      </c>
      <c r="H61" s="29">
        <v>23</v>
      </c>
      <c r="I61" s="47">
        <v>0.22159999999999999</v>
      </c>
      <c r="J61" s="47">
        <v>0.22159999999999999</v>
      </c>
      <c r="K61" s="44">
        <v>67861876.980000004</v>
      </c>
      <c r="L61" s="27">
        <f t="shared" si="38"/>
        <v>1.737248282315143E-5</v>
      </c>
      <c r="M61" s="28">
        <v>1000</v>
      </c>
      <c r="N61" s="28">
        <v>1000</v>
      </c>
      <c r="O61" s="29">
        <v>23</v>
      </c>
      <c r="P61" s="47">
        <v>0.2213</v>
      </c>
      <c r="Q61" s="47">
        <v>0.2213</v>
      </c>
      <c r="R61" s="53">
        <f t="shared" si="21"/>
        <v>4.6381122182092161E-3</v>
      </c>
      <c r="S61" s="53">
        <f t="shared" si="22"/>
        <v>0</v>
      </c>
      <c r="T61" s="53">
        <f t="shared" si="23"/>
        <v>0</v>
      </c>
      <c r="U61" s="54">
        <f t="shared" si="24"/>
        <v>-2.9999999999999472E-4</v>
      </c>
      <c r="V61" s="55">
        <f t="shared" si="25"/>
        <v>-2.9999999999999472E-4</v>
      </c>
    </row>
    <row r="62" spans="1:22">
      <c r="A62" s="165">
        <v>54</v>
      </c>
      <c r="B62" s="162" t="s">
        <v>95</v>
      </c>
      <c r="C62" s="163" t="s">
        <v>47</v>
      </c>
      <c r="D62" s="41">
        <v>1873663273625.5901</v>
      </c>
      <c r="E62" s="27">
        <f t="shared" si="37"/>
        <v>0.47965344440772412</v>
      </c>
      <c r="F62" s="28">
        <v>100</v>
      </c>
      <c r="G62" s="28">
        <v>100</v>
      </c>
      <c r="H62" s="29">
        <v>220277</v>
      </c>
      <c r="I62" s="47">
        <v>0.19070000000000001</v>
      </c>
      <c r="J62" s="47">
        <v>0.19070000000000001</v>
      </c>
      <c r="K62" s="41">
        <v>1910608375432.8</v>
      </c>
      <c r="L62" s="27">
        <f t="shared" si="38"/>
        <v>0.4891113046248014</v>
      </c>
      <c r="M62" s="28">
        <v>100</v>
      </c>
      <c r="N62" s="28">
        <v>100</v>
      </c>
      <c r="O62" s="29">
        <v>222969</v>
      </c>
      <c r="P62" s="47">
        <v>0.19020000000000001</v>
      </c>
      <c r="Q62" s="47">
        <v>0.19020000000000001</v>
      </c>
      <c r="R62" s="53">
        <f t="shared" si="21"/>
        <v>1.9718111747859673E-2</v>
      </c>
      <c r="S62" s="53">
        <f t="shared" si="22"/>
        <v>0</v>
      </c>
      <c r="T62" s="53">
        <f t="shared" si="23"/>
        <v>1.2220976316183714E-2</v>
      </c>
      <c r="U62" s="54">
        <f t="shared" si="24"/>
        <v>-5.0000000000000044E-4</v>
      </c>
      <c r="V62" s="55">
        <f t="shared" si="25"/>
        <v>-5.0000000000000044E-4</v>
      </c>
    </row>
    <row r="63" spans="1:22">
      <c r="A63" s="165">
        <v>55</v>
      </c>
      <c r="B63" s="162" t="s">
        <v>96</v>
      </c>
      <c r="C63" s="162" t="s">
        <v>97</v>
      </c>
      <c r="D63" s="41">
        <v>5513368720.6899996</v>
      </c>
      <c r="E63" s="27">
        <f t="shared" si="37"/>
        <v>1.4114095816435432E-3</v>
      </c>
      <c r="F63" s="28">
        <v>100</v>
      </c>
      <c r="G63" s="28">
        <v>100</v>
      </c>
      <c r="H63" s="29">
        <v>763</v>
      </c>
      <c r="I63" s="47">
        <v>0.2117</v>
      </c>
      <c r="J63" s="47">
        <v>0.2117</v>
      </c>
      <c r="K63" s="41">
        <v>5625561420.6899996</v>
      </c>
      <c r="L63" s="27">
        <f t="shared" si="38"/>
        <v>1.4401306521527983E-3</v>
      </c>
      <c r="M63" s="28">
        <v>100</v>
      </c>
      <c r="N63" s="28">
        <v>100</v>
      </c>
      <c r="O63" s="29">
        <v>769</v>
      </c>
      <c r="P63" s="47">
        <v>0.2208</v>
      </c>
      <c r="Q63" s="47">
        <v>0.2208</v>
      </c>
      <c r="R63" s="53">
        <f t="shared" si="21"/>
        <v>2.0349210380030423E-2</v>
      </c>
      <c r="S63" s="53">
        <f t="shared" si="22"/>
        <v>0</v>
      </c>
      <c r="T63" s="53">
        <f t="shared" si="23"/>
        <v>7.8636959370904317E-3</v>
      </c>
      <c r="U63" s="54">
        <f t="shared" si="24"/>
        <v>9.099999999999997E-3</v>
      </c>
      <c r="V63" s="55">
        <f t="shared" si="25"/>
        <v>9.099999999999997E-3</v>
      </c>
    </row>
    <row r="64" spans="1:22">
      <c r="A64" s="165">
        <v>56</v>
      </c>
      <c r="B64" s="169" t="s">
        <v>98</v>
      </c>
      <c r="C64" s="163" t="s">
        <v>99</v>
      </c>
      <c r="D64" s="41">
        <v>6100921781.3800001</v>
      </c>
      <c r="E64" s="27">
        <f t="shared" si="37"/>
        <v>1.5618217999430065E-3</v>
      </c>
      <c r="F64" s="28">
        <v>1</v>
      </c>
      <c r="G64" s="28">
        <v>1</v>
      </c>
      <c r="H64" s="29">
        <v>538</v>
      </c>
      <c r="I64" s="47">
        <v>0.207561</v>
      </c>
      <c r="J64" s="47">
        <v>0.207561</v>
      </c>
      <c r="K64" s="41">
        <v>6062486715.3500004</v>
      </c>
      <c r="L64" s="27">
        <f t="shared" si="38"/>
        <v>1.5519825123469729E-3</v>
      </c>
      <c r="M64" s="28">
        <v>1</v>
      </c>
      <c r="N64" s="28">
        <v>1</v>
      </c>
      <c r="O64" s="29">
        <v>545</v>
      </c>
      <c r="P64" s="47">
        <v>0.20888899999999999</v>
      </c>
      <c r="Q64" s="47">
        <v>0.20888899999999999</v>
      </c>
      <c r="R64" s="53">
        <f t="shared" si="21"/>
        <v>-6.2998785113592953E-3</v>
      </c>
      <c r="S64" s="53">
        <f t="shared" si="22"/>
        <v>0</v>
      </c>
      <c r="T64" s="53">
        <f t="shared" si="23"/>
        <v>1.3011152416356878E-2</v>
      </c>
      <c r="U64" s="54">
        <f t="shared" si="24"/>
        <v>1.3279999999999959E-3</v>
      </c>
      <c r="V64" s="55">
        <f t="shared" si="25"/>
        <v>1.3279999999999959E-3</v>
      </c>
    </row>
    <row r="65" spans="1:22">
      <c r="A65" s="165">
        <v>57</v>
      </c>
      <c r="B65" s="162" t="s">
        <v>100</v>
      </c>
      <c r="C65" s="163" t="s">
        <v>50</v>
      </c>
      <c r="D65" s="41">
        <v>176028698951.17999</v>
      </c>
      <c r="E65" s="27">
        <f t="shared" si="37"/>
        <v>4.5062937911551242E-2</v>
      </c>
      <c r="F65" s="28">
        <v>1</v>
      </c>
      <c r="G65" s="28">
        <v>1</v>
      </c>
      <c r="H65" s="29">
        <v>68404</v>
      </c>
      <c r="I65" s="47">
        <v>0.1888</v>
      </c>
      <c r="J65" s="47">
        <v>0.1888</v>
      </c>
      <c r="K65" s="41">
        <v>175715564611.56</v>
      </c>
      <c r="L65" s="27">
        <f t="shared" si="38"/>
        <v>4.4982776248206881E-2</v>
      </c>
      <c r="M65" s="28">
        <v>1</v>
      </c>
      <c r="N65" s="28">
        <v>1</v>
      </c>
      <c r="O65" s="29">
        <v>68666</v>
      </c>
      <c r="P65" s="47">
        <v>0.18279999999999999</v>
      </c>
      <c r="Q65" s="47">
        <v>0.18279999999999999</v>
      </c>
      <c r="R65" s="53">
        <f t="shared" si="21"/>
        <v>-1.7788823157003516E-3</v>
      </c>
      <c r="S65" s="53">
        <f t="shared" si="22"/>
        <v>0</v>
      </c>
      <c r="T65" s="53">
        <f t="shared" si="23"/>
        <v>3.8301853692766503E-3</v>
      </c>
      <c r="U65" s="54">
        <f t="shared" si="24"/>
        <v>-6.0000000000000053E-3</v>
      </c>
      <c r="V65" s="55">
        <f t="shared" si="25"/>
        <v>-6.0000000000000053E-3</v>
      </c>
    </row>
    <row r="66" spans="1:22">
      <c r="A66" s="165">
        <v>58</v>
      </c>
      <c r="B66" s="162" t="s">
        <v>309</v>
      </c>
      <c r="C66" s="163" t="s">
        <v>101</v>
      </c>
      <c r="D66" s="41">
        <v>2217890280.52</v>
      </c>
      <c r="E66" s="27">
        <f t="shared" si="37"/>
        <v>5.6777475832747303E-4</v>
      </c>
      <c r="F66" s="28">
        <v>1</v>
      </c>
      <c r="G66" s="28">
        <v>1</v>
      </c>
      <c r="H66" s="29">
        <v>156</v>
      </c>
      <c r="I66" s="47">
        <v>0.1837</v>
      </c>
      <c r="J66" s="47">
        <v>0.1837</v>
      </c>
      <c r="K66" s="41">
        <v>2222108774.5599999</v>
      </c>
      <c r="L66" s="27">
        <f t="shared" si="38"/>
        <v>5.6885468299962825E-4</v>
      </c>
      <c r="M66" s="28">
        <v>1</v>
      </c>
      <c r="N66" s="28">
        <v>1</v>
      </c>
      <c r="O66" s="29">
        <v>157</v>
      </c>
      <c r="P66" s="47">
        <v>0.19009999999999999</v>
      </c>
      <c r="Q66" s="47">
        <v>0.19009999999999999</v>
      </c>
      <c r="R66" s="53">
        <f t="shared" si="21"/>
        <v>1.9020300855508985E-3</v>
      </c>
      <c r="S66" s="53">
        <f t="shared" si="22"/>
        <v>0</v>
      </c>
      <c r="T66" s="53">
        <f t="shared" si="23"/>
        <v>6.41025641025641E-3</v>
      </c>
      <c r="U66" s="54">
        <f t="shared" si="24"/>
        <v>6.399999999999989E-3</v>
      </c>
      <c r="V66" s="55">
        <f t="shared" si="25"/>
        <v>6.399999999999989E-3</v>
      </c>
    </row>
    <row r="67" spans="1:22">
      <c r="A67" s="165">
        <v>59</v>
      </c>
      <c r="B67" s="162" t="s">
        <v>102</v>
      </c>
      <c r="C67" s="163" t="s">
        <v>103</v>
      </c>
      <c r="D67" s="41">
        <v>6740098548.5299997</v>
      </c>
      <c r="E67" s="27">
        <f t="shared" si="37"/>
        <v>1.7254495671434832E-3</v>
      </c>
      <c r="F67" s="28">
        <v>1</v>
      </c>
      <c r="G67" s="28">
        <v>1</v>
      </c>
      <c r="H67" s="29">
        <v>481</v>
      </c>
      <c r="I67" s="47">
        <v>0.1832</v>
      </c>
      <c r="J67" s="47">
        <v>0.1832</v>
      </c>
      <c r="K67" s="41">
        <v>6996663542.3900003</v>
      </c>
      <c r="L67" s="27">
        <f t="shared" si="38"/>
        <v>1.7911296094177106E-3</v>
      </c>
      <c r="M67" s="28">
        <v>1</v>
      </c>
      <c r="N67" s="28">
        <v>1</v>
      </c>
      <c r="O67" s="29">
        <v>481</v>
      </c>
      <c r="P67" s="47">
        <v>0.1915</v>
      </c>
      <c r="Q67" s="47">
        <v>0.1915</v>
      </c>
      <c r="R67" s="53">
        <f t="shared" si="21"/>
        <v>3.8065466255824534E-2</v>
      </c>
      <c r="S67" s="53">
        <f t="shared" si="22"/>
        <v>0</v>
      </c>
      <c r="T67" s="53">
        <f t="shared" si="23"/>
        <v>0</v>
      </c>
      <c r="U67" s="54">
        <f t="shared" si="24"/>
        <v>8.3000000000000018E-3</v>
      </c>
      <c r="V67" s="55">
        <f t="shared" si="25"/>
        <v>8.3000000000000018E-3</v>
      </c>
    </row>
    <row r="68" spans="1:22">
      <c r="A68" s="165">
        <v>60</v>
      </c>
      <c r="B68" s="162" t="s">
        <v>104</v>
      </c>
      <c r="C68" s="163" t="s">
        <v>105</v>
      </c>
      <c r="D68" s="41">
        <v>8025933393.54</v>
      </c>
      <c r="E68" s="27">
        <f t="shared" si="37"/>
        <v>2.0546202997026373E-3</v>
      </c>
      <c r="F68" s="28">
        <v>1</v>
      </c>
      <c r="G68" s="28">
        <v>1</v>
      </c>
      <c r="H68" s="29">
        <v>4382</v>
      </c>
      <c r="I68" s="47">
        <v>0.21260000000000001</v>
      </c>
      <c r="J68" s="47">
        <v>0.21260000000000001</v>
      </c>
      <c r="K68" s="41">
        <v>8025859541.96</v>
      </c>
      <c r="L68" s="27">
        <f t="shared" si="38"/>
        <v>2.0546013938697589E-3</v>
      </c>
      <c r="M68" s="28">
        <v>1</v>
      </c>
      <c r="N68" s="28">
        <v>1</v>
      </c>
      <c r="O68" s="29">
        <v>4430</v>
      </c>
      <c r="P68" s="47">
        <v>0.20930000000000001</v>
      </c>
      <c r="Q68" s="47">
        <v>0.20930000000000001</v>
      </c>
      <c r="R68" s="53">
        <f t="shared" si="21"/>
        <v>-9.2016188496363752E-6</v>
      </c>
      <c r="S68" s="53">
        <f t="shared" si="22"/>
        <v>0</v>
      </c>
      <c r="T68" s="53">
        <f t="shared" si="23"/>
        <v>1.0953902327704245E-2</v>
      </c>
      <c r="U68" s="54">
        <f t="shared" si="24"/>
        <v>-3.2999999999999974E-3</v>
      </c>
      <c r="V68" s="55">
        <f t="shared" si="25"/>
        <v>-3.2999999999999974E-3</v>
      </c>
    </row>
    <row r="69" spans="1:22">
      <c r="A69" s="165">
        <v>61</v>
      </c>
      <c r="B69" s="162" t="s">
        <v>106</v>
      </c>
      <c r="C69" s="163" t="s">
        <v>107</v>
      </c>
      <c r="D69" s="41">
        <v>124628330406.78999</v>
      </c>
      <c r="E69" s="27">
        <f t="shared" si="37"/>
        <v>3.1904562997986212E-2</v>
      </c>
      <c r="F69" s="28">
        <v>1</v>
      </c>
      <c r="G69" s="28">
        <v>1</v>
      </c>
      <c r="H69" s="29">
        <v>6155</v>
      </c>
      <c r="I69" s="47">
        <v>0.19520000000000001</v>
      </c>
      <c r="J69" s="47">
        <v>0.19520000000000001</v>
      </c>
      <c r="K69" s="41">
        <v>124628330406.78999</v>
      </c>
      <c r="L69" s="27">
        <f t="shared" si="38"/>
        <v>3.1904562997986212E-2</v>
      </c>
      <c r="M69" s="28">
        <v>1</v>
      </c>
      <c r="N69" s="28">
        <v>1</v>
      </c>
      <c r="O69" s="29">
        <v>6129</v>
      </c>
      <c r="P69" s="47">
        <v>0.192</v>
      </c>
      <c r="Q69" s="47">
        <v>0.192</v>
      </c>
      <c r="R69" s="53">
        <f t="shared" si="21"/>
        <v>0</v>
      </c>
      <c r="S69" s="53">
        <f t="shared" si="22"/>
        <v>0</v>
      </c>
      <c r="T69" s="53">
        <f t="shared" si="23"/>
        <v>-4.2242079610073108E-3</v>
      </c>
      <c r="U69" s="54">
        <f t="shared" si="24"/>
        <v>-3.2000000000000084E-3</v>
      </c>
      <c r="V69" s="55">
        <f t="shared" si="25"/>
        <v>-3.2000000000000084E-3</v>
      </c>
    </row>
    <row r="70" spans="1:22">
      <c r="A70" s="33"/>
      <c r="B70" s="34"/>
      <c r="C70" s="35" t="s">
        <v>51</v>
      </c>
      <c r="D70" s="45">
        <f>SUM(D28:D69)</f>
        <v>3840917336766.8379</v>
      </c>
      <c r="E70" s="37">
        <f>(D70/$D$226)</f>
        <v>0.58009659055840579</v>
      </c>
      <c r="F70" s="38"/>
      <c r="G70" s="42"/>
      <c r="H70" s="40">
        <f>SUM(H28:H69)</f>
        <v>503067</v>
      </c>
      <c r="I70" s="52"/>
      <c r="J70" s="52"/>
      <c r="K70" s="45">
        <f>SUM(K28:K69)</f>
        <v>3906285455615.124</v>
      </c>
      <c r="L70" s="37">
        <f>(K70/$K$226)</f>
        <v>0.58356880890028884</v>
      </c>
      <c r="M70" s="38"/>
      <c r="N70" s="42"/>
      <c r="O70" s="40">
        <f>SUM(O28:O69)</f>
        <v>507449</v>
      </c>
      <c r="P70" s="52"/>
      <c r="Q70" s="52"/>
      <c r="R70" s="53">
        <f t="shared" si="21"/>
        <v>1.7018881979717619E-2</v>
      </c>
      <c r="S70" s="53" t="e">
        <f t="shared" si="22"/>
        <v>#DIV/0!</v>
      </c>
      <c r="T70" s="53">
        <f t="shared" si="23"/>
        <v>8.7105693674997559E-3</v>
      </c>
      <c r="U70" s="54">
        <f t="shared" si="24"/>
        <v>0</v>
      </c>
      <c r="V70" s="55">
        <f t="shared" si="25"/>
        <v>0</v>
      </c>
    </row>
    <row r="71" spans="1:22" ht="3" customHeight="1">
      <c r="A71" s="33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</row>
    <row r="72" spans="1:22" ht="15" customHeight="1">
      <c r="A72" s="175" t="s">
        <v>108</v>
      </c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</row>
    <row r="73" spans="1:22">
      <c r="A73" s="165">
        <v>62</v>
      </c>
      <c r="B73" s="162" t="s">
        <v>109</v>
      </c>
      <c r="C73" s="163" t="s">
        <v>19</v>
      </c>
      <c r="D73" s="26">
        <v>581657058.36000001</v>
      </c>
      <c r="E73" s="27">
        <f>(D73/$D$112)</f>
        <v>2.5227410274089317E-3</v>
      </c>
      <c r="F73" s="57">
        <v>1.6355</v>
      </c>
      <c r="G73" s="57">
        <v>1.6355</v>
      </c>
      <c r="H73" s="29">
        <v>503</v>
      </c>
      <c r="I73" s="47">
        <v>4.28E-4</v>
      </c>
      <c r="J73" s="47">
        <v>0.2545</v>
      </c>
      <c r="K73" s="26">
        <v>588472076.48000002</v>
      </c>
      <c r="L73" s="27">
        <f t="shared" ref="L73:L96" si="39">(K73/$K$112)</f>
        <v>2.542915823555186E-3</v>
      </c>
      <c r="M73" s="57">
        <v>1.6355</v>
      </c>
      <c r="N73" s="57">
        <v>1.6355</v>
      </c>
      <c r="O73" s="29">
        <v>505</v>
      </c>
      <c r="P73" s="47">
        <v>4.28E-4</v>
      </c>
      <c r="Q73" s="47">
        <v>0.25819999999999999</v>
      </c>
      <c r="R73" s="53">
        <f>((K73-D73)/D73)</f>
        <v>1.171655707095717E-2</v>
      </c>
      <c r="S73" s="53">
        <f>((N73-G73)/G73)</f>
        <v>0</v>
      </c>
      <c r="T73" s="53">
        <f>((O73-H73)/H73)</f>
        <v>3.9761431411530811E-3</v>
      </c>
      <c r="U73" s="54">
        <f>P73-I73</f>
        <v>0</v>
      </c>
      <c r="V73" s="55">
        <f>Q73-J73</f>
        <v>3.6999999999999811E-3</v>
      </c>
    </row>
    <row r="74" spans="1:22">
      <c r="A74" s="165">
        <v>63</v>
      </c>
      <c r="B74" s="162" t="s">
        <v>110</v>
      </c>
      <c r="C74" s="163" t="s">
        <v>21</v>
      </c>
      <c r="D74" s="26">
        <v>1360179282.6900001</v>
      </c>
      <c r="E74" s="27">
        <f>(D74/$D$112)</f>
        <v>5.8993182181070686E-3</v>
      </c>
      <c r="F74" s="57">
        <v>1.33</v>
      </c>
      <c r="G74" s="57">
        <v>1.33</v>
      </c>
      <c r="H74" s="29">
        <v>1191</v>
      </c>
      <c r="I74" s="47">
        <v>0.33189999999999997</v>
      </c>
      <c r="J74" s="47">
        <v>0.1779</v>
      </c>
      <c r="K74" s="26">
        <v>1364838254.24</v>
      </c>
      <c r="L74" s="27">
        <f t="shared" si="39"/>
        <v>5.8977629220072041E-3</v>
      </c>
      <c r="M74" s="57">
        <v>1.3317000000000001</v>
      </c>
      <c r="N74" s="57">
        <v>1.3317000000000001</v>
      </c>
      <c r="O74" s="29">
        <v>1202</v>
      </c>
      <c r="P74" s="47">
        <v>0.14530000000000001</v>
      </c>
      <c r="Q74" s="47">
        <v>0.17749999999999999</v>
      </c>
      <c r="R74" s="53">
        <f t="shared" ref="R74:R112" si="40">((K74-D74)/D74)</f>
        <v>3.4252628379885298E-3</v>
      </c>
      <c r="S74" s="53">
        <f t="shared" ref="S74:S112" si="41">((N74-G74)/G74)</f>
        <v>1.2781954887218306E-3</v>
      </c>
      <c r="T74" s="53">
        <f t="shared" ref="T74:T112" si="42">((O74-H74)/H74)</f>
        <v>9.2359361880772466E-3</v>
      </c>
      <c r="U74" s="54">
        <f t="shared" ref="U74:U112" si="43">P74-I74</f>
        <v>-0.18659999999999996</v>
      </c>
      <c r="V74" s="55">
        <f t="shared" ref="V74:V112" si="44">Q74-J74</f>
        <v>-4.0000000000001146E-4</v>
      </c>
    </row>
    <row r="75" spans="1:22">
      <c r="A75" s="165">
        <v>64</v>
      </c>
      <c r="B75" s="162" t="s">
        <v>111</v>
      </c>
      <c r="C75" s="163" t="s">
        <v>21</v>
      </c>
      <c r="D75" s="26">
        <v>807789217.79999995</v>
      </c>
      <c r="E75" s="27">
        <f>(D75/$D$112)</f>
        <v>3.5035128895167028E-3</v>
      </c>
      <c r="F75" s="57">
        <v>1.1681999999999999</v>
      </c>
      <c r="G75" s="57">
        <v>1.1681999999999999</v>
      </c>
      <c r="H75" s="29">
        <v>467</v>
      </c>
      <c r="I75" s="47">
        <v>0.1343</v>
      </c>
      <c r="J75" s="47">
        <v>0.12670000000000001</v>
      </c>
      <c r="K75" s="26">
        <v>808280231.49000001</v>
      </c>
      <c r="L75" s="27">
        <f t="shared" si="39"/>
        <v>3.4927546652974021E-3</v>
      </c>
      <c r="M75" s="57">
        <v>1.1681999999999999</v>
      </c>
      <c r="N75" s="57">
        <v>1.1681999999999999</v>
      </c>
      <c r="O75" s="29">
        <v>470</v>
      </c>
      <c r="P75" s="47">
        <v>0.12939999999999999</v>
      </c>
      <c r="Q75" s="47">
        <v>0.12709999999999999</v>
      </c>
      <c r="R75" s="53">
        <f t="shared" si="40"/>
        <v>6.078487793354367E-4</v>
      </c>
      <c r="S75" s="53">
        <f t="shared" si="41"/>
        <v>0</v>
      </c>
      <c r="T75" s="53">
        <f t="shared" si="42"/>
        <v>6.4239828693790149E-3</v>
      </c>
      <c r="U75" s="54">
        <f t="shared" si="43"/>
        <v>-4.9000000000000155E-3</v>
      </c>
      <c r="V75" s="55">
        <f t="shared" si="44"/>
        <v>3.999999999999837E-4</v>
      </c>
    </row>
    <row r="76" spans="1:22">
      <c r="A76" s="165">
        <v>65</v>
      </c>
      <c r="B76" s="162" t="s">
        <v>112</v>
      </c>
      <c r="C76" s="163" t="s">
        <v>113</v>
      </c>
      <c r="D76" s="26">
        <v>312563265.64999998</v>
      </c>
      <c r="E76" s="27">
        <f>(D76/$D$112)</f>
        <v>1.3556375919161325E-3</v>
      </c>
      <c r="F76" s="32">
        <v>1227.52</v>
      </c>
      <c r="G76" s="32">
        <v>1227.52</v>
      </c>
      <c r="H76" s="29">
        <v>109</v>
      </c>
      <c r="I76" s="47">
        <v>3.8999999999999998E-3</v>
      </c>
      <c r="J76" s="47">
        <v>0.2112</v>
      </c>
      <c r="K76" s="26">
        <v>315365221.93000001</v>
      </c>
      <c r="L76" s="27">
        <f t="shared" si="39"/>
        <v>1.36276170968334E-3</v>
      </c>
      <c r="M76" s="32">
        <v>1238.52</v>
      </c>
      <c r="N76" s="32">
        <v>1238.52</v>
      </c>
      <c r="O76" s="29">
        <v>109</v>
      </c>
      <c r="P76" s="47">
        <v>8.9999999999999993E-3</v>
      </c>
      <c r="Q76" s="47">
        <v>0.21870000000000001</v>
      </c>
      <c r="R76" s="53">
        <f t="shared" si="40"/>
        <v>8.9644452433434302E-3</v>
      </c>
      <c r="S76" s="53">
        <f t="shared" si="41"/>
        <v>8.9611574556830026E-3</v>
      </c>
      <c r="T76" s="53">
        <f t="shared" si="42"/>
        <v>0</v>
      </c>
      <c r="U76" s="54">
        <f t="shared" si="43"/>
        <v>5.0999999999999995E-3</v>
      </c>
      <c r="V76" s="55">
        <f t="shared" si="44"/>
        <v>7.5000000000000067E-3</v>
      </c>
    </row>
    <row r="77" spans="1:22" ht="15" customHeight="1">
      <c r="A77" s="165">
        <v>66</v>
      </c>
      <c r="B77" s="162" t="s">
        <v>114</v>
      </c>
      <c r="C77" s="163" t="s">
        <v>25</v>
      </c>
      <c r="D77" s="26">
        <v>1683279135.9200001</v>
      </c>
      <c r="E77" s="27">
        <f>(D77/$K$112)</f>
        <v>7.2738152263657069E-3</v>
      </c>
      <c r="F77" s="32">
        <v>1.0503</v>
      </c>
      <c r="G77" s="32">
        <v>1.0503</v>
      </c>
      <c r="H77" s="29">
        <v>976</v>
      </c>
      <c r="I77" s="47">
        <v>4.7999999999999996E-3</v>
      </c>
      <c r="J77" s="47">
        <v>0.10639999999999999</v>
      </c>
      <c r="K77" s="26">
        <v>1660028150.48</v>
      </c>
      <c r="L77" s="27">
        <f t="shared" si="39"/>
        <v>7.1733426616481235E-3</v>
      </c>
      <c r="M77" s="32">
        <v>1.0521</v>
      </c>
      <c r="N77" s="32">
        <v>1.0521</v>
      </c>
      <c r="O77" s="29">
        <v>980</v>
      </c>
      <c r="P77" s="47">
        <v>1.6999999999999999E-3</v>
      </c>
      <c r="Q77" s="47">
        <v>0.108</v>
      </c>
      <c r="R77" s="53">
        <f t="shared" si="40"/>
        <v>-1.3812911325186823E-2</v>
      </c>
      <c r="S77" s="53">
        <f t="shared" si="41"/>
        <v>1.7137960582690886E-3</v>
      </c>
      <c r="T77" s="53">
        <f t="shared" si="42"/>
        <v>4.0983606557377051E-3</v>
      </c>
      <c r="U77" s="54">
        <f t="shared" si="43"/>
        <v>-3.0999999999999995E-3</v>
      </c>
      <c r="V77" s="55">
        <f t="shared" si="44"/>
        <v>1.6000000000000042E-3</v>
      </c>
    </row>
    <row r="78" spans="1:22">
      <c r="A78" s="165">
        <v>67</v>
      </c>
      <c r="B78" s="162" t="s">
        <v>115</v>
      </c>
      <c r="C78" s="163" t="s">
        <v>116</v>
      </c>
      <c r="D78" s="26">
        <v>473405436.54000002</v>
      </c>
      <c r="E78" s="27">
        <f t="shared" ref="E78:E96" si="45">(D78/$D$112)</f>
        <v>2.05323618134232E-3</v>
      </c>
      <c r="F78" s="32">
        <v>2.7052999999999998</v>
      </c>
      <c r="G78" s="32">
        <v>2.7052999999999998</v>
      </c>
      <c r="H78" s="29">
        <v>1391</v>
      </c>
      <c r="I78" s="47">
        <v>0.1658</v>
      </c>
      <c r="J78" s="47">
        <v>0.1459</v>
      </c>
      <c r="K78" s="26">
        <v>474762913.85000002</v>
      </c>
      <c r="L78" s="27">
        <f t="shared" si="39"/>
        <v>2.0515538023278897E-3</v>
      </c>
      <c r="M78" s="32">
        <v>2.7216</v>
      </c>
      <c r="N78" s="32">
        <v>2.7216</v>
      </c>
      <c r="O78" s="29">
        <v>1391</v>
      </c>
      <c r="P78" s="47">
        <v>0.1479</v>
      </c>
      <c r="Q78" s="47">
        <v>0.14630000000000001</v>
      </c>
      <c r="R78" s="53">
        <f t="shared" si="40"/>
        <v>2.8674730056364771E-3</v>
      </c>
      <c r="S78" s="53">
        <f t="shared" si="41"/>
        <v>6.025209773407831E-3</v>
      </c>
      <c r="T78" s="53">
        <f t="shared" si="42"/>
        <v>0</v>
      </c>
      <c r="U78" s="54">
        <f t="shared" si="43"/>
        <v>-1.7899999999999999E-2</v>
      </c>
      <c r="V78" s="55">
        <f t="shared" si="44"/>
        <v>4.0000000000001146E-4</v>
      </c>
    </row>
    <row r="79" spans="1:22">
      <c r="A79" s="165">
        <v>68</v>
      </c>
      <c r="B79" s="163" t="s">
        <v>322</v>
      </c>
      <c r="C79" s="163" t="s">
        <v>320</v>
      </c>
      <c r="D79" s="26">
        <v>771857929.63999999</v>
      </c>
      <c r="E79" s="27">
        <f t="shared" si="45"/>
        <v>3.3476730634438242E-3</v>
      </c>
      <c r="F79" s="32">
        <v>1056.79</v>
      </c>
      <c r="G79" s="32">
        <v>1056.79</v>
      </c>
      <c r="H79" s="29">
        <v>185</v>
      </c>
      <c r="I79" s="47">
        <v>1.9300000000000001E-3</v>
      </c>
      <c r="J79" s="47">
        <v>5.3990000000000003E-2</v>
      </c>
      <c r="K79" s="26">
        <v>810696932.75</v>
      </c>
      <c r="L79" s="27">
        <f t="shared" si="39"/>
        <v>3.5031977570267828E-3</v>
      </c>
      <c r="M79" s="32">
        <v>1059.42</v>
      </c>
      <c r="N79" s="32">
        <v>1059.42</v>
      </c>
      <c r="O79" s="29">
        <v>197</v>
      </c>
      <c r="P79" s="47">
        <v>1.57E-3</v>
      </c>
      <c r="Q79" s="47">
        <v>5.6410000000000002E-2</v>
      </c>
      <c r="R79" s="53">
        <f t="shared" ref="R79" si="46">((K79-D79)/D79)</f>
        <v>5.0318849646481964E-2</v>
      </c>
      <c r="S79" s="53">
        <f t="shared" ref="S79" si="47">((N79-G79)/G79)</f>
        <v>2.4886685150314718E-3</v>
      </c>
      <c r="T79" s="53">
        <f t="shared" ref="T79" si="48">((O79-H79)/H79)</f>
        <v>6.4864864864864868E-2</v>
      </c>
      <c r="U79" s="54">
        <f t="shared" si="43"/>
        <v>-3.6000000000000008E-4</v>
      </c>
      <c r="V79" s="55">
        <f t="shared" si="44"/>
        <v>2.4199999999999985E-3</v>
      </c>
    </row>
    <row r="80" spans="1:22">
      <c r="A80" s="165">
        <v>69</v>
      </c>
      <c r="B80" s="162" t="s">
        <v>117</v>
      </c>
      <c r="C80" s="163" t="s">
        <v>61</v>
      </c>
      <c r="D80" s="26">
        <v>222822151.47999999</v>
      </c>
      <c r="E80" s="27">
        <f t="shared" si="45"/>
        <v>9.6641582058514983E-4</v>
      </c>
      <c r="F80" s="32">
        <v>12.02</v>
      </c>
      <c r="G80" s="32">
        <v>12.08</v>
      </c>
      <c r="H80" s="29">
        <v>41</v>
      </c>
      <c r="I80" s="47">
        <v>8.0000000000000002E-3</v>
      </c>
      <c r="J80" s="47">
        <v>0.2</v>
      </c>
      <c r="K80" s="26">
        <v>224251643.38</v>
      </c>
      <c r="L80" s="27">
        <f t="shared" si="39"/>
        <v>9.6904012136018037E-4</v>
      </c>
      <c r="M80" s="32">
        <v>12.1</v>
      </c>
      <c r="N80" s="32">
        <v>12.15</v>
      </c>
      <c r="O80" s="29">
        <v>41</v>
      </c>
      <c r="P80" s="47">
        <v>0.374</v>
      </c>
      <c r="Q80" s="47">
        <v>0.2989</v>
      </c>
      <c r="R80" s="53">
        <f t="shared" si="40"/>
        <v>6.4153940283998828E-3</v>
      </c>
      <c r="S80" s="53">
        <f t="shared" si="41"/>
        <v>5.7947019867549904E-3</v>
      </c>
      <c r="T80" s="53">
        <f t="shared" si="42"/>
        <v>0</v>
      </c>
      <c r="U80" s="54">
        <f t="shared" si="43"/>
        <v>0.36599999999999999</v>
      </c>
      <c r="V80" s="55">
        <f t="shared" si="44"/>
        <v>9.8899999999999988E-2</v>
      </c>
    </row>
    <row r="81" spans="1:22">
      <c r="A81" s="165">
        <v>70</v>
      </c>
      <c r="B81" s="162" t="s">
        <v>118</v>
      </c>
      <c r="C81" s="163" t="s">
        <v>63</v>
      </c>
      <c r="D81" s="26">
        <v>2127733446.0999999</v>
      </c>
      <c r="E81" s="27">
        <f t="shared" si="45"/>
        <v>9.2283251491886188E-3</v>
      </c>
      <c r="F81" s="26">
        <v>4739.63</v>
      </c>
      <c r="G81" s="26">
        <v>4739.63</v>
      </c>
      <c r="H81" s="29">
        <v>1145</v>
      </c>
      <c r="I81" s="47">
        <v>0.1031</v>
      </c>
      <c r="J81" s="47">
        <v>0.11600000000000001</v>
      </c>
      <c r="K81" s="26">
        <v>2112616151.73</v>
      </c>
      <c r="L81" s="27">
        <f t="shared" si="39"/>
        <v>9.1290738440247161E-3</v>
      </c>
      <c r="M81" s="26">
        <v>4748.9399999999996</v>
      </c>
      <c r="N81" s="26">
        <v>4748.9399999999996</v>
      </c>
      <c r="O81" s="29">
        <v>1148</v>
      </c>
      <c r="P81" s="47">
        <v>0.10249999999999999</v>
      </c>
      <c r="Q81" s="47">
        <v>0.1159</v>
      </c>
      <c r="R81" s="53">
        <f t="shared" si="40"/>
        <v>-7.1048816747741241E-3</v>
      </c>
      <c r="S81" s="53">
        <f t="shared" si="41"/>
        <v>1.9642883516222767E-3</v>
      </c>
      <c r="T81" s="53">
        <f t="shared" si="42"/>
        <v>2.6200873362445414E-3</v>
      </c>
      <c r="U81" s="54">
        <f t="shared" si="43"/>
        <v>-6.0000000000000331E-4</v>
      </c>
      <c r="V81" s="55">
        <f t="shared" si="44"/>
        <v>-1.0000000000000286E-4</v>
      </c>
    </row>
    <row r="82" spans="1:22">
      <c r="A82" s="165">
        <v>71</v>
      </c>
      <c r="B82" s="162" t="s">
        <v>119</v>
      </c>
      <c r="C82" s="163" t="s">
        <v>65</v>
      </c>
      <c r="D82" s="26">
        <v>352623017.62</v>
      </c>
      <c r="E82" s="27">
        <f t="shared" si="45"/>
        <v>1.5293832353155056E-3</v>
      </c>
      <c r="F82" s="57">
        <v>114.61</v>
      </c>
      <c r="G82" s="57">
        <v>114.61</v>
      </c>
      <c r="H82" s="29">
        <v>91</v>
      </c>
      <c r="I82" s="47">
        <v>2.7000000000000001E-3</v>
      </c>
      <c r="J82" s="47">
        <v>0.1241</v>
      </c>
      <c r="K82" s="26">
        <v>353567432.14999998</v>
      </c>
      <c r="L82" s="27">
        <f t="shared" si="39"/>
        <v>1.5278417682721881E-3</v>
      </c>
      <c r="M82" s="57">
        <v>114.87</v>
      </c>
      <c r="N82" s="57">
        <v>114.87</v>
      </c>
      <c r="O82" s="29">
        <v>91</v>
      </c>
      <c r="P82" s="47">
        <v>2.3E-3</v>
      </c>
      <c r="Q82" s="47">
        <v>0.1241</v>
      </c>
      <c r="R82" s="53">
        <f t="shared" si="40"/>
        <v>2.6782554819427826E-3</v>
      </c>
      <c r="S82" s="53">
        <f t="shared" si="41"/>
        <v>2.26856295262198E-3</v>
      </c>
      <c r="T82" s="53">
        <f t="shared" si="42"/>
        <v>0</v>
      </c>
      <c r="U82" s="54">
        <f t="shared" si="43"/>
        <v>-4.0000000000000018E-4</v>
      </c>
      <c r="V82" s="55">
        <f t="shared" si="44"/>
        <v>0</v>
      </c>
    </row>
    <row r="83" spans="1:22" ht="13.5" customHeight="1">
      <c r="A83" s="165">
        <v>72</v>
      </c>
      <c r="B83" s="162" t="s">
        <v>120</v>
      </c>
      <c r="C83" s="163" t="s">
        <v>294</v>
      </c>
      <c r="D83" s="26">
        <v>441804052.37</v>
      </c>
      <c r="E83" s="27">
        <f t="shared" si="45"/>
        <v>1.9161758513373012E-3</v>
      </c>
      <c r="F83" s="57">
        <v>1.4726999999999999</v>
      </c>
      <c r="G83" s="57">
        <v>1.4726999999999999</v>
      </c>
      <c r="H83" s="29">
        <v>777</v>
      </c>
      <c r="I83" s="47">
        <v>4.0000000000000001E-3</v>
      </c>
      <c r="J83" s="47">
        <v>0.13420000000000001</v>
      </c>
      <c r="K83" s="26">
        <v>451465530.54000002</v>
      </c>
      <c r="L83" s="27">
        <f t="shared" si="39"/>
        <v>1.9508807423234138E-3</v>
      </c>
      <c r="M83" s="57">
        <v>1.462</v>
      </c>
      <c r="N83" s="57">
        <v>1.462</v>
      </c>
      <c r="O83" s="29">
        <v>808</v>
      </c>
      <c r="P83" s="47">
        <v>-7.3000000000000001E-3</v>
      </c>
      <c r="Q83" s="47">
        <v>0.12640000000000001</v>
      </c>
      <c r="R83" s="53">
        <f t="shared" si="40"/>
        <v>2.1868242534608458E-2</v>
      </c>
      <c r="S83" s="53">
        <f t="shared" si="41"/>
        <v>-7.2655666462958729E-3</v>
      </c>
      <c r="T83" s="53">
        <f t="shared" si="42"/>
        <v>3.9897039897039896E-2</v>
      </c>
      <c r="U83" s="54">
        <f t="shared" si="43"/>
        <v>-1.1300000000000001E-2</v>
      </c>
      <c r="V83" s="55">
        <f t="shared" si="44"/>
        <v>-7.8000000000000014E-3</v>
      </c>
    </row>
    <row r="84" spans="1:22" ht="13.5" customHeight="1">
      <c r="A84" s="165">
        <v>73</v>
      </c>
      <c r="B84" s="162" t="s">
        <v>292</v>
      </c>
      <c r="C84" s="163" t="s">
        <v>294</v>
      </c>
      <c r="D84" s="26">
        <v>22537550.57</v>
      </c>
      <c r="E84" s="27">
        <f t="shared" si="45"/>
        <v>9.7749013208145246E-5</v>
      </c>
      <c r="F84" s="57">
        <v>0.86899999999999999</v>
      </c>
      <c r="G84" s="57">
        <v>0.86899999999999999</v>
      </c>
      <c r="H84" s="29">
        <v>1</v>
      </c>
      <c r="I84" s="47">
        <v>-2.0000000000000001E-4</v>
      </c>
      <c r="J84" s="47">
        <v>-0.12330000000000001</v>
      </c>
      <c r="K84" s="26">
        <v>25125971.559999999</v>
      </c>
      <c r="L84" s="27">
        <f t="shared" si="39"/>
        <v>1.0857478751465121E-4</v>
      </c>
      <c r="M84" s="57">
        <v>0.96879999999999999</v>
      </c>
      <c r="N84" s="57">
        <v>0.96879999999999999</v>
      </c>
      <c r="O84" s="29">
        <v>1</v>
      </c>
      <c r="P84" s="47">
        <v>0.1148</v>
      </c>
      <c r="Q84" s="47">
        <v>-2.2599999999999999E-2</v>
      </c>
      <c r="R84" s="53">
        <f t="shared" ref="R84" si="49">((K84-D84)/D84)</f>
        <v>0.11484925932658699</v>
      </c>
      <c r="S84" s="53">
        <f t="shared" ref="S84" si="50">((N84-G84)/G84)</f>
        <v>0.11484464902186421</v>
      </c>
      <c r="T84" s="53">
        <f t="shared" ref="T84" si="51">((O84-H84)/H84)</f>
        <v>0</v>
      </c>
      <c r="U84" s="54">
        <f t="shared" ref="U84" si="52">P84-I84</f>
        <v>0.115</v>
      </c>
      <c r="V84" s="55">
        <f t="shared" ref="V84" si="53">Q84-J84</f>
        <v>0.10070000000000001</v>
      </c>
    </row>
    <row r="85" spans="1:22">
      <c r="A85" s="165">
        <v>74</v>
      </c>
      <c r="B85" s="162" t="s">
        <v>122</v>
      </c>
      <c r="C85" s="163" t="s">
        <v>27</v>
      </c>
      <c r="D85" s="26">
        <v>147593554.49000001</v>
      </c>
      <c r="E85" s="27">
        <f t="shared" si="45"/>
        <v>6.4013719070626213E-4</v>
      </c>
      <c r="F85" s="57">
        <v>132.2296</v>
      </c>
      <c r="G85" s="57">
        <v>132.2296</v>
      </c>
      <c r="H85" s="29">
        <v>314</v>
      </c>
      <c r="I85" s="47">
        <v>5.4900000000000001E-4</v>
      </c>
      <c r="J85" s="47">
        <v>0.13969999999999999</v>
      </c>
      <c r="K85" s="26">
        <v>148432932.81</v>
      </c>
      <c r="L85" s="27">
        <f t="shared" si="39"/>
        <v>6.4141098391111331E-4</v>
      </c>
      <c r="M85" s="57">
        <v>131.97579999999999</v>
      </c>
      <c r="N85" s="57">
        <v>131.97579999999999</v>
      </c>
      <c r="O85" s="29">
        <v>318</v>
      </c>
      <c r="P85" s="47">
        <v>5.6400000000000005E-4</v>
      </c>
      <c r="Q85" s="47">
        <v>0.1542</v>
      </c>
      <c r="R85" s="53">
        <f t="shared" si="40"/>
        <v>5.6870933348032058E-3</v>
      </c>
      <c r="S85" s="53">
        <f t="shared" si="41"/>
        <v>-1.9193886996558445E-3</v>
      </c>
      <c r="T85" s="53">
        <f t="shared" si="42"/>
        <v>1.2738853503184714E-2</v>
      </c>
      <c r="U85" s="54">
        <f t="shared" si="43"/>
        <v>1.5000000000000039E-5</v>
      </c>
      <c r="V85" s="55">
        <f t="shared" si="44"/>
        <v>1.4500000000000013E-2</v>
      </c>
    </row>
    <row r="86" spans="1:22">
      <c r="A86" s="165">
        <v>75</v>
      </c>
      <c r="B86" s="162" t="s">
        <v>123</v>
      </c>
      <c r="C86" s="163" t="s">
        <v>94</v>
      </c>
      <c r="D86" s="26">
        <v>2593900257.1100001</v>
      </c>
      <c r="E86" s="27">
        <f t="shared" si="45"/>
        <v>1.1250166237246817E-2</v>
      </c>
      <c r="F86" s="32">
        <v>1231.72</v>
      </c>
      <c r="G86" s="32">
        <v>1231.72</v>
      </c>
      <c r="H86" s="29">
        <v>365</v>
      </c>
      <c r="I86" s="47">
        <v>1.9599999999999999E-2</v>
      </c>
      <c r="J86" s="47">
        <v>0.2094</v>
      </c>
      <c r="K86" s="26">
        <v>2596716425.3000002</v>
      </c>
      <c r="L86" s="27">
        <f t="shared" si="39"/>
        <v>1.1220976408394541E-2</v>
      </c>
      <c r="M86" s="32">
        <v>1236.07</v>
      </c>
      <c r="N86" s="32">
        <v>1236.07</v>
      </c>
      <c r="O86" s="29">
        <v>362</v>
      </c>
      <c r="P86" s="47">
        <v>1.9800000000000002E-2</v>
      </c>
      <c r="Q86" s="47">
        <v>0.21</v>
      </c>
      <c r="R86" s="53">
        <f t="shared" si="40"/>
        <v>1.085688696888329E-3</v>
      </c>
      <c r="S86" s="53">
        <f t="shared" si="41"/>
        <v>3.5316468028447285E-3</v>
      </c>
      <c r="T86" s="53">
        <f t="shared" si="42"/>
        <v>-8.21917808219178E-3</v>
      </c>
      <c r="U86" s="54">
        <f t="shared" si="43"/>
        <v>2.0000000000000226E-4</v>
      </c>
      <c r="V86" s="55">
        <f t="shared" si="44"/>
        <v>5.9999999999998943E-4</v>
      </c>
    </row>
    <row r="87" spans="1:22">
      <c r="A87" s="165">
        <v>76</v>
      </c>
      <c r="B87" s="162" t="s">
        <v>124</v>
      </c>
      <c r="C87" s="163" t="s">
        <v>68</v>
      </c>
      <c r="D87" s="26">
        <v>162264568.24000001</v>
      </c>
      <c r="E87" s="27">
        <f t="shared" si="45"/>
        <v>7.0376775749618416E-4</v>
      </c>
      <c r="F87" s="32">
        <v>1112.25</v>
      </c>
      <c r="G87" s="32">
        <v>1134.69</v>
      </c>
      <c r="H87" s="29">
        <v>70</v>
      </c>
      <c r="I87" s="47">
        <v>1.9E-3</v>
      </c>
      <c r="J87" s="47">
        <v>0.1115</v>
      </c>
      <c r="K87" s="26">
        <v>162762908.08000001</v>
      </c>
      <c r="L87" s="27">
        <f t="shared" si="39"/>
        <v>7.0333392354013748E-4</v>
      </c>
      <c r="M87" s="32">
        <v>1114.6600000000001</v>
      </c>
      <c r="N87" s="32">
        <v>1137.95</v>
      </c>
      <c r="O87" s="29">
        <v>70</v>
      </c>
      <c r="P87" s="47">
        <v>2.8E-3</v>
      </c>
      <c r="Q87" s="47">
        <v>0.1143</v>
      </c>
      <c r="R87" s="53">
        <f t="shared" si="40"/>
        <v>3.0711562321043867E-3</v>
      </c>
      <c r="S87" s="53">
        <f t="shared" si="41"/>
        <v>2.8730314006468645E-3</v>
      </c>
      <c r="T87" s="53">
        <f t="shared" si="42"/>
        <v>0</v>
      </c>
      <c r="U87" s="54">
        <f t="shared" si="43"/>
        <v>8.9999999999999998E-4</v>
      </c>
      <c r="V87" s="55">
        <f t="shared" si="44"/>
        <v>2.7999999999999969E-3</v>
      </c>
    </row>
    <row r="88" spans="1:22">
      <c r="A88" s="165">
        <v>77</v>
      </c>
      <c r="B88" s="162" t="s">
        <v>125</v>
      </c>
      <c r="C88" s="163" t="s">
        <v>71</v>
      </c>
      <c r="D88" s="26">
        <v>695850362.53999996</v>
      </c>
      <c r="E88" s="27">
        <f t="shared" si="45"/>
        <v>3.0180159138214245E-3</v>
      </c>
      <c r="F88" s="58">
        <v>1.1407</v>
      </c>
      <c r="G88" s="58">
        <v>1.1407</v>
      </c>
      <c r="H88" s="29">
        <v>54</v>
      </c>
      <c r="I88" s="47">
        <v>1.5E-3</v>
      </c>
      <c r="J88" s="47">
        <v>0.10050000000000001</v>
      </c>
      <c r="K88" s="26">
        <v>695498934.29999995</v>
      </c>
      <c r="L88" s="27">
        <f t="shared" si="39"/>
        <v>3.0054021524288021E-3</v>
      </c>
      <c r="M88" s="58">
        <v>1.1499999999999999</v>
      </c>
      <c r="N88" s="58">
        <v>1.1499999999999999</v>
      </c>
      <c r="O88" s="29">
        <v>54</v>
      </c>
      <c r="P88" s="47">
        <v>1.5E-3</v>
      </c>
      <c r="Q88" s="47">
        <v>0.1003</v>
      </c>
      <c r="R88" s="53">
        <f t="shared" si="40"/>
        <v>-5.0503421269656686E-4</v>
      </c>
      <c r="S88" s="53">
        <f t="shared" si="41"/>
        <v>8.1528885771893246E-3</v>
      </c>
      <c r="T88" s="53">
        <f t="shared" si="42"/>
        <v>0</v>
      </c>
      <c r="U88" s="54">
        <f t="shared" si="43"/>
        <v>0</v>
      </c>
      <c r="V88" s="55">
        <f t="shared" si="44"/>
        <v>-2.0000000000000573E-4</v>
      </c>
    </row>
    <row r="89" spans="1:22">
      <c r="A89" s="165">
        <v>78</v>
      </c>
      <c r="B89" s="162" t="s">
        <v>126</v>
      </c>
      <c r="C89" s="163" t="s">
        <v>29</v>
      </c>
      <c r="D89" s="58">
        <v>11720554585.27</v>
      </c>
      <c r="E89" s="27">
        <f t="shared" si="45"/>
        <v>5.0833946723889467E-2</v>
      </c>
      <c r="F89" s="58">
        <v>1737.3</v>
      </c>
      <c r="G89" s="58">
        <v>1737.3</v>
      </c>
      <c r="H89" s="29">
        <v>2067</v>
      </c>
      <c r="I89" s="47">
        <v>8.9999999999999998E-4</v>
      </c>
      <c r="J89" s="47">
        <v>2.6200000000000001E-2</v>
      </c>
      <c r="K89" s="58">
        <v>11729839498.15</v>
      </c>
      <c r="L89" s="27">
        <f t="shared" si="39"/>
        <v>5.0687187480546493E-2</v>
      </c>
      <c r="M89" s="58">
        <v>1738.91</v>
      </c>
      <c r="N89" s="58">
        <v>1738.91</v>
      </c>
      <c r="O89" s="29">
        <v>2064</v>
      </c>
      <c r="P89" s="47">
        <v>8.9999999999999998E-4</v>
      </c>
      <c r="Q89" s="47">
        <v>2.7099999999999999E-2</v>
      </c>
      <c r="R89" s="53">
        <f t="shared" si="40"/>
        <v>7.9219057532210356E-4</v>
      </c>
      <c r="S89" s="53">
        <f t="shared" si="41"/>
        <v>9.2672537846090334E-4</v>
      </c>
      <c r="T89" s="53">
        <f t="shared" si="42"/>
        <v>-1.4513788098693759E-3</v>
      </c>
      <c r="U89" s="54">
        <f t="shared" si="43"/>
        <v>0</v>
      </c>
      <c r="V89" s="55">
        <f t="shared" si="44"/>
        <v>8.9999999999999802E-4</v>
      </c>
    </row>
    <row r="90" spans="1:22">
      <c r="A90" s="165">
        <v>79</v>
      </c>
      <c r="B90" s="162" t="s">
        <v>127</v>
      </c>
      <c r="C90" s="163" t="s">
        <v>76</v>
      </c>
      <c r="D90" s="26">
        <v>23329555.239999998</v>
      </c>
      <c r="E90" s="27">
        <f t="shared" si="45"/>
        <v>1.0118406595304265E-4</v>
      </c>
      <c r="F90" s="57">
        <v>0.71250000000000002</v>
      </c>
      <c r="G90" s="57">
        <v>0.71250000000000002</v>
      </c>
      <c r="H90" s="29">
        <v>745</v>
      </c>
      <c r="I90" s="47">
        <v>2.0999999999999999E-3</v>
      </c>
      <c r="J90" s="47">
        <v>-5.8999999999999999E-3</v>
      </c>
      <c r="K90" s="26">
        <v>23381076.899999999</v>
      </c>
      <c r="L90" s="27">
        <f t="shared" si="39"/>
        <v>1.0103471820857301E-4</v>
      </c>
      <c r="M90" s="57">
        <v>0.71409999999999996</v>
      </c>
      <c r="N90" s="57">
        <v>0.71409999999999996</v>
      </c>
      <c r="O90" s="29">
        <v>745</v>
      </c>
      <c r="P90" s="47">
        <v>2.2000000000000001E-3</v>
      </c>
      <c r="Q90" s="47">
        <v>-3.5999999999999999E-3</v>
      </c>
      <c r="R90" s="53">
        <f t="shared" si="40"/>
        <v>2.2084287278508852E-3</v>
      </c>
      <c r="S90" s="53">
        <f t="shared" si="41"/>
        <v>2.2456140350876276E-3</v>
      </c>
      <c r="T90" s="53">
        <f t="shared" si="42"/>
        <v>0</v>
      </c>
      <c r="U90" s="54">
        <f t="shared" si="43"/>
        <v>1.0000000000000026E-4</v>
      </c>
      <c r="V90" s="55">
        <f t="shared" si="44"/>
        <v>2.3E-3</v>
      </c>
    </row>
    <row r="91" spans="1:22">
      <c r="A91" s="165">
        <v>80</v>
      </c>
      <c r="B91" s="162" t="s">
        <v>128</v>
      </c>
      <c r="C91" s="163" t="s">
        <v>35</v>
      </c>
      <c r="D91" s="26">
        <v>10643239832.91</v>
      </c>
      <c r="E91" s="27">
        <f t="shared" si="45"/>
        <v>4.6161457864432744E-2</v>
      </c>
      <c r="F91" s="57">
        <v>1</v>
      </c>
      <c r="G91" s="57">
        <v>1</v>
      </c>
      <c r="H91" s="29">
        <v>4508</v>
      </c>
      <c r="I91" s="47">
        <v>0.06</v>
      </c>
      <c r="J91" s="47">
        <v>0.06</v>
      </c>
      <c r="K91" s="26">
        <v>10666898640.99</v>
      </c>
      <c r="L91" s="27">
        <f t="shared" si="39"/>
        <v>4.6093988868059162E-2</v>
      </c>
      <c r="M91" s="57">
        <v>1</v>
      </c>
      <c r="N91" s="57">
        <v>1</v>
      </c>
      <c r="O91" s="29">
        <v>4533</v>
      </c>
      <c r="P91" s="47">
        <v>0.06</v>
      </c>
      <c r="Q91" s="47">
        <v>0.06</v>
      </c>
      <c r="R91" s="53">
        <f t="shared" si="40"/>
        <v>2.2228953261810786E-3</v>
      </c>
      <c r="S91" s="53">
        <f t="shared" si="41"/>
        <v>0</v>
      </c>
      <c r="T91" s="53">
        <f t="shared" si="42"/>
        <v>5.5456965394853593E-3</v>
      </c>
      <c r="U91" s="54">
        <f t="shared" si="43"/>
        <v>0</v>
      </c>
      <c r="V91" s="55">
        <f t="shared" si="44"/>
        <v>0</v>
      </c>
    </row>
    <row r="92" spans="1:22">
      <c r="A92" s="165">
        <v>81</v>
      </c>
      <c r="B92" s="162" t="s">
        <v>129</v>
      </c>
      <c r="C92" s="163" t="s">
        <v>130</v>
      </c>
      <c r="D92" s="26">
        <v>1567070931.54</v>
      </c>
      <c r="E92" s="27">
        <f t="shared" si="45"/>
        <v>6.7966408642961924E-3</v>
      </c>
      <c r="F92" s="26">
        <v>262.7</v>
      </c>
      <c r="G92" s="26">
        <v>266.81</v>
      </c>
      <c r="H92" s="29">
        <v>562</v>
      </c>
      <c r="I92" s="47">
        <v>3.0000000000000001E-3</v>
      </c>
      <c r="J92" s="47">
        <v>0.18559999999999999</v>
      </c>
      <c r="K92" s="26">
        <v>1562450685.72</v>
      </c>
      <c r="L92" s="27">
        <f t="shared" si="39"/>
        <v>6.7516892152436267E-3</v>
      </c>
      <c r="M92" s="26">
        <v>264.66000000000003</v>
      </c>
      <c r="N92" s="26">
        <v>264.66000000000003</v>
      </c>
      <c r="O92" s="29">
        <v>562</v>
      </c>
      <c r="P92" s="47">
        <v>3.0000000000000001E-3</v>
      </c>
      <c r="Q92" s="47">
        <v>0.18559999999999999</v>
      </c>
      <c r="R92" s="53">
        <f t="shared" si="40"/>
        <v>-2.94833228478018E-3</v>
      </c>
      <c r="S92" s="53">
        <f t="shared" si="41"/>
        <v>-8.0581687343052252E-3</v>
      </c>
      <c r="T92" s="53">
        <f t="shared" si="42"/>
        <v>0</v>
      </c>
      <c r="U92" s="54">
        <f t="shared" si="43"/>
        <v>0</v>
      </c>
      <c r="V92" s="55">
        <f t="shared" si="44"/>
        <v>0</v>
      </c>
    </row>
    <row r="93" spans="1:22">
      <c r="A93" s="165">
        <v>82</v>
      </c>
      <c r="B93" s="162" t="s">
        <v>131</v>
      </c>
      <c r="C93" s="163" t="s">
        <v>39</v>
      </c>
      <c r="D93" s="26">
        <v>1139431169.45</v>
      </c>
      <c r="E93" s="27">
        <f t="shared" si="45"/>
        <v>4.9418978378509941E-3</v>
      </c>
      <c r="F93" s="57">
        <v>3.9</v>
      </c>
      <c r="G93" s="57">
        <v>3.9</v>
      </c>
      <c r="H93" s="43">
        <v>767</v>
      </c>
      <c r="I93" s="50">
        <v>6.9999999999999999E-4</v>
      </c>
      <c r="J93" s="50">
        <v>0.1079</v>
      </c>
      <c r="K93" s="26">
        <v>1141546070.6300001</v>
      </c>
      <c r="L93" s="27">
        <f t="shared" si="39"/>
        <v>4.9328688349767951E-3</v>
      </c>
      <c r="M93" s="57">
        <v>3.9</v>
      </c>
      <c r="N93" s="57">
        <v>3.9</v>
      </c>
      <c r="O93" s="43">
        <v>768</v>
      </c>
      <c r="P93" s="50">
        <v>1.9E-3</v>
      </c>
      <c r="Q93" s="50">
        <v>0.10780000000000001</v>
      </c>
      <c r="R93" s="53">
        <f t="shared" si="40"/>
        <v>1.8561026209428018E-3</v>
      </c>
      <c r="S93" s="53">
        <f t="shared" si="41"/>
        <v>0</v>
      </c>
      <c r="T93" s="53">
        <f t="shared" si="42"/>
        <v>1.3037809647979139E-3</v>
      </c>
      <c r="U93" s="54">
        <f t="shared" si="43"/>
        <v>1.2000000000000001E-3</v>
      </c>
      <c r="V93" s="55">
        <f t="shared" si="44"/>
        <v>-9.9999999999988987E-5</v>
      </c>
    </row>
    <row r="94" spans="1:22">
      <c r="A94" s="165">
        <v>83</v>
      </c>
      <c r="B94" s="162" t="s">
        <v>132</v>
      </c>
      <c r="C94" s="163" t="s">
        <v>41</v>
      </c>
      <c r="D94" s="26">
        <v>640054971.14999998</v>
      </c>
      <c r="E94" s="27">
        <f t="shared" si="45"/>
        <v>2.7760222493814855E-3</v>
      </c>
      <c r="F94" s="57">
        <v>108.68</v>
      </c>
      <c r="G94" s="57">
        <v>108.68</v>
      </c>
      <c r="H94" s="43">
        <v>161</v>
      </c>
      <c r="I94" s="50">
        <v>0.1525</v>
      </c>
      <c r="J94" s="50">
        <v>0.17580000000000001</v>
      </c>
      <c r="K94" s="26">
        <v>655731751.92999995</v>
      </c>
      <c r="L94" s="27">
        <f t="shared" si="39"/>
        <v>2.8335595088291874E-3</v>
      </c>
      <c r="M94" s="57">
        <v>109.02</v>
      </c>
      <c r="N94" s="57">
        <v>109.02</v>
      </c>
      <c r="O94" s="43">
        <v>161</v>
      </c>
      <c r="P94" s="50">
        <v>0.15210000000000001</v>
      </c>
      <c r="Q94" s="50">
        <v>0.17580000000000001</v>
      </c>
      <c r="R94" s="53">
        <f t="shared" si="40"/>
        <v>2.4492866217151906E-2</v>
      </c>
      <c r="S94" s="53">
        <f t="shared" si="41"/>
        <v>3.1284504968714499E-3</v>
      </c>
      <c r="T94" s="53">
        <f t="shared" si="42"/>
        <v>0</v>
      </c>
      <c r="U94" s="54">
        <f t="shared" si="43"/>
        <v>-3.999999999999837E-4</v>
      </c>
      <c r="V94" s="55">
        <f t="shared" si="44"/>
        <v>0</v>
      </c>
    </row>
    <row r="95" spans="1:22">
      <c r="A95" s="165">
        <v>84</v>
      </c>
      <c r="B95" s="163" t="s">
        <v>133</v>
      </c>
      <c r="C95" s="168" t="s">
        <v>45</v>
      </c>
      <c r="D95" s="26">
        <v>1002810407.87</v>
      </c>
      <c r="E95" s="27">
        <f t="shared" si="45"/>
        <v>4.3493514301696434E-3</v>
      </c>
      <c r="F95" s="57">
        <v>108.55</v>
      </c>
      <c r="G95" s="57">
        <v>109</v>
      </c>
      <c r="H95" s="29">
        <v>289</v>
      </c>
      <c r="I95" s="47">
        <v>3.2000000000000002E-3</v>
      </c>
      <c r="J95" s="47">
        <v>0.1091</v>
      </c>
      <c r="K95" s="26">
        <v>997266286.39999998</v>
      </c>
      <c r="L95" s="27">
        <f t="shared" si="39"/>
        <v>4.3094045093078704E-3</v>
      </c>
      <c r="M95" s="57">
        <v>107.84</v>
      </c>
      <c r="N95" s="57">
        <v>108.35</v>
      </c>
      <c r="O95" s="29">
        <v>289</v>
      </c>
      <c r="P95" s="47">
        <v>3.8E-3</v>
      </c>
      <c r="Q95" s="47">
        <v>0.1128</v>
      </c>
      <c r="R95" s="53">
        <f t="shared" si="40"/>
        <v>-5.5285838943134949E-3</v>
      </c>
      <c r="S95" s="53">
        <f t="shared" si="41"/>
        <v>-5.9633027522936304E-3</v>
      </c>
      <c r="T95" s="53">
        <f t="shared" si="42"/>
        <v>0</v>
      </c>
      <c r="U95" s="54">
        <f t="shared" si="43"/>
        <v>5.9999999999999984E-4</v>
      </c>
      <c r="V95" s="55">
        <f t="shared" si="44"/>
        <v>3.699999999999995E-3</v>
      </c>
    </row>
    <row r="96" spans="1:22">
      <c r="A96" s="165">
        <v>85</v>
      </c>
      <c r="B96" s="162" t="s">
        <v>134</v>
      </c>
      <c r="C96" s="163" t="s">
        <v>17</v>
      </c>
      <c r="D96" s="124">
        <v>1556215911.24</v>
      </c>
      <c r="E96" s="27">
        <f t="shared" si="45"/>
        <v>6.7495608801877247E-3</v>
      </c>
      <c r="F96" s="57">
        <v>376.66219999999998</v>
      </c>
      <c r="G96" s="57">
        <v>376.66219999999998</v>
      </c>
      <c r="H96" s="29">
        <v>90</v>
      </c>
      <c r="I96" s="47">
        <v>2.5999999999999999E-3</v>
      </c>
      <c r="J96" s="47">
        <v>9.6100000000000005E-2</v>
      </c>
      <c r="K96" s="124">
        <v>1561284339.6700001</v>
      </c>
      <c r="L96" s="27">
        <f t="shared" si="39"/>
        <v>6.7466491803042858E-3</v>
      </c>
      <c r="M96" s="57">
        <v>377.6814</v>
      </c>
      <c r="N96" s="57">
        <v>377.6814</v>
      </c>
      <c r="O96" s="29">
        <v>90</v>
      </c>
      <c r="P96" s="47">
        <v>2.7000000000000001E-3</v>
      </c>
      <c r="Q96" s="47">
        <v>9.9000000000000005E-2</v>
      </c>
      <c r="R96" s="53">
        <f t="shared" si="40"/>
        <v>3.256892821486139E-3</v>
      </c>
      <c r="S96" s="53">
        <f t="shared" si="41"/>
        <v>2.7058727953057464E-3</v>
      </c>
      <c r="T96" s="53">
        <f t="shared" si="42"/>
        <v>0</v>
      </c>
      <c r="U96" s="54">
        <f t="shared" si="43"/>
        <v>1.0000000000000026E-4</v>
      </c>
      <c r="V96" s="55">
        <f t="shared" si="44"/>
        <v>2.8999999999999998E-3</v>
      </c>
    </row>
    <row r="97" spans="1:22">
      <c r="A97" s="165">
        <v>86</v>
      </c>
      <c r="B97" s="162" t="s">
        <v>135</v>
      </c>
      <c r="C97" s="163" t="s">
        <v>85</v>
      </c>
      <c r="D97" s="41">
        <v>1781680814</v>
      </c>
      <c r="E97" s="27">
        <f>(D97/$K$70)</f>
        <v>4.5610614847384169E-4</v>
      </c>
      <c r="F97" s="57">
        <v>103.78</v>
      </c>
      <c r="G97" s="57">
        <v>103.78</v>
      </c>
      <c r="H97" s="29">
        <v>403</v>
      </c>
      <c r="I97" s="47">
        <v>6.7999999999999996E-3</v>
      </c>
      <c r="J97" s="47">
        <v>0.13689999999999999</v>
      </c>
      <c r="K97" s="41">
        <v>1730258043</v>
      </c>
      <c r="L97" s="27">
        <f>(K97/$K$70)</f>
        <v>4.4294203858369477E-4</v>
      </c>
      <c r="M97" s="57">
        <v>104.7</v>
      </c>
      <c r="N97" s="57">
        <v>104.7</v>
      </c>
      <c r="O97" s="29">
        <v>404</v>
      </c>
      <c r="P97" s="47">
        <v>8.8000000000000005E-3</v>
      </c>
      <c r="Q97" s="47">
        <v>0.14599999999999999</v>
      </c>
      <c r="R97" s="53">
        <f t="shared" si="40"/>
        <v>-2.8861943506341199E-2</v>
      </c>
      <c r="S97" s="53">
        <f t="shared" si="41"/>
        <v>8.8649065330507013E-3</v>
      </c>
      <c r="T97" s="53">
        <f t="shared" si="42"/>
        <v>2.4813895781637717E-3</v>
      </c>
      <c r="U97" s="54">
        <f t="shared" si="43"/>
        <v>2.0000000000000009E-3</v>
      </c>
      <c r="V97" s="55">
        <f t="shared" si="44"/>
        <v>9.099999999999997E-3</v>
      </c>
    </row>
    <row r="98" spans="1:22">
      <c r="A98" s="165">
        <v>87</v>
      </c>
      <c r="B98" s="162" t="s">
        <v>136</v>
      </c>
      <c r="C98" s="163" t="s">
        <v>43</v>
      </c>
      <c r="D98" s="26">
        <v>56998457.329999998</v>
      </c>
      <c r="E98" s="27">
        <f t="shared" ref="E98:E111" si="54">(D98/$D$112)</f>
        <v>2.4721155660147113E-4</v>
      </c>
      <c r="F98" s="26">
        <v>12.79</v>
      </c>
      <c r="G98" s="26">
        <v>13.12</v>
      </c>
      <c r="H98" s="29">
        <v>59</v>
      </c>
      <c r="I98" s="47">
        <v>0</v>
      </c>
      <c r="J98" s="47">
        <v>7.1199999999999999E-2</v>
      </c>
      <c r="K98" s="26">
        <v>59357915.109999999</v>
      </c>
      <c r="L98" s="27">
        <f t="shared" ref="L98:L111" si="55">(K98/$K$112)</f>
        <v>2.5649846036763385E-4</v>
      </c>
      <c r="M98" s="26">
        <v>12.79</v>
      </c>
      <c r="N98" s="26">
        <v>13.12</v>
      </c>
      <c r="O98" s="29">
        <v>59</v>
      </c>
      <c r="P98" s="47">
        <v>0</v>
      </c>
      <c r="Q98" s="47">
        <v>7.1199999999999999E-2</v>
      </c>
      <c r="R98" s="53">
        <f t="shared" si="40"/>
        <v>4.1395116473760207E-2</v>
      </c>
      <c r="S98" s="53">
        <f t="shared" si="41"/>
        <v>0</v>
      </c>
      <c r="T98" s="53">
        <f t="shared" si="42"/>
        <v>0</v>
      </c>
      <c r="U98" s="54">
        <f t="shared" si="43"/>
        <v>0</v>
      </c>
      <c r="V98" s="55">
        <f t="shared" si="44"/>
        <v>0</v>
      </c>
    </row>
    <row r="99" spans="1:22">
      <c r="A99" s="165">
        <v>88</v>
      </c>
      <c r="B99" s="162" t="s">
        <v>137</v>
      </c>
      <c r="C99" s="163" t="s">
        <v>138</v>
      </c>
      <c r="D99" s="26">
        <v>750421410.89999998</v>
      </c>
      <c r="E99" s="27">
        <f t="shared" si="54"/>
        <v>3.2546994039086073E-3</v>
      </c>
      <c r="F99" s="26">
        <v>148.47999999999999</v>
      </c>
      <c r="G99" s="26">
        <v>148.47999999999999</v>
      </c>
      <c r="H99" s="29">
        <v>155</v>
      </c>
      <c r="I99" s="47">
        <v>0.1827</v>
      </c>
      <c r="J99" s="47">
        <v>0.19359999999999999</v>
      </c>
      <c r="K99" s="26">
        <v>770093437.34000003</v>
      </c>
      <c r="L99" s="27">
        <f t="shared" si="55"/>
        <v>3.3277412228997156E-3</v>
      </c>
      <c r="M99" s="26">
        <v>148.85</v>
      </c>
      <c r="N99" s="26">
        <v>148.85</v>
      </c>
      <c r="O99" s="29">
        <v>165</v>
      </c>
      <c r="P99" s="47">
        <v>0.1978</v>
      </c>
      <c r="Q99" s="47">
        <v>0.19370000000000001</v>
      </c>
      <c r="R99" s="53">
        <f t="shared" si="40"/>
        <v>2.6214639073806386E-2</v>
      </c>
      <c r="S99" s="53">
        <f t="shared" si="41"/>
        <v>2.4919181034483069E-3</v>
      </c>
      <c r="T99" s="53">
        <f t="shared" si="42"/>
        <v>6.4516129032258063E-2</v>
      </c>
      <c r="U99" s="54">
        <f t="shared" si="43"/>
        <v>1.5100000000000002E-2</v>
      </c>
      <c r="V99" s="55">
        <f t="shared" si="44"/>
        <v>1.0000000000001674E-4</v>
      </c>
    </row>
    <row r="100" spans="1:22">
      <c r="A100" s="165">
        <v>89</v>
      </c>
      <c r="B100" s="162" t="s">
        <v>139</v>
      </c>
      <c r="C100" s="163" t="s">
        <v>140</v>
      </c>
      <c r="D100" s="26">
        <v>9929348708.2913609</v>
      </c>
      <c r="E100" s="27">
        <f t="shared" si="54"/>
        <v>4.3065196238627992E-2</v>
      </c>
      <c r="F100" s="26">
        <v>1.1100000000000001</v>
      </c>
      <c r="G100" s="26">
        <v>1.1100000000000001</v>
      </c>
      <c r="H100" s="29">
        <v>4964</v>
      </c>
      <c r="I100" s="47">
        <v>0.19020000000000001</v>
      </c>
      <c r="J100" s="47">
        <v>0.19020000000000001</v>
      </c>
      <c r="K100" s="26">
        <v>9970873229.5092392</v>
      </c>
      <c r="L100" s="27">
        <f t="shared" si="55"/>
        <v>4.3086311693233875E-2</v>
      </c>
      <c r="M100" s="26">
        <v>1.1200000000000001</v>
      </c>
      <c r="N100" s="26">
        <v>1.1200000000000001</v>
      </c>
      <c r="O100" s="29">
        <v>4967</v>
      </c>
      <c r="P100" s="47">
        <v>0.19020000000000001</v>
      </c>
      <c r="Q100" s="47">
        <v>0.19020000000000001</v>
      </c>
      <c r="R100" s="53">
        <f t="shared" si="40"/>
        <v>4.1819984812502238E-3</v>
      </c>
      <c r="S100" s="53">
        <f t="shared" si="41"/>
        <v>9.0090090090090159E-3</v>
      </c>
      <c r="T100" s="53">
        <f t="shared" si="42"/>
        <v>6.0435132957292509E-4</v>
      </c>
      <c r="U100" s="54">
        <f t="shared" si="43"/>
        <v>0</v>
      </c>
      <c r="V100" s="55">
        <f t="shared" si="44"/>
        <v>0</v>
      </c>
    </row>
    <row r="101" spans="1:22" ht="14.25" customHeight="1">
      <c r="A101" s="165">
        <v>90</v>
      </c>
      <c r="B101" s="162" t="s">
        <v>141</v>
      </c>
      <c r="C101" s="163" t="s">
        <v>47</v>
      </c>
      <c r="D101" s="26">
        <v>7508748584.2600002</v>
      </c>
      <c r="E101" s="27">
        <f t="shared" si="54"/>
        <v>3.2566660793940605E-2</v>
      </c>
      <c r="F101" s="26">
        <v>5176.08</v>
      </c>
      <c r="G101" s="26">
        <v>5176.08</v>
      </c>
      <c r="H101" s="29">
        <v>233</v>
      </c>
      <c r="I101" s="47">
        <v>0</v>
      </c>
      <c r="J101" s="47">
        <v>1.6999999999999999E-3</v>
      </c>
      <c r="K101" s="26">
        <v>7508748312.8100004</v>
      </c>
      <c r="L101" s="27">
        <f t="shared" si="55"/>
        <v>3.2446934464505209E-2</v>
      </c>
      <c r="M101" s="26">
        <v>5176.08</v>
      </c>
      <c r="N101" s="26">
        <v>5176.08</v>
      </c>
      <c r="O101" s="29">
        <v>233</v>
      </c>
      <c r="P101" s="47">
        <v>0</v>
      </c>
      <c r="Q101" s="47">
        <v>1.6999999999999999E-3</v>
      </c>
      <c r="R101" s="53">
        <f t="shared" si="40"/>
        <v>-3.6151163774251872E-8</v>
      </c>
      <c r="S101" s="53">
        <f t="shared" si="41"/>
        <v>0</v>
      </c>
      <c r="T101" s="53">
        <f t="shared" si="42"/>
        <v>0</v>
      </c>
      <c r="U101" s="54">
        <f t="shared" si="43"/>
        <v>0</v>
      </c>
      <c r="V101" s="55">
        <f t="shared" si="44"/>
        <v>0</v>
      </c>
    </row>
    <row r="102" spans="1:22" ht="13.5" customHeight="1">
      <c r="A102" s="165">
        <v>91</v>
      </c>
      <c r="B102" s="162" t="s">
        <v>142</v>
      </c>
      <c r="C102" s="163" t="s">
        <v>47</v>
      </c>
      <c r="D102" s="26">
        <v>16589397174.389999</v>
      </c>
      <c r="E102" s="27">
        <f t="shared" si="54"/>
        <v>7.1950906930992875E-2</v>
      </c>
      <c r="F102" s="57">
        <v>259.17</v>
      </c>
      <c r="G102" s="57">
        <v>259.17</v>
      </c>
      <c r="H102" s="29">
        <v>6116</v>
      </c>
      <c r="I102" s="47">
        <v>0</v>
      </c>
      <c r="J102" s="47">
        <v>1.1999999999999999E-3</v>
      </c>
      <c r="K102" s="26">
        <v>16571264290.549999</v>
      </c>
      <c r="L102" s="27">
        <f t="shared" si="55"/>
        <v>7.1608036923034454E-2</v>
      </c>
      <c r="M102" s="57">
        <v>259.17</v>
      </c>
      <c r="N102" s="57">
        <v>259.17</v>
      </c>
      <c r="O102" s="29">
        <v>6116</v>
      </c>
      <c r="P102" s="47">
        <v>0</v>
      </c>
      <c r="Q102" s="47">
        <v>1.1999999999999999E-3</v>
      </c>
      <c r="R102" s="53">
        <f t="shared" si="40"/>
        <v>-1.0930405517081067E-3</v>
      </c>
      <c r="S102" s="53">
        <f t="shared" si="41"/>
        <v>0</v>
      </c>
      <c r="T102" s="53">
        <f t="shared" si="42"/>
        <v>0</v>
      </c>
      <c r="U102" s="54">
        <f t="shared" si="43"/>
        <v>0</v>
      </c>
      <c r="V102" s="55">
        <f t="shared" si="44"/>
        <v>0</v>
      </c>
    </row>
    <row r="103" spans="1:22" ht="13.5" customHeight="1">
      <c r="A103" s="165">
        <v>92</v>
      </c>
      <c r="B103" s="162" t="s">
        <v>143</v>
      </c>
      <c r="C103" s="163" t="s">
        <v>47</v>
      </c>
      <c r="D103" s="26">
        <v>533070221.25999999</v>
      </c>
      <c r="E103" s="27">
        <f t="shared" si="54"/>
        <v>2.3120120324066186E-3</v>
      </c>
      <c r="F103" s="32">
        <v>8805.11</v>
      </c>
      <c r="G103" s="32">
        <v>8841.86</v>
      </c>
      <c r="H103" s="29">
        <v>15</v>
      </c>
      <c r="I103" s="47">
        <v>1.0200000000000001E-2</v>
      </c>
      <c r="J103" s="47">
        <v>0.2959</v>
      </c>
      <c r="K103" s="26">
        <v>534977186.36000001</v>
      </c>
      <c r="L103" s="27">
        <f t="shared" si="55"/>
        <v>2.3117527692617895E-3</v>
      </c>
      <c r="M103" s="32">
        <v>8836.6200000000008</v>
      </c>
      <c r="N103" s="32">
        <v>8873.49</v>
      </c>
      <c r="O103" s="29">
        <v>15</v>
      </c>
      <c r="P103" s="47">
        <v>3.5999999999999999E-3</v>
      </c>
      <c r="Q103" s="47">
        <v>0.30049999999999999</v>
      </c>
      <c r="R103" s="53">
        <f t="shared" si="40"/>
        <v>3.5773243823160766E-3</v>
      </c>
      <c r="S103" s="53">
        <f t="shared" si="41"/>
        <v>3.5773016084850017E-3</v>
      </c>
      <c r="T103" s="53">
        <f t="shared" si="42"/>
        <v>0</v>
      </c>
      <c r="U103" s="54">
        <f t="shared" si="43"/>
        <v>-6.6000000000000008E-3</v>
      </c>
      <c r="V103" s="55">
        <f t="shared" si="44"/>
        <v>4.599999999999993E-3</v>
      </c>
    </row>
    <row r="104" spans="1:22" ht="15" customHeight="1">
      <c r="A104" s="165">
        <v>93</v>
      </c>
      <c r="B104" s="162" t="s">
        <v>144</v>
      </c>
      <c r="C104" s="163" t="s">
        <v>47</v>
      </c>
      <c r="D104" s="26">
        <v>6447338789.4099998</v>
      </c>
      <c r="E104" s="27">
        <f t="shared" si="54"/>
        <v>2.7963154315550152E-2</v>
      </c>
      <c r="F104" s="57">
        <v>154.27000000000001</v>
      </c>
      <c r="G104" s="57">
        <v>154.27000000000001</v>
      </c>
      <c r="H104" s="29">
        <v>4899</v>
      </c>
      <c r="I104" s="47">
        <v>3.3999999999999998E-3</v>
      </c>
      <c r="J104" s="47">
        <v>0.11890000000000001</v>
      </c>
      <c r="K104" s="26">
        <v>6462761617.1300001</v>
      </c>
      <c r="L104" s="27">
        <f t="shared" si="55"/>
        <v>2.7926998470969112E-2</v>
      </c>
      <c r="M104" s="57">
        <v>154.72999999999999</v>
      </c>
      <c r="N104" s="57">
        <v>154.72999999999999</v>
      </c>
      <c r="O104" s="29">
        <v>4934</v>
      </c>
      <c r="P104" s="47">
        <v>3.0000000000000001E-3</v>
      </c>
      <c r="Q104" s="47">
        <v>0.1222</v>
      </c>
      <c r="R104" s="53">
        <f t="shared" si="40"/>
        <v>2.392123048556538E-3</v>
      </c>
      <c r="S104" s="53">
        <f t="shared" si="41"/>
        <v>2.981785181823942E-3</v>
      </c>
      <c r="T104" s="53">
        <f t="shared" si="42"/>
        <v>7.1443151663604819E-3</v>
      </c>
      <c r="U104" s="54">
        <f t="shared" si="43"/>
        <v>-3.9999999999999975E-4</v>
      </c>
      <c r="V104" s="55">
        <f t="shared" si="44"/>
        <v>3.2999999999999974E-3</v>
      </c>
    </row>
    <row r="105" spans="1:22" ht="15" customHeight="1">
      <c r="A105" s="165">
        <v>94</v>
      </c>
      <c r="B105" s="162" t="s">
        <v>145</v>
      </c>
      <c r="C105" s="163" t="s">
        <v>47</v>
      </c>
      <c r="D105" s="26">
        <v>6628745103.75</v>
      </c>
      <c r="E105" s="27">
        <f t="shared" si="54"/>
        <v>2.8749942931348769E-2</v>
      </c>
      <c r="F105" s="57">
        <v>383.74</v>
      </c>
      <c r="G105" s="57">
        <v>384.41</v>
      </c>
      <c r="H105" s="29">
        <v>10532</v>
      </c>
      <c r="I105" s="47">
        <v>3.3999999999999998E-3</v>
      </c>
      <c r="J105" s="47">
        <v>8.5099999999999995E-2</v>
      </c>
      <c r="K105" s="26">
        <v>6594189973.3800001</v>
      </c>
      <c r="L105" s="27">
        <f t="shared" si="55"/>
        <v>2.8494928981404016E-2</v>
      </c>
      <c r="M105" s="57">
        <v>382.8</v>
      </c>
      <c r="N105" s="57">
        <v>383.46</v>
      </c>
      <c r="O105" s="29">
        <v>10544</v>
      </c>
      <c r="P105" s="47">
        <v>-2.5000000000000001E-3</v>
      </c>
      <c r="Q105" s="47">
        <v>8.2500000000000004E-2</v>
      </c>
      <c r="R105" s="53">
        <f t="shared" si="40"/>
        <v>-5.2129218772421085E-3</v>
      </c>
      <c r="S105" s="53">
        <f t="shared" si="41"/>
        <v>-2.4713196847117543E-3</v>
      </c>
      <c r="T105" s="53">
        <f t="shared" si="42"/>
        <v>1.1393847322445879E-3</v>
      </c>
      <c r="U105" s="54">
        <f t="shared" si="43"/>
        <v>-5.8999999999999999E-3</v>
      </c>
      <c r="V105" s="55">
        <f t="shared" si="44"/>
        <v>-2.5999999999999912E-3</v>
      </c>
    </row>
    <row r="106" spans="1:22" ht="15" customHeight="1">
      <c r="A106" s="165">
        <v>95</v>
      </c>
      <c r="B106" s="162" t="s">
        <v>314</v>
      </c>
      <c r="C106" s="163" t="s">
        <v>99</v>
      </c>
      <c r="D106" s="26">
        <v>89357231.359999999</v>
      </c>
      <c r="E106" s="27">
        <f t="shared" si="54"/>
        <v>3.8755680930467373E-4</v>
      </c>
      <c r="F106" s="57">
        <v>104.502</v>
      </c>
      <c r="G106" s="57">
        <v>104.502</v>
      </c>
      <c r="H106" s="29">
        <v>24</v>
      </c>
      <c r="I106" s="47">
        <v>0.1772</v>
      </c>
      <c r="J106" s="47">
        <v>0.17480000000000001</v>
      </c>
      <c r="K106" s="26">
        <v>89649938.439999998</v>
      </c>
      <c r="L106" s="27">
        <f t="shared" si="55"/>
        <v>3.8739688109495581E-4</v>
      </c>
      <c r="M106" s="57">
        <v>104.8443</v>
      </c>
      <c r="N106" s="57">
        <v>104.8443</v>
      </c>
      <c r="O106" s="29">
        <v>24</v>
      </c>
      <c r="P106" s="47">
        <v>0.17849999999999999</v>
      </c>
      <c r="Q106" s="47">
        <v>0.17849999999999999</v>
      </c>
      <c r="R106" s="53">
        <f t="shared" ref="R106" si="56">((K106-D106)/D106)</f>
        <v>3.2756954926316801E-3</v>
      </c>
      <c r="S106" s="53">
        <f t="shared" ref="S106" si="57">((N106-G106)/G106)</f>
        <v>3.2755353964518262E-3</v>
      </c>
      <c r="T106" s="53">
        <f t="shared" ref="T106" si="58">((O106-H106)/H106)</f>
        <v>0</v>
      </c>
      <c r="U106" s="54">
        <f t="shared" ref="U106" si="59">P106-I106</f>
        <v>1.2999999999999956E-3</v>
      </c>
      <c r="V106" s="55">
        <f t="shared" ref="V106" si="60">Q106-J106</f>
        <v>3.6999999999999811E-3</v>
      </c>
    </row>
    <row r="107" spans="1:22">
      <c r="A107" s="165">
        <v>96</v>
      </c>
      <c r="B107" s="162" t="s">
        <v>146</v>
      </c>
      <c r="C107" s="163" t="s">
        <v>50</v>
      </c>
      <c r="D107" s="26">
        <v>85999131350.860001</v>
      </c>
      <c r="E107" s="27">
        <f t="shared" si="54"/>
        <v>0.37299218476270435</v>
      </c>
      <c r="F107" s="26">
        <v>1.9315</v>
      </c>
      <c r="G107" s="26">
        <v>1.9315</v>
      </c>
      <c r="H107" s="29">
        <v>6699</v>
      </c>
      <c r="I107" s="47">
        <v>8.1500000000000003E-2</v>
      </c>
      <c r="J107" s="47">
        <v>8.6300000000000002E-2</v>
      </c>
      <c r="K107" s="26">
        <v>86127285187.639999</v>
      </c>
      <c r="L107" s="27">
        <f t="shared" si="55"/>
        <v>0.37217473028381393</v>
      </c>
      <c r="M107" s="26">
        <v>1.9343999999999999</v>
      </c>
      <c r="N107" s="26">
        <v>1.9343999999999999</v>
      </c>
      <c r="O107" s="29">
        <v>6709</v>
      </c>
      <c r="P107" s="47">
        <v>1.5E-3</v>
      </c>
      <c r="Q107" s="47">
        <v>8.5999999999999993E-2</v>
      </c>
      <c r="R107" s="53">
        <f t="shared" si="40"/>
        <v>1.4901759444192017E-3</v>
      </c>
      <c r="S107" s="53">
        <f t="shared" si="41"/>
        <v>1.501423763914006E-3</v>
      </c>
      <c r="T107" s="53">
        <f t="shared" si="42"/>
        <v>1.4927601134497686E-3</v>
      </c>
      <c r="U107" s="54">
        <f t="shared" si="43"/>
        <v>-0.08</v>
      </c>
      <c r="V107" s="55">
        <f t="shared" si="44"/>
        <v>-3.0000000000000859E-4</v>
      </c>
    </row>
    <row r="108" spans="1:22">
      <c r="A108" s="165">
        <v>97</v>
      </c>
      <c r="B108" s="162" t="s">
        <v>147</v>
      </c>
      <c r="C108" s="163" t="s">
        <v>50</v>
      </c>
      <c r="D108" s="26">
        <v>50824404459.620003</v>
      </c>
      <c r="E108" s="27">
        <f t="shared" si="54"/>
        <v>0.22043368765337448</v>
      </c>
      <c r="F108" s="26">
        <v>122.8156</v>
      </c>
      <c r="G108" s="26">
        <v>122.8156</v>
      </c>
      <c r="H108" s="29">
        <v>916</v>
      </c>
      <c r="I108" s="47">
        <v>0.1943</v>
      </c>
      <c r="J108" s="47">
        <v>0.2082</v>
      </c>
      <c r="K108" s="26">
        <v>51483567453.629997</v>
      </c>
      <c r="L108" s="27">
        <f t="shared" si="55"/>
        <v>0.22247169162895009</v>
      </c>
      <c r="M108" s="26">
        <v>123.2239</v>
      </c>
      <c r="N108" s="26">
        <v>123.2239</v>
      </c>
      <c r="O108" s="29">
        <v>931</v>
      </c>
      <c r="P108" s="47">
        <v>3.3E-3</v>
      </c>
      <c r="Q108" s="47">
        <v>0.20760000000000001</v>
      </c>
      <c r="R108" s="53">
        <f t="shared" ref="R108:R110" si="61">((K108-D108)/D108)</f>
        <v>1.2969418943879601E-2</v>
      </c>
      <c r="S108" s="53">
        <f t="shared" ref="S108:S110" si="62">((N108-G108)/G108)</f>
        <v>3.3244962366344097E-3</v>
      </c>
      <c r="T108" s="53">
        <f t="shared" ref="T108:T110" si="63">((O108-H108)/H108)</f>
        <v>1.6375545851528384E-2</v>
      </c>
      <c r="U108" s="54">
        <f t="shared" ref="U108:U110" si="64">P108-I108</f>
        <v>-0.191</v>
      </c>
      <c r="V108" s="55">
        <f t="shared" ref="V108:V110" si="65">Q108-J108</f>
        <v>-5.9999999999998943E-4</v>
      </c>
    </row>
    <row r="109" spans="1:22">
      <c r="A109" s="165">
        <v>98</v>
      </c>
      <c r="B109" s="162" t="s">
        <v>148</v>
      </c>
      <c r="C109" s="162" t="s">
        <v>149</v>
      </c>
      <c r="D109" s="26">
        <v>108204109.79000001</v>
      </c>
      <c r="E109" s="27">
        <f t="shared" si="54"/>
        <v>4.6929877868437365E-4</v>
      </c>
      <c r="F109" s="26">
        <v>119.59</v>
      </c>
      <c r="G109" s="26">
        <v>119.21</v>
      </c>
      <c r="H109" s="59">
        <v>85</v>
      </c>
      <c r="I109" s="60">
        <v>3.2000000000000002E-3</v>
      </c>
      <c r="J109" s="60">
        <v>8.3199999999999996E-2</v>
      </c>
      <c r="K109" s="26">
        <v>108470301.3</v>
      </c>
      <c r="L109" s="61">
        <f t="shared" si="55"/>
        <v>4.6872376207122057E-4</v>
      </c>
      <c r="M109" s="26">
        <v>119.59</v>
      </c>
      <c r="N109" s="26">
        <v>119.78</v>
      </c>
      <c r="O109" s="59">
        <v>85</v>
      </c>
      <c r="P109" s="60">
        <v>1.6000000000000001E-3</v>
      </c>
      <c r="Q109" s="60">
        <v>8.5000000000000006E-2</v>
      </c>
      <c r="R109" s="53">
        <f t="shared" si="61"/>
        <v>2.4600868720846989E-3</v>
      </c>
      <c r="S109" s="53">
        <f t="shared" si="62"/>
        <v>4.7814780639208743E-3</v>
      </c>
      <c r="T109" s="53">
        <f t="shared" si="63"/>
        <v>0</v>
      </c>
      <c r="U109" s="54">
        <f t="shared" si="64"/>
        <v>-1.6000000000000001E-3</v>
      </c>
      <c r="V109" s="55">
        <f t="shared" si="65"/>
        <v>1.8000000000000099E-3</v>
      </c>
    </row>
    <row r="110" spans="1:22">
      <c r="A110" s="165">
        <v>99</v>
      </c>
      <c r="B110" s="162" t="s">
        <v>150</v>
      </c>
      <c r="C110" s="163" t="s">
        <v>105</v>
      </c>
      <c r="D110" s="26">
        <v>327464571.85000002</v>
      </c>
      <c r="E110" s="27">
        <f t="shared" si="54"/>
        <v>1.4202669744232672E-3</v>
      </c>
      <c r="F110" s="26">
        <v>1.34</v>
      </c>
      <c r="G110" s="26">
        <v>1.34</v>
      </c>
      <c r="H110" s="29">
        <v>586</v>
      </c>
      <c r="I110" s="47">
        <v>2.12E-2</v>
      </c>
      <c r="J110" s="47">
        <v>0.24079999999999999</v>
      </c>
      <c r="K110" s="26">
        <v>329489281.12</v>
      </c>
      <c r="L110" s="27">
        <f t="shared" si="55"/>
        <v>1.4237948411479928E-3</v>
      </c>
      <c r="M110" s="26">
        <v>1.34</v>
      </c>
      <c r="N110" s="26">
        <v>1.34</v>
      </c>
      <c r="O110" s="29">
        <v>589</v>
      </c>
      <c r="P110" s="47">
        <v>5.4999999999999997E-3</v>
      </c>
      <c r="Q110" s="47">
        <v>0.2487</v>
      </c>
      <c r="R110" s="53">
        <f t="shared" si="61"/>
        <v>6.1829872421357047E-3</v>
      </c>
      <c r="S110" s="53">
        <f t="shared" si="62"/>
        <v>0</v>
      </c>
      <c r="T110" s="53">
        <f t="shared" si="63"/>
        <v>5.1194539249146756E-3</v>
      </c>
      <c r="U110" s="54">
        <f t="shared" si="64"/>
        <v>-1.5699999999999999E-2</v>
      </c>
      <c r="V110" s="55">
        <f t="shared" si="65"/>
        <v>7.9000000000000181E-3</v>
      </c>
    </row>
    <row r="111" spans="1:22">
      <c r="A111" s="165">
        <v>100</v>
      </c>
      <c r="B111" s="162" t="s">
        <v>151</v>
      </c>
      <c r="C111" s="163" t="s">
        <v>107</v>
      </c>
      <c r="D111" s="26">
        <v>1940626119.8299999</v>
      </c>
      <c r="E111" s="27">
        <f t="shared" si="54"/>
        <v>8.4168103197442695E-3</v>
      </c>
      <c r="F111" s="57">
        <v>29.540199999999999</v>
      </c>
      <c r="G111" s="57">
        <v>29.540199999999999</v>
      </c>
      <c r="H111" s="29">
        <v>1289</v>
      </c>
      <c r="I111" s="47">
        <v>0</v>
      </c>
      <c r="J111" s="47">
        <v>0.1217</v>
      </c>
      <c r="K111" s="26">
        <v>1943996562.52</v>
      </c>
      <c r="L111" s="27">
        <f t="shared" si="55"/>
        <v>8.4004319276090658E-3</v>
      </c>
      <c r="M111" s="57">
        <v>29.5975</v>
      </c>
      <c r="N111" s="57">
        <v>29.5975</v>
      </c>
      <c r="O111" s="29">
        <v>1288</v>
      </c>
      <c r="P111" s="47">
        <v>0</v>
      </c>
      <c r="Q111" s="47">
        <v>0.1225</v>
      </c>
      <c r="R111" s="53">
        <f t="shared" si="40"/>
        <v>1.7367810602772419E-3</v>
      </c>
      <c r="S111" s="53">
        <f t="shared" si="41"/>
        <v>1.9397295888315402E-3</v>
      </c>
      <c r="T111" s="53">
        <f t="shared" si="42"/>
        <v>-7.7579519006982156E-4</v>
      </c>
      <c r="U111" s="54">
        <f t="shared" si="43"/>
        <v>0</v>
      </c>
      <c r="V111" s="55">
        <f t="shared" si="44"/>
        <v>7.9999999999999516E-4</v>
      </c>
    </row>
    <row r="112" spans="1:22">
      <c r="A112" s="33"/>
      <c r="B112" s="34"/>
      <c r="C112" s="35" t="s">
        <v>51</v>
      </c>
      <c r="D112" s="45">
        <f>SUM(D73:D111)</f>
        <v>230565504758.69138</v>
      </c>
      <c r="E112" s="37">
        <f>(D112/$D$226)</f>
        <v>3.4822478976723172E-2</v>
      </c>
      <c r="F112" s="38"/>
      <c r="G112" s="42"/>
      <c r="H112" s="40">
        <f>SUM(H73:H111)</f>
        <v>53844</v>
      </c>
      <c r="I112" s="50"/>
      <c r="J112" s="50"/>
      <c r="K112" s="45">
        <f>SUM(K73:K111)</f>
        <v>231416262791.29922</v>
      </c>
      <c r="L112" s="37">
        <f>(K112/$K$226)</f>
        <v>3.4571798290662495E-2</v>
      </c>
      <c r="M112" s="38"/>
      <c r="N112" s="42"/>
      <c r="O112" s="40">
        <f>SUM(O73:O111)</f>
        <v>54022</v>
      </c>
      <c r="P112" s="50"/>
      <c r="Q112" s="50"/>
      <c r="R112" s="53">
        <f t="shared" si="40"/>
        <v>3.6898756103964812E-3</v>
      </c>
      <c r="S112" s="53" t="e">
        <f t="shared" si="41"/>
        <v>#DIV/0!</v>
      </c>
      <c r="T112" s="53">
        <f t="shared" si="42"/>
        <v>3.3058465195750686E-3</v>
      </c>
      <c r="U112" s="54">
        <f t="shared" si="43"/>
        <v>0</v>
      </c>
      <c r="V112" s="55">
        <f t="shared" si="44"/>
        <v>0</v>
      </c>
    </row>
    <row r="113" spans="1:28" ht="3.75" customHeight="1">
      <c r="A113" s="33"/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</row>
    <row r="114" spans="1:28" ht="15" customHeight="1">
      <c r="A114" s="175" t="s">
        <v>152</v>
      </c>
      <c r="B114" s="175"/>
      <c r="C114" s="175"/>
      <c r="D114" s="175"/>
      <c r="E114" s="175"/>
      <c r="F114" s="175"/>
      <c r="G114" s="175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</row>
    <row r="115" spans="1:28">
      <c r="A115" s="177" t="s">
        <v>153</v>
      </c>
      <c r="B115" s="177"/>
      <c r="C115" s="177"/>
      <c r="D115" s="177"/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Z115" s="62"/>
      <c r="AB115" s="65"/>
    </row>
    <row r="116" spans="1:28" ht="16.5" customHeight="1">
      <c r="A116" s="165">
        <v>101</v>
      </c>
      <c r="B116" s="162" t="s">
        <v>154</v>
      </c>
      <c r="C116" s="163" t="s">
        <v>17</v>
      </c>
      <c r="D116" s="26">
        <v>2925347918.7886529</v>
      </c>
      <c r="E116" s="27">
        <f t="shared" ref="E116:E121" si="66">(D116/$D$154)</f>
        <v>1.4888157717090355E-3</v>
      </c>
      <c r="F116" s="26">
        <v>169686.96583947001</v>
      </c>
      <c r="G116" s="26">
        <v>169686.96583947001</v>
      </c>
      <c r="H116" s="29">
        <v>190</v>
      </c>
      <c r="I116" s="47">
        <v>1.1000000000000001E-3</v>
      </c>
      <c r="J116" s="47">
        <v>4.4200000000000003E-2</v>
      </c>
      <c r="K116" s="26">
        <f>1959325.2*W135</f>
        <v>2915272519.6442399</v>
      </c>
      <c r="L116" s="27">
        <f t="shared" ref="L116:L132" si="67">(K116/$K$154)</f>
        <v>1.4809728994280695E-3</v>
      </c>
      <c r="M116" s="26">
        <f>113.8858*W135</f>
        <v>169450.24905396</v>
      </c>
      <c r="N116" s="26">
        <f>113.8858*W135</f>
        <v>169450.24905396</v>
      </c>
      <c r="O116" s="29">
        <v>190</v>
      </c>
      <c r="P116" s="47">
        <v>7.7000000000000002E-3</v>
      </c>
      <c r="Q116" s="47">
        <v>5.1999999999999998E-2</v>
      </c>
      <c r="R116" s="54">
        <f>((K116-D116)/D116)</f>
        <v>-3.4441712316342467E-3</v>
      </c>
      <c r="S116" s="54">
        <f>((N116-G116)/G116)</f>
        <v>-1.3950204385995977E-3</v>
      </c>
      <c r="T116" s="54">
        <f>((O116-H116)/H116)</f>
        <v>0</v>
      </c>
      <c r="U116" s="54">
        <f>P116-I116</f>
        <v>6.6E-3</v>
      </c>
      <c r="V116" s="55">
        <f>Q116-J116</f>
        <v>7.7999999999999944E-3</v>
      </c>
      <c r="X116" s="62"/>
      <c r="Y116" s="66"/>
      <c r="Z116" s="62"/>
      <c r="AA116" s="67"/>
    </row>
    <row r="117" spans="1:28" ht="16.5" customHeight="1">
      <c r="A117" s="165">
        <v>102</v>
      </c>
      <c r="B117" s="162" t="s">
        <v>155</v>
      </c>
      <c r="C117" s="163" t="s">
        <v>55</v>
      </c>
      <c r="D117" s="26">
        <v>5456537158.6863956</v>
      </c>
      <c r="E117" s="27">
        <f t="shared" si="66"/>
        <v>2.7770298803065658E-3</v>
      </c>
      <c r="F117" s="26">
        <v>150149.91</v>
      </c>
      <c r="G117" s="26">
        <v>150149.91</v>
      </c>
      <c r="H117" s="29">
        <v>84</v>
      </c>
      <c r="I117" s="47">
        <v>1.7700000000000001E-3</v>
      </c>
      <c r="J117" s="47">
        <v>7.9569000000000001E-2</v>
      </c>
      <c r="K117" s="26">
        <f>3704549.94*W135</f>
        <v>5511985778.4362278</v>
      </c>
      <c r="L117" s="27">
        <f t="shared" si="67"/>
        <v>2.8001161143223602E-3</v>
      </c>
      <c r="M117" s="26">
        <f>100*W135</f>
        <v>148789.62</v>
      </c>
      <c r="N117" s="26">
        <f>100*W135</f>
        <v>148789.62</v>
      </c>
      <c r="O117" s="29">
        <v>84</v>
      </c>
      <c r="P117" s="47">
        <v>-5.4809999999999998E-3</v>
      </c>
      <c r="Q117" s="47">
        <v>7.4088000000000001E-2</v>
      </c>
      <c r="R117" s="54">
        <f>((K117-D117)/D117)</f>
        <v>1.0161869723834305E-2</v>
      </c>
      <c r="S117" s="54">
        <f>((N117-G117)/G117)</f>
        <v>-9.0595458898377508E-3</v>
      </c>
      <c r="T117" s="54">
        <f>((O117-H117)/H117)</f>
        <v>0</v>
      </c>
      <c r="U117" s="54">
        <f>P117-I117</f>
        <v>-7.2509999999999996E-3</v>
      </c>
      <c r="V117" s="55">
        <f>Q117-J117</f>
        <v>-5.4809999999999998E-3</v>
      </c>
      <c r="X117" s="62"/>
      <c r="Y117" s="66"/>
      <c r="Z117" s="62"/>
      <c r="AA117" s="67"/>
    </row>
    <row r="118" spans="1:28">
      <c r="A118" s="165">
        <v>103</v>
      </c>
      <c r="B118" s="162" t="s">
        <v>156</v>
      </c>
      <c r="C118" s="163" t="s">
        <v>21</v>
      </c>
      <c r="D118" s="26">
        <v>16852088362.042082</v>
      </c>
      <c r="E118" s="27">
        <f t="shared" si="66"/>
        <v>8.5766396463473737E-3</v>
      </c>
      <c r="F118" s="26">
        <v>1799.8469711700002</v>
      </c>
      <c r="G118" s="26">
        <v>1799.8469711700002</v>
      </c>
      <c r="H118" s="29">
        <v>316</v>
      </c>
      <c r="I118" s="47">
        <v>5.2299999999999999E-2</v>
      </c>
      <c r="J118" s="47">
        <v>7.9100000000000004E-2</v>
      </c>
      <c r="K118" s="26">
        <f>11246255.2*W135</f>
        <v>16733260376.310238</v>
      </c>
      <c r="L118" s="27">
        <f t="shared" si="67"/>
        <v>8.5005792663984531E-3</v>
      </c>
      <c r="M118" s="26">
        <f>1.1989*W135</f>
        <v>1783.83875418</v>
      </c>
      <c r="N118" s="26">
        <f>1.1989*W135</f>
        <v>1783.83875418</v>
      </c>
      <c r="O118" s="29">
        <v>319</v>
      </c>
      <c r="P118" s="47">
        <v>8.6999999999999994E-3</v>
      </c>
      <c r="Q118" s="47">
        <v>7.7299999999999994E-2</v>
      </c>
      <c r="R118" s="54">
        <f t="shared" ref="R118:R130" si="68">((K118-D118)/D118)</f>
        <v>-7.051232059730593E-3</v>
      </c>
      <c r="S118" s="54">
        <f t="shared" ref="S118:S130" si="69">((N118-G118)/G118)</f>
        <v>-8.8942100336418806E-3</v>
      </c>
      <c r="T118" s="54">
        <f t="shared" ref="T118:T130" si="70">((O118-H118)/H118)</f>
        <v>9.4936708860759497E-3</v>
      </c>
      <c r="U118" s="54">
        <f t="shared" ref="U118:U130" si="71">P118-I118</f>
        <v>-4.36E-2</v>
      </c>
      <c r="V118" s="55">
        <f t="shared" ref="V118:V130" si="72">Q118-J118</f>
        <v>-1.8000000000000099E-3</v>
      </c>
    </row>
    <row r="119" spans="1:28">
      <c r="A119" s="165">
        <v>104</v>
      </c>
      <c r="B119" s="162" t="s">
        <v>286</v>
      </c>
      <c r="C119" s="163" t="s">
        <v>21</v>
      </c>
      <c r="D119" s="26">
        <v>3344374065.4139791</v>
      </c>
      <c r="E119" s="27">
        <f t="shared" si="66"/>
        <v>1.7020733920581998E-3</v>
      </c>
      <c r="F119" s="26">
        <v>1555.5530676000001</v>
      </c>
      <c r="G119" s="26">
        <v>1555.5530676000001</v>
      </c>
      <c r="H119" s="29">
        <v>88</v>
      </c>
      <c r="I119" s="47">
        <v>3.5299999999999998E-2</v>
      </c>
      <c r="J119" s="47">
        <v>5.1499999999999997E-2</v>
      </c>
      <c r="K119" s="26">
        <f>2630518.58*W135</f>
        <v>3913938599.2113957</v>
      </c>
      <c r="L119" s="27">
        <f t="shared" si="67"/>
        <v>1.9883002211281762E-3</v>
      </c>
      <c r="M119" s="26">
        <f>1.0367*W135</f>
        <v>1542.5019905399997</v>
      </c>
      <c r="N119" s="26">
        <f>1.0367*W135</f>
        <v>1542.5019905399997</v>
      </c>
      <c r="O119" s="29">
        <v>89</v>
      </c>
      <c r="P119" s="47">
        <v>3.5200000000000002E-2</v>
      </c>
      <c r="Q119" s="47">
        <v>5.11E-2</v>
      </c>
      <c r="R119" s="54">
        <f t="shared" si="68"/>
        <v>0.17030527167627521</v>
      </c>
      <c r="S119" s="54">
        <f t="shared" ref="S119" si="73">((N119-G119)/G119)</f>
        <v>-8.389991528952678E-3</v>
      </c>
      <c r="T119" s="54">
        <f t="shared" ref="T119" si="74">((O119-H119)/H119)</f>
        <v>1.1363636363636364E-2</v>
      </c>
      <c r="U119" s="54">
        <f t="shared" ref="U119" si="75">P119-I119</f>
        <v>-9.9999999999995925E-5</v>
      </c>
      <c r="V119" s="55">
        <f t="shared" ref="V119" si="76">Q119-J119</f>
        <v>-3.9999999999999758E-4</v>
      </c>
    </row>
    <row r="120" spans="1:28">
      <c r="A120" s="165">
        <v>105</v>
      </c>
      <c r="B120" s="162" t="s">
        <v>157</v>
      </c>
      <c r="C120" s="163" t="s">
        <v>25</v>
      </c>
      <c r="D120" s="26">
        <v>27669639438.801594</v>
      </c>
      <c r="E120" s="27">
        <f t="shared" si="66"/>
        <v>1.4082084161479312E-2</v>
      </c>
      <c r="F120" s="26">
        <v>1674.92224605</v>
      </c>
      <c r="G120" s="26">
        <v>1674.92224605</v>
      </c>
      <c r="H120" s="29">
        <v>534</v>
      </c>
      <c r="I120" s="47">
        <v>1.6999999999999999E-3</v>
      </c>
      <c r="J120" s="47">
        <v>7.1999999999999995E-2</v>
      </c>
      <c r="K120" s="26">
        <f>19538225.84*W135</f>
        <v>29070851982.077805</v>
      </c>
      <c r="L120" s="27">
        <f t="shared" si="67"/>
        <v>1.4768136995300845E-2</v>
      </c>
      <c r="M120" s="26">
        <f xml:space="preserve"> 1.1173*W135</f>
        <v>1662.4264242599997</v>
      </c>
      <c r="N120" s="26">
        <f xml:space="preserve"> 1.1173*W135</f>
        <v>1662.4264242599997</v>
      </c>
      <c r="O120" s="29">
        <v>540</v>
      </c>
      <c r="P120" s="47">
        <v>4.7999999999999996E-3</v>
      </c>
      <c r="Q120" s="47">
        <v>7.3700000000000002E-2</v>
      </c>
      <c r="R120" s="54">
        <f t="shared" si="68"/>
        <v>5.0640795171015753E-2</v>
      </c>
      <c r="S120" s="54">
        <f t="shared" ref="S120:T123" si="77">((N120-G120)/G120)</f>
        <v>-7.460538433631406E-3</v>
      </c>
      <c r="T120" s="54">
        <f t="shared" si="77"/>
        <v>1.1235955056179775E-2</v>
      </c>
      <c r="U120" s="54">
        <f t="shared" si="71"/>
        <v>3.0999999999999995E-3</v>
      </c>
      <c r="V120" s="55">
        <f t="shared" si="72"/>
        <v>1.7000000000000071E-3</v>
      </c>
    </row>
    <row r="121" spans="1:28">
      <c r="A121" s="165">
        <v>106</v>
      </c>
      <c r="B121" s="162" t="s">
        <v>158</v>
      </c>
      <c r="C121" s="163" t="s">
        <v>61</v>
      </c>
      <c r="D121" s="26">
        <v>1089101396.226579</v>
      </c>
      <c r="E121" s="27">
        <f t="shared" si="66"/>
        <v>5.542832444914421E-4</v>
      </c>
      <c r="F121" s="26">
        <v>1651.6490100000001</v>
      </c>
      <c r="G121" s="26">
        <v>1666.6640010000001</v>
      </c>
      <c r="H121" s="29">
        <v>51</v>
      </c>
      <c r="I121" s="47">
        <v>2E-3</v>
      </c>
      <c r="J121" s="47">
        <v>9.8000000000000004E-2</v>
      </c>
      <c r="K121" s="26">
        <f>733290.78*W135</f>
        <v>1091060565.0570359</v>
      </c>
      <c r="L121" s="27">
        <f t="shared" si="67"/>
        <v>5.542641785960139E-4</v>
      </c>
      <c r="M121" s="26">
        <f>1.1044*W135</f>
        <v>1643.23256328</v>
      </c>
      <c r="N121" s="26">
        <f>1.11*W135</f>
        <v>1651.5647820000002</v>
      </c>
      <c r="O121" s="29">
        <v>52</v>
      </c>
      <c r="P121" s="47">
        <v>5.3999999999999999E-2</v>
      </c>
      <c r="Q121" s="47">
        <v>0.14099999999999999</v>
      </c>
      <c r="R121" s="54">
        <f t="shared" si="68"/>
        <v>1.7988856108760167E-3</v>
      </c>
      <c r="S121" s="54">
        <f t="shared" si="77"/>
        <v>-9.0595458898376641E-3</v>
      </c>
      <c r="T121" s="54">
        <f t="shared" si="77"/>
        <v>1.9607843137254902E-2</v>
      </c>
      <c r="U121" s="54">
        <f t="shared" si="71"/>
        <v>5.1999999999999998E-2</v>
      </c>
      <c r="V121" s="55">
        <f t="shared" si="72"/>
        <v>4.2999999999999983E-2</v>
      </c>
    </row>
    <row r="122" spans="1:28">
      <c r="A122" s="165">
        <v>107</v>
      </c>
      <c r="B122" s="162" t="s">
        <v>159</v>
      </c>
      <c r="C122" s="163" t="s">
        <v>27</v>
      </c>
      <c r="D122" s="26">
        <v>823015290.27384603</v>
      </c>
      <c r="E122" s="27">
        <v>0</v>
      </c>
      <c r="F122" s="26">
        <v>2074.4711565600001</v>
      </c>
      <c r="G122" s="26">
        <v>2074.4711565600001</v>
      </c>
      <c r="H122" s="29">
        <v>63</v>
      </c>
      <c r="I122" s="47">
        <v>4.46E-4</v>
      </c>
      <c r="J122" s="47">
        <v>0.1482</v>
      </c>
      <c r="K122" s="26">
        <f>548964.38*W135</f>
        <v>816802014.937356</v>
      </c>
      <c r="L122" s="27">
        <f t="shared" si="67"/>
        <v>4.1493947484130383E-4</v>
      </c>
      <c r="M122" s="26">
        <f>1.319758*W135</f>
        <v>1963.6629131195998</v>
      </c>
      <c r="N122" s="26">
        <f>1.319758*W135</f>
        <v>1963.6629131195998</v>
      </c>
      <c r="O122" s="29">
        <v>63</v>
      </c>
      <c r="P122" s="47">
        <v>4.46E-4</v>
      </c>
      <c r="Q122" s="47">
        <v>0.13220000000000001</v>
      </c>
      <c r="R122" s="54">
        <f t="shared" si="68"/>
        <v>-7.5494045006413678E-3</v>
      </c>
      <c r="S122" s="54">
        <f t="shared" si="77"/>
        <v>-5.3415176725883452E-2</v>
      </c>
      <c r="T122" s="54">
        <f t="shared" si="77"/>
        <v>0</v>
      </c>
      <c r="U122" s="54">
        <f t="shared" si="71"/>
        <v>0</v>
      </c>
      <c r="V122" s="55">
        <f t="shared" si="72"/>
        <v>-1.5999999999999986E-2</v>
      </c>
    </row>
    <row r="123" spans="1:28">
      <c r="A123" s="165">
        <v>108</v>
      </c>
      <c r="B123" s="162" t="s">
        <v>160</v>
      </c>
      <c r="C123" s="163" t="s">
        <v>68</v>
      </c>
      <c r="D123" s="26">
        <v>1898284996.9111531</v>
      </c>
      <c r="E123" s="27">
        <f t="shared" ref="E123:E132" si="78">(D123/$D$154)</f>
        <v>9.6610615935565443E-4</v>
      </c>
      <c r="F123" s="26">
        <v>161531.273178</v>
      </c>
      <c r="G123" s="26">
        <v>162131.872818</v>
      </c>
      <c r="H123" s="29">
        <v>86</v>
      </c>
      <c r="I123" s="47">
        <v>1.1000000000000001E-3</v>
      </c>
      <c r="J123" s="47">
        <v>3.9699999999999999E-2</v>
      </c>
      <c r="K123" s="26">
        <f>1501188.25*W135</f>
        <v>2233612292.6596498</v>
      </c>
      <c r="L123" s="27">
        <f t="shared" si="67"/>
        <v>1.1346861231559975E-3</v>
      </c>
      <c r="M123" s="26">
        <f>107.75*W135</f>
        <v>160320.81555</v>
      </c>
      <c r="N123" s="26">
        <f>108.12*W135</f>
        <v>160871.33714399999</v>
      </c>
      <c r="O123" s="29">
        <v>86</v>
      </c>
      <c r="P123" s="47">
        <v>1.5E-3</v>
      </c>
      <c r="Q123" s="47">
        <v>4.1099999999999998E-2</v>
      </c>
      <c r="R123" s="54">
        <f t="shared" si="68"/>
        <v>0.17664749829142298</v>
      </c>
      <c r="S123" s="54">
        <f t="shared" si="77"/>
        <v>-7.7747555251830025E-3</v>
      </c>
      <c r="T123" s="54">
        <f t="shared" si="77"/>
        <v>0</v>
      </c>
      <c r="U123" s="54">
        <f t="shared" si="71"/>
        <v>3.9999999999999996E-4</v>
      </c>
      <c r="V123" s="55">
        <f t="shared" si="72"/>
        <v>1.3999999999999985E-3</v>
      </c>
    </row>
    <row r="124" spans="1:28">
      <c r="A124" s="165">
        <v>109</v>
      </c>
      <c r="B124" s="162" t="s">
        <v>161</v>
      </c>
      <c r="C124" s="163" t="s">
        <v>71</v>
      </c>
      <c r="D124" s="26">
        <v>4916994643.25</v>
      </c>
      <c r="E124" s="27">
        <f t="shared" si="78"/>
        <v>2.5024371040661591E-3</v>
      </c>
      <c r="F124" s="26">
        <v>170007.39</v>
      </c>
      <c r="G124" s="26">
        <v>170007.39</v>
      </c>
      <c r="H124" s="29">
        <v>60</v>
      </c>
      <c r="I124" s="47">
        <v>8.9999999999999993E-3</v>
      </c>
      <c r="J124" s="47">
        <v>0.66249999999999998</v>
      </c>
      <c r="K124" s="26">
        <v>4882272858.3400002</v>
      </c>
      <c r="L124" s="27">
        <f t="shared" si="67"/>
        <v>2.4802188276028211E-3</v>
      </c>
      <c r="M124" s="26">
        <v>168791.26</v>
      </c>
      <c r="N124" s="26">
        <v>168791.26</v>
      </c>
      <c r="O124" s="29">
        <v>60</v>
      </c>
      <c r="P124" s="47">
        <v>8.9999999999999993E-3</v>
      </c>
      <c r="Q124" s="47">
        <v>0.373</v>
      </c>
      <c r="R124" s="54">
        <f t="shared" si="68"/>
        <v>-7.0615868898017938E-3</v>
      </c>
      <c r="S124" s="54">
        <f t="shared" si="69"/>
        <v>-7.1533949200679129E-3</v>
      </c>
      <c r="T124" s="54">
        <f t="shared" si="70"/>
        <v>0</v>
      </c>
      <c r="U124" s="54">
        <f t="shared" si="71"/>
        <v>0</v>
      </c>
      <c r="V124" s="55">
        <f t="shared" si="72"/>
        <v>-0.28949999999999998</v>
      </c>
      <c r="X124" s="63"/>
    </row>
    <row r="125" spans="1:28">
      <c r="A125" s="165">
        <v>110</v>
      </c>
      <c r="B125" s="162" t="s">
        <v>162</v>
      </c>
      <c r="C125" s="163" t="s">
        <v>29</v>
      </c>
      <c r="D125" s="26">
        <v>57709100648.960396</v>
      </c>
      <c r="E125" s="27">
        <f t="shared" si="78"/>
        <v>2.9370256667758669E-2</v>
      </c>
      <c r="F125" s="26">
        <v>200544.10080000001</v>
      </c>
      <c r="G125" s="26">
        <v>200544.10080000001</v>
      </c>
      <c r="H125" s="29">
        <v>2500</v>
      </c>
      <c r="I125" s="47">
        <v>1.4E-3</v>
      </c>
      <c r="J125" s="47">
        <v>5.5100000000000003E-2</v>
      </c>
      <c r="K125" s="26">
        <f xml:space="preserve"> 38487227.29*1492.81</f>
        <v>57454117770.784897</v>
      </c>
      <c r="L125" s="27">
        <f t="shared" si="67"/>
        <v>2.9186976794013289E-2</v>
      </c>
      <c r="M125" s="26">
        <f>133.69*1492.81</f>
        <v>199573.7689</v>
      </c>
      <c r="N125" s="26">
        <f>133.69*1492.81</f>
        <v>199573.7689</v>
      </c>
      <c r="O125" s="29">
        <v>2507</v>
      </c>
      <c r="P125" s="47">
        <v>2.5000000000000001E-3</v>
      </c>
      <c r="Q125" s="47">
        <v>5.7799999999999997E-2</v>
      </c>
      <c r="R125" s="54">
        <f t="shared" si="68"/>
        <v>-4.4184171180649363E-3</v>
      </c>
      <c r="S125" s="54">
        <f t="shared" si="69"/>
        <v>-4.8384963513223378E-3</v>
      </c>
      <c r="T125" s="54">
        <f t="shared" si="70"/>
        <v>2.8E-3</v>
      </c>
      <c r="U125" s="54">
        <f t="shared" si="71"/>
        <v>1.1000000000000001E-3</v>
      </c>
      <c r="V125" s="55">
        <f t="shared" si="72"/>
        <v>2.6999999999999941E-3</v>
      </c>
    </row>
    <row r="126" spans="1:28">
      <c r="A126" s="165">
        <v>111</v>
      </c>
      <c r="B126" s="170" t="s">
        <v>163</v>
      </c>
      <c r="C126" s="170" t="s">
        <v>29</v>
      </c>
      <c r="D126" s="26">
        <v>166426817580.0744</v>
      </c>
      <c r="E126" s="27">
        <f t="shared" si="78"/>
        <v>8.4700650222541474E-2</v>
      </c>
      <c r="F126" s="26">
        <v>189250.71299999999</v>
      </c>
      <c r="G126" s="26">
        <v>189250.71299999999</v>
      </c>
      <c r="H126" s="29">
        <v>970</v>
      </c>
      <c r="I126" s="47">
        <v>1.9E-3</v>
      </c>
      <c r="J126" s="47">
        <v>0.06</v>
      </c>
      <c r="K126" s="26">
        <f xml:space="preserve"> 111960113.66*1492.81</f>
        <v>167135177272.78458</v>
      </c>
      <c r="L126" s="27">
        <f t="shared" si="67"/>
        <v>8.4905499027688208E-2</v>
      </c>
      <c r="M126" s="26">
        <f>126.07*1492.81</f>
        <v>188198.55669999999</v>
      </c>
      <c r="N126" s="26">
        <f>126.07*1492.81</f>
        <v>188198.55669999999</v>
      </c>
      <c r="O126" s="29">
        <v>972</v>
      </c>
      <c r="P126" s="47">
        <v>1.6999999999999999E-3</v>
      </c>
      <c r="Q126" s="47">
        <v>6.1800000000000001E-2</v>
      </c>
      <c r="R126" s="54">
        <f t="shared" si="68"/>
        <v>4.2562833503041369E-3</v>
      </c>
      <c r="S126" s="54">
        <f t="shared" si="69"/>
        <v>-5.5595896222594542E-3</v>
      </c>
      <c r="T126" s="54">
        <f t="shared" si="70"/>
        <v>2.0618556701030928E-3</v>
      </c>
      <c r="U126" s="54">
        <f t="shared" si="71"/>
        <v>-2.0000000000000009E-4</v>
      </c>
      <c r="V126" s="55">
        <f t="shared" si="72"/>
        <v>1.800000000000003E-3</v>
      </c>
      <c r="X126" s="62"/>
    </row>
    <row r="127" spans="1:28">
      <c r="A127" s="165">
        <v>112</v>
      </c>
      <c r="B127" s="162" t="s">
        <v>298</v>
      </c>
      <c r="C127" s="163" t="s">
        <v>297</v>
      </c>
      <c r="D127" s="26">
        <v>2285273702.2847519</v>
      </c>
      <c r="E127" s="27">
        <f t="shared" si="78"/>
        <v>1.1630587626111513E-3</v>
      </c>
      <c r="F127" s="26">
        <v>1501.4991</v>
      </c>
      <c r="G127" s="26">
        <v>1501.4991</v>
      </c>
      <c r="H127" s="29">
        <v>16</v>
      </c>
      <c r="I127" s="47">
        <v>7.4499999999999997E-2</v>
      </c>
      <c r="J127" s="47">
        <v>8.72E-2</v>
      </c>
      <c r="K127" s="26">
        <f>1524418.5*W135</f>
        <v>2268176493.3596997</v>
      </c>
      <c r="L127" s="27">
        <f t="shared" si="67"/>
        <v>1.1522449085464672E-3</v>
      </c>
      <c r="M127" s="26">
        <f>1*W135</f>
        <v>1487.8961999999999</v>
      </c>
      <c r="N127" s="26">
        <f>1*W135</f>
        <v>1487.8961999999999</v>
      </c>
      <c r="O127" s="29">
        <v>16</v>
      </c>
      <c r="P127" s="47">
        <v>7.7200000000000005E-2</v>
      </c>
      <c r="Q127" s="47">
        <v>8.6300000000000002E-2</v>
      </c>
      <c r="R127" s="54">
        <f t="shared" ref="R127" si="79">((K127-D127)/D127)</f>
        <v>-7.4814709975259686E-3</v>
      </c>
      <c r="S127" s="54">
        <f t="shared" ref="S127" si="80">((N127-G127)/G127)</f>
        <v>-9.059545889837756E-3</v>
      </c>
      <c r="T127" s="54">
        <f t="shared" si="70"/>
        <v>0</v>
      </c>
      <c r="U127" s="54">
        <f t="shared" si="71"/>
        <v>2.7000000000000079E-3</v>
      </c>
      <c r="V127" s="55">
        <f t="shared" si="72"/>
        <v>-8.9999999999999802E-4</v>
      </c>
    </row>
    <row r="128" spans="1:28">
      <c r="A128" s="165">
        <v>113</v>
      </c>
      <c r="B128" s="162" t="s">
        <v>164</v>
      </c>
      <c r="C128" s="163" t="s">
        <v>33</v>
      </c>
      <c r="D128" s="26">
        <v>221220907.43997598</v>
      </c>
      <c r="E128" s="27">
        <f t="shared" si="78"/>
        <v>1.1258735205923926E-4</v>
      </c>
      <c r="F128" s="26">
        <v>196981.666929</v>
      </c>
      <c r="G128" s="26">
        <v>196981.666929</v>
      </c>
      <c r="H128" s="29">
        <v>9</v>
      </c>
      <c r="I128" s="47">
        <v>2.5999999999999999E-3</v>
      </c>
      <c r="J128" s="47">
        <v>0.15709999999999999</v>
      </c>
      <c r="K128" s="26">
        <f>147669.91*W135</f>
        <v>219717497.943342</v>
      </c>
      <c r="L128" s="27">
        <f t="shared" si="67"/>
        <v>1.1161757873117851E-4</v>
      </c>
      <c r="M128" s="26">
        <f>131.49*W135</f>
        <v>195643.471338</v>
      </c>
      <c r="N128" s="26">
        <f>131.49*W135</f>
        <v>195643.471338</v>
      </c>
      <c r="O128" s="29">
        <v>9</v>
      </c>
      <c r="P128" s="47">
        <v>2.3E-3</v>
      </c>
      <c r="Q128" s="47">
        <v>0.15970000000000001</v>
      </c>
      <c r="R128" s="54">
        <f t="shared" si="68"/>
        <v>-6.7959647848470101E-3</v>
      </c>
      <c r="S128" s="54">
        <f t="shared" si="69"/>
        <v>-6.793503232371035E-3</v>
      </c>
      <c r="T128" s="54">
        <f t="shared" si="70"/>
        <v>0</v>
      </c>
      <c r="U128" s="54">
        <f t="shared" si="71"/>
        <v>-2.9999999999999992E-4</v>
      </c>
      <c r="V128" s="55">
        <f t="shared" si="72"/>
        <v>2.600000000000019E-3</v>
      </c>
    </row>
    <row r="129" spans="1:24">
      <c r="A129" s="165">
        <v>114</v>
      </c>
      <c r="B129" s="162" t="s">
        <v>165</v>
      </c>
      <c r="C129" s="163" t="s">
        <v>39</v>
      </c>
      <c r="D129" s="26">
        <v>15717069231.448635</v>
      </c>
      <c r="E129" s="27">
        <f t="shared" si="78"/>
        <v>7.9989871996193496E-3</v>
      </c>
      <c r="F129" s="26">
        <v>2147.1437129999999</v>
      </c>
      <c r="G129" s="26">
        <v>2147.1437129999999</v>
      </c>
      <c r="H129" s="43">
        <v>112</v>
      </c>
      <c r="I129" s="50">
        <v>4.0000000000000002E-4</v>
      </c>
      <c r="J129" s="50">
        <v>5.0599999999999999E-2</v>
      </c>
      <c r="K129" s="26">
        <f>10417722.43*W135</f>
        <v>15500489616.251764</v>
      </c>
      <c r="L129" s="27">
        <f t="shared" si="67"/>
        <v>7.8743256058738664E-3</v>
      </c>
      <c r="M129" s="26">
        <f>1.44*W135</f>
        <v>2142.5705279999997</v>
      </c>
      <c r="N129" s="26">
        <f>1.44*W135</f>
        <v>2142.5705279999997</v>
      </c>
      <c r="O129" s="43">
        <v>112</v>
      </c>
      <c r="P129" s="50">
        <v>1E-3</v>
      </c>
      <c r="Q129" s="50">
        <v>5.0599999999999999E-2</v>
      </c>
      <c r="R129" s="54">
        <f t="shared" si="68"/>
        <v>-1.3779898275405685E-2</v>
      </c>
      <c r="S129" s="54">
        <f t="shared" si="69"/>
        <v>-2.1298923645918966E-3</v>
      </c>
      <c r="T129" s="54">
        <f t="shared" si="70"/>
        <v>0</v>
      </c>
      <c r="U129" s="54">
        <f t="shared" si="71"/>
        <v>6.0000000000000006E-4</v>
      </c>
      <c r="V129" s="55">
        <f t="shared" si="72"/>
        <v>0</v>
      </c>
    </row>
    <row r="130" spans="1:24">
      <c r="A130" s="165">
        <v>115</v>
      </c>
      <c r="B130" s="162" t="s">
        <v>166</v>
      </c>
      <c r="C130" s="163" t="s">
        <v>85</v>
      </c>
      <c r="D130" s="26">
        <v>34516656505.682999</v>
      </c>
      <c r="E130" s="27">
        <f t="shared" si="78"/>
        <v>1.756677975370656E-2</v>
      </c>
      <c r="F130" s="26">
        <v>157747.49544600002</v>
      </c>
      <c r="G130" s="26">
        <v>157747.49544600002</v>
      </c>
      <c r="H130" s="29">
        <v>764</v>
      </c>
      <c r="I130" s="50">
        <v>1.6000000000000001E-3</v>
      </c>
      <c r="J130" s="47">
        <v>9.3899999999999997E-2</v>
      </c>
      <c r="K130" s="26">
        <f>23055410*W135</f>
        <v>34304056928.441998</v>
      </c>
      <c r="L130" s="27">
        <f t="shared" si="67"/>
        <v>1.7426631064206648E-2</v>
      </c>
      <c r="M130" s="26">
        <f>105.19*W135</f>
        <v>156511.801278</v>
      </c>
      <c r="N130" s="26">
        <f>105.19*W135</f>
        <v>156511.801278</v>
      </c>
      <c r="O130" s="29">
        <v>769</v>
      </c>
      <c r="P130" s="50">
        <v>1.1999999999999999E-3</v>
      </c>
      <c r="Q130" s="47">
        <v>9.2999999999999999E-2</v>
      </c>
      <c r="R130" s="54">
        <f t="shared" si="68"/>
        <v>-6.1593328776209143E-3</v>
      </c>
      <c r="S130" s="54">
        <f t="shared" si="69"/>
        <v>-7.8333679055019798E-3</v>
      </c>
      <c r="T130" s="54">
        <f t="shared" si="70"/>
        <v>6.5445026178010471E-3</v>
      </c>
      <c r="U130" s="54">
        <f t="shared" si="71"/>
        <v>-4.0000000000000018E-4</v>
      </c>
      <c r="V130" s="55">
        <f t="shared" si="72"/>
        <v>-8.9999999999999802E-4</v>
      </c>
    </row>
    <row r="131" spans="1:24">
      <c r="A131" s="165">
        <v>116</v>
      </c>
      <c r="B131" s="162" t="s">
        <v>167</v>
      </c>
      <c r="C131" s="163" t="s">
        <v>43</v>
      </c>
      <c r="D131" s="26">
        <v>2568762317.9414039</v>
      </c>
      <c r="E131" s="27">
        <f t="shared" si="78"/>
        <v>1.3073364122468756E-3</v>
      </c>
      <c r="F131" s="26">
        <v>238212.832215</v>
      </c>
      <c r="G131" s="26">
        <v>238212.832215</v>
      </c>
      <c r="H131" s="29">
        <v>50</v>
      </c>
      <c r="I131" s="47">
        <v>1.4E-3</v>
      </c>
      <c r="J131" s="47">
        <v>3.6999999999999998E-2</v>
      </c>
      <c r="K131" s="26">
        <f>1969740.82*W135</f>
        <v>2930769881.0628839</v>
      </c>
      <c r="L131" s="27">
        <f t="shared" si="67"/>
        <v>1.4888456358940431E-3</v>
      </c>
      <c r="M131" s="26">
        <f>158.65*W135</f>
        <v>236054.73212999999</v>
      </c>
      <c r="N131" s="26">
        <f>158.65*W135</f>
        <v>236054.73212999999</v>
      </c>
      <c r="O131" s="29">
        <v>50</v>
      </c>
      <c r="P131" s="47">
        <v>0</v>
      </c>
      <c r="Q131" s="47">
        <v>3.6999999999999998E-2</v>
      </c>
      <c r="R131" s="54">
        <f t="shared" ref="R131:R132" si="81">((K131-D131)/D131)</f>
        <v>0.14092684270282796</v>
      </c>
      <c r="S131" s="54">
        <f t="shared" ref="S131:S132" si="82">((N131-G131)/G131)</f>
        <v>-9.0595458898377491E-3</v>
      </c>
      <c r="T131" s="54">
        <f t="shared" ref="T131:T132" si="83">((O131-H131)/H131)</f>
        <v>0</v>
      </c>
      <c r="U131" s="54">
        <f t="shared" ref="U131:U132" si="84">P131-I131</f>
        <v>-1.4E-3</v>
      </c>
      <c r="V131" s="55">
        <f t="shared" ref="V131:V132" si="85">Q131-J131</f>
        <v>0</v>
      </c>
    </row>
    <row r="132" spans="1:24">
      <c r="A132" s="165">
        <v>117</v>
      </c>
      <c r="B132" s="162" t="s">
        <v>168</v>
      </c>
      <c r="C132" s="163" t="s">
        <v>50</v>
      </c>
      <c r="D132" s="30">
        <v>176075085909.91559</v>
      </c>
      <c r="E132" s="27">
        <f t="shared" si="78"/>
        <v>8.9611004292527274E-2</v>
      </c>
      <c r="F132" s="26">
        <v>184532.75362799998</v>
      </c>
      <c r="G132" s="26">
        <v>184532.75362799998</v>
      </c>
      <c r="H132" s="29">
        <v>3960</v>
      </c>
      <c r="I132" s="47">
        <v>6.0100000000000001E-2</v>
      </c>
      <c r="J132" s="47">
        <v>8.72E-2</v>
      </c>
      <c r="K132" s="30">
        <f>118240346.75*1492.81</f>
        <v>176510372031.86749</v>
      </c>
      <c r="L132" s="27">
        <f t="shared" si="67"/>
        <v>8.9668144465294239E-2</v>
      </c>
      <c r="M132" s="26">
        <f>122.8542*1492.81</f>
        <v>183397.978302</v>
      </c>
      <c r="N132" s="26">
        <f>122.8542*1492.81</f>
        <v>183397.978302</v>
      </c>
      <c r="O132" s="29">
        <v>3970</v>
      </c>
      <c r="P132" s="47">
        <v>1.1000000000000001E-3</v>
      </c>
      <c r="Q132" s="47">
        <v>8.6400000000000005E-2</v>
      </c>
      <c r="R132" s="54">
        <f t="shared" si="81"/>
        <v>2.4721619171868959E-3</v>
      </c>
      <c r="S132" s="54">
        <f t="shared" si="82"/>
        <v>-6.1494520820275077E-3</v>
      </c>
      <c r="T132" s="54">
        <f t="shared" si="83"/>
        <v>2.5252525252525255E-3</v>
      </c>
      <c r="U132" s="54">
        <f t="shared" si="84"/>
        <v>-5.9000000000000004E-2</v>
      </c>
      <c r="V132" s="55">
        <f t="shared" si="85"/>
        <v>-7.9999999999999516E-4</v>
      </c>
    </row>
    <row r="133" spans="1:24" ht="6" customHeight="1">
      <c r="A133" s="144"/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</row>
    <row r="134" spans="1:24">
      <c r="A134" s="177" t="s">
        <v>169</v>
      </c>
      <c r="B134" s="177"/>
      <c r="C134" s="177"/>
      <c r="D134" s="177"/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</row>
    <row r="135" spans="1:24">
      <c r="A135" s="165">
        <v>118</v>
      </c>
      <c r="B135" s="162" t="s">
        <v>170</v>
      </c>
      <c r="C135" s="163" t="s">
        <v>113</v>
      </c>
      <c r="D135" s="30">
        <v>1426295091.152355</v>
      </c>
      <c r="E135" s="27">
        <f>(D135/$D$154)</f>
        <v>7.258933589335628E-4</v>
      </c>
      <c r="F135" s="26">
        <v>161621.363124</v>
      </c>
      <c r="G135" s="26">
        <v>161621.363124</v>
      </c>
      <c r="H135" s="29">
        <v>23</v>
      </c>
      <c r="I135" s="47">
        <v>-5.4600000000000003E-2</v>
      </c>
      <c r="J135" s="47">
        <v>0.14499999999999999</v>
      </c>
      <c r="K135" s="30">
        <f>1050713.54*W135</f>
        <v>1563352683.4545479</v>
      </c>
      <c r="L135" s="27">
        <f t="shared" ref="L135:L153" si="86">(K135/$K$154)</f>
        <v>7.9419091726178526E-4</v>
      </c>
      <c r="M135" s="26">
        <f>114.83*W135</f>
        <v>170855.120646</v>
      </c>
      <c r="N135" s="26">
        <f>114.83*W135</f>
        <v>170855.120646</v>
      </c>
      <c r="O135" s="29">
        <v>23</v>
      </c>
      <c r="P135" s="47">
        <v>6.6799999999999998E-2</v>
      </c>
      <c r="Q135" s="47">
        <v>0.1502</v>
      </c>
      <c r="R135" s="54">
        <f>((K135-D135)/D135)</f>
        <v>9.609343336620417E-2</v>
      </c>
      <c r="S135" s="54">
        <f>((N135-G135)/G135)</f>
        <v>5.713203591109195E-2</v>
      </c>
      <c r="T135" s="54">
        <f>((O135-H135)/H135)</f>
        <v>0</v>
      </c>
      <c r="U135" s="54">
        <f>P135-I135</f>
        <v>0.12140000000000001</v>
      </c>
      <c r="V135" s="55">
        <f>Q135-J135</f>
        <v>5.2000000000000102E-3</v>
      </c>
      <c r="W135" s="132">
        <v>1487.8961999999999</v>
      </c>
    </row>
    <row r="136" spans="1:24">
      <c r="A136" s="165">
        <v>119</v>
      </c>
      <c r="B136" s="163" t="s">
        <v>171</v>
      </c>
      <c r="C136" s="163" t="s">
        <v>23</v>
      </c>
      <c r="D136" s="26">
        <v>22818407993.669373</v>
      </c>
      <c r="E136" s="27">
        <f t="shared" ref="E136:E153" si="87">(D136/$D$154)</f>
        <v>1.1613116336717312E-2</v>
      </c>
      <c r="F136" s="30">
        <v>201065.744481</v>
      </c>
      <c r="G136" s="30">
        <v>201065.744481</v>
      </c>
      <c r="H136" s="29">
        <v>625</v>
      </c>
      <c r="I136" s="47">
        <v>5.0000000000000001E-4</v>
      </c>
      <c r="J136" s="47">
        <v>4.58E-2</v>
      </c>
      <c r="K136" s="26">
        <f xml:space="preserve"> 15317768.98*W135</f>
        <v>22791250257.819874</v>
      </c>
      <c r="L136" s="27">
        <f t="shared" si="86"/>
        <v>1.1578068173205724E-2</v>
      </c>
      <c r="M136" s="30">
        <f>134.07*W135</f>
        <v>199482.24353399998</v>
      </c>
      <c r="N136" s="30">
        <f>134.07*W135</f>
        <v>199482.24353399998</v>
      </c>
      <c r="O136" s="29">
        <v>627</v>
      </c>
      <c r="P136" s="47">
        <v>5.0000000000000001E-4</v>
      </c>
      <c r="Q136" s="47">
        <v>4.7E-2</v>
      </c>
      <c r="R136" s="54">
        <f t="shared" ref="R136:R154" si="88">((K136-D136)/D136)</f>
        <v>-1.1901678617120554E-3</v>
      </c>
      <c r="S136" s="54">
        <f t="shared" ref="S136:S154" si="89">((N136-G136)/G136)</f>
        <v>-7.8755381782581943E-3</v>
      </c>
      <c r="T136" s="54">
        <f t="shared" ref="T136:T154" si="90">((O136-H136)/H136)</f>
        <v>3.2000000000000002E-3</v>
      </c>
      <c r="U136" s="54">
        <f t="shared" ref="U136:U154" si="91">P136-I136</f>
        <v>0</v>
      </c>
      <c r="V136" s="55">
        <f t="shared" ref="V136:V154" si="92">Q136-J136</f>
        <v>1.1999999999999997E-3</v>
      </c>
    </row>
    <row r="137" spans="1:24">
      <c r="A137" s="165">
        <v>120</v>
      </c>
      <c r="B137" s="163" t="s">
        <v>321</v>
      </c>
      <c r="C137" s="163" t="s">
        <v>320</v>
      </c>
      <c r="D137" s="26">
        <v>270818275.56126601</v>
      </c>
      <c r="E137" s="27">
        <f t="shared" si="87"/>
        <v>1.3782925351648961E-4</v>
      </c>
      <c r="F137" s="30">
        <v>150149.91</v>
      </c>
      <c r="G137" s="30">
        <v>150149.91</v>
      </c>
      <c r="H137" s="29">
        <v>6</v>
      </c>
      <c r="I137" s="47">
        <v>1.1000000000000001E-3</v>
      </c>
      <c r="J137" s="47">
        <v>3.0999999999999999E-3</v>
      </c>
      <c r="K137" s="26">
        <f>180422.95*W135</f>
        <v>268450621.69779003</v>
      </c>
      <c r="L137" s="27">
        <f t="shared" si="86"/>
        <v>1.3637424730966849E-4</v>
      </c>
      <c r="M137" s="30">
        <f>100*W135</f>
        <v>148789.62</v>
      </c>
      <c r="N137" s="30">
        <f>100*W135</f>
        <v>148789.62</v>
      </c>
      <c r="O137" s="29">
        <v>10</v>
      </c>
      <c r="P137" s="47">
        <v>-5.8999999999999999E-3</v>
      </c>
      <c r="Q137" s="47">
        <v>-5.8999999999999999E-3</v>
      </c>
      <c r="R137" s="54">
        <v>0</v>
      </c>
      <c r="S137" s="54">
        <f t="shared" ref="S137" si="93">((N137-G137)/G137)</f>
        <v>-9.0595458898377508E-3</v>
      </c>
      <c r="T137" s="54">
        <f t="shared" ref="T137" si="94">((O137-H137)/H137)</f>
        <v>0.66666666666666663</v>
      </c>
      <c r="U137" s="54">
        <f t="shared" ref="U137" si="95">P137-I137</f>
        <v>-7.0000000000000001E-3</v>
      </c>
      <c r="V137" s="55">
        <f t="shared" ref="V137" si="96">Q137-J137</f>
        <v>-8.9999999999999993E-3</v>
      </c>
    </row>
    <row r="138" spans="1:24">
      <c r="A138" s="165">
        <v>121</v>
      </c>
      <c r="B138" s="162" t="s">
        <v>172</v>
      </c>
      <c r="C138" s="163" t="s">
        <v>65</v>
      </c>
      <c r="D138" s="30">
        <v>16576538873.6</v>
      </c>
      <c r="E138" s="27">
        <f t="shared" si="87"/>
        <v>8.436402506811231E-3</v>
      </c>
      <c r="F138" s="30">
        <v>177034.4</v>
      </c>
      <c r="G138" s="30">
        <v>177034.4</v>
      </c>
      <c r="H138" s="29">
        <v>440</v>
      </c>
      <c r="I138" s="47">
        <v>1.6999999999999999E-3</v>
      </c>
      <c r="J138" s="47">
        <v>6.6799999999999998E-2</v>
      </c>
      <c r="K138" s="30">
        <v>16585805036.799999</v>
      </c>
      <c r="L138" s="27">
        <f>(K138/$K$154)</f>
        <v>8.4256712225640896E-3</v>
      </c>
      <c r="M138" s="30">
        <v>177399.2</v>
      </c>
      <c r="N138" s="30">
        <v>177399.2</v>
      </c>
      <c r="O138" s="29">
        <v>437</v>
      </c>
      <c r="P138" s="47">
        <v>2.0999999999999999E-3</v>
      </c>
      <c r="Q138" s="47">
        <v>6.6799999999999998E-2</v>
      </c>
      <c r="R138" s="54">
        <f t="shared" si="88"/>
        <v>5.5899263837014019E-4</v>
      </c>
      <c r="S138" s="54">
        <f t="shared" si="89"/>
        <v>2.0606164677600368E-3</v>
      </c>
      <c r="T138" s="54">
        <f t="shared" si="90"/>
        <v>-6.8181818181818179E-3</v>
      </c>
      <c r="U138" s="54">
        <f t="shared" si="91"/>
        <v>3.9999999999999996E-4</v>
      </c>
      <c r="V138" s="55">
        <f t="shared" si="92"/>
        <v>0</v>
      </c>
    </row>
    <row r="139" spans="1:24">
      <c r="A139" s="165">
        <v>122</v>
      </c>
      <c r="B139" s="162" t="s">
        <v>293</v>
      </c>
      <c r="C139" s="163" t="s">
        <v>294</v>
      </c>
      <c r="D139" s="26">
        <v>194934057.59133899</v>
      </c>
      <c r="E139" s="27">
        <f t="shared" ref="E139" si="97">(D139/$D$112)</f>
        <v>8.4546063295702428E-4</v>
      </c>
      <c r="F139" s="32">
        <v>1539.3368773199998</v>
      </c>
      <c r="G139" s="32">
        <v>1539.3368773199998</v>
      </c>
      <c r="H139" s="29">
        <v>3</v>
      </c>
      <c r="I139" s="47">
        <v>1.9E-3</v>
      </c>
      <c r="J139" s="47">
        <v>0.1018</v>
      </c>
      <c r="K139" s="26">
        <f>132366.91*W135</f>
        <v>196948222.39474198</v>
      </c>
      <c r="L139" s="27">
        <f t="shared" ref="L139" si="98">(K139/$K$112)</f>
        <v>8.5105610132663002E-4</v>
      </c>
      <c r="M139" s="32">
        <f>1.0453*W135</f>
        <v>1555.2978978599997</v>
      </c>
      <c r="N139" s="32">
        <f>1.0453*W135</f>
        <v>1555.2978978599997</v>
      </c>
      <c r="O139" s="29">
        <v>3</v>
      </c>
      <c r="P139" s="47">
        <v>1.9599999999999999E-2</v>
      </c>
      <c r="Q139" s="47">
        <v>0.12189999999999999</v>
      </c>
      <c r="R139" s="53">
        <f t="shared" si="88"/>
        <v>1.03325443911166E-2</v>
      </c>
      <c r="S139" s="53">
        <f t="shared" si="89"/>
        <v>1.036876383276689E-2</v>
      </c>
      <c r="T139" s="53">
        <f t="shared" si="90"/>
        <v>0</v>
      </c>
      <c r="U139" s="54">
        <f t="shared" si="91"/>
        <v>1.77E-2</v>
      </c>
      <c r="V139" s="55">
        <f t="shared" si="92"/>
        <v>2.0099999999999993E-2</v>
      </c>
    </row>
    <row r="140" spans="1:24">
      <c r="A140" s="165">
        <v>123</v>
      </c>
      <c r="B140" s="162" t="s">
        <v>173</v>
      </c>
      <c r="C140" s="163" t="s">
        <v>63</v>
      </c>
      <c r="D140" s="30">
        <v>10272098059.110001</v>
      </c>
      <c r="E140" s="27">
        <f t="shared" si="87"/>
        <v>5.2278436697121055E-3</v>
      </c>
      <c r="F140" s="30">
        <v>1985</v>
      </c>
      <c r="G140" s="30">
        <v>1985</v>
      </c>
      <c r="H140" s="29">
        <v>288</v>
      </c>
      <c r="I140" s="47">
        <v>6.5100000000000005E-2</v>
      </c>
      <c r="J140" s="47">
        <v>6.6400000000000001E-2</v>
      </c>
      <c r="K140" s="30">
        <v>10313439380.25</v>
      </c>
      <c r="L140" s="27">
        <f t="shared" si="86"/>
        <v>5.2392783587547421E-3</v>
      </c>
      <c r="M140" s="30">
        <v>1973</v>
      </c>
      <c r="N140" s="30">
        <v>1973</v>
      </c>
      <c r="O140" s="29">
        <v>289</v>
      </c>
      <c r="P140" s="47">
        <v>6.6400000000000001E-2</v>
      </c>
      <c r="Q140" s="47">
        <v>6.6500000000000004E-2</v>
      </c>
      <c r="R140" s="54">
        <f t="shared" si="88"/>
        <v>4.0246229058663501E-3</v>
      </c>
      <c r="S140" s="54">
        <f t="shared" si="89"/>
        <v>-6.0453400503778336E-3</v>
      </c>
      <c r="T140" s="53">
        <f t="shared" si="90"/>
        <v>3.472222222222222E-3</v>
      </c>
      <c r="U140" s="54">
        <f t="shared" si="91"/>
        <v>1.2999999999999956E-3</v>
      </c>
      <c r="V140" s="55">
        <f t="shared" si="92"/>
        <v>1.0000000000000286E-4</v>
      </c>
    </row>
    <row r="141" spans="1:24">
      <c r="A141" s="165">
        <v>124</v>
      </c>
      <c r="B141" s="162" t="s">
        <v>318</v>
      </c>
      <c r="C141" s="163" t="s">
        <v>78</v>
      </c>
      <c r="D141" s="30">
        <v>476439523.266693</v>
      </c>
      <c r="E141" s="27">
        <f t="shared" si="87"/>
        <v>2.4247737233207828E-4</v>
      </c>
      <c r="F141" s="30">
        <v>1531.529082</v>
      </c>
      <c r="G141" s="30">
        <v>1531.529082</v>
      </c>
      <c r="H141" s="29">
        <v>10</v>
      </c>
      <c r="I141" s="47">
        <v>2.9999999999999997E-4</v>
      </c>
      <c r="J141" s="47">
        <v>2.18E-2</v>
      </c>
      <c r="K141" s="30">
        <f>317442.49*W135</f>
        <v>472321474.58953798</v>
      </c>
      <c r="L141" s="27">
        <f t="shared" si="86"/>
        <v>2.3994165175692425E-4</v>
      </c>
      <c r="M141" s="30">
        <f>1.02*W135</f>
        <v>1517.6541239999999</v>
      </c>
      <c r="N141" s="30">
        <f>1.02*W135</f>
        <v>1517.6541239999999</v>
      </c>
      <c r="O141" s="29">
        <v>9</v>
      </c>
      <c r="P141" s="47">
        <v>2.9999999999999997E-4</v>
      </c>
      <c r="Q141" s="47">
        <v>2.23E-2</v>
      </c>
      <c r="R141" s="54">
        <f t="shared" si="88"/>
        <v>-8.6433817432268068E-3</v>
      </c>
      <c r="S141" s="54">
        <f t="shared" si="89"/>
        <v>-9.0595458898377647E-3</v>
      </c>
      <c r="T141" s="53">
        <f t="shared" si="90"/>
        <v>-0.1</v>
      </c>
      <c r="U141" s="54">
        <f t="shared" si="91"/>
        <v>0</v>
      </c>
      <c r="V141" s="55">
        <f t="shared" si="92"/>
        <v>5.0000000000000044E-4</v>
      </c>
    </row>
    <row r="142" spans="1:24">
      <c r="A142" s="165">
        <v>125</v>
      </c>
      <c r="B142" s="162" t="s">
        <v>300</v>
      </c>
      <c r="C142" s="163" t="s">
        <v>35</v>
      </c>
      <c r="D142" s="30">
        <v>101516449803.155</v>
      </c>
      <c r="E142" s="27">
        <f t="shared" si="87"/>
        <v>5.1665407244082785E-2</v>
      </c>
      <c r="F142" s="30">
        <v>153144.50999999998</v>
      </c>
      <c r="G142" s="30">
        <v>153144.50999999998</v>
      </c>
      <c r="H142" s="29">
        <v>1984</v>
      </c>
      <c r="I142" s="47">
        <v>5.7299999999999997E-2</v>
      </c>
      <c r="J142" s="47">
        <v>5.1299999999999998E-2</v>
      </c>
      <c r="K142" s="30">
        <v>103450615131.231</v>
      </c>
      <c r="L142" s="27">
        <f t="shared" si="86"/>
        <v>5.2553425590967706E-2</v>
      </c>
      <c r="M142" s="30">
        <f>100*1531.4451</f>
        <v>153144.50999999998</v>
      </c>
      <c r="N142" s="30">
        <f>100*1531.4451</f>
        <v>153144.50999999998</v>
      </c>
      <c r="O142" s="29">
        <v>1994</v>
      </c>
      <c r="P142" s="47">
        <v>5.6899999999999999E-2</v>
      </c>
      <c r="Q142" s="47">
        <v>5.1400000000000001E-2</v>
      </c>
      <c r="R142" s="54">
        <f t="shared" si="88"/>
        <v>1.9052728221154683E-2</v>
      </c>
      <c r="S142" s="54">
        <f t="shared" si="89"/>
        <v>0</v>
      </c>
      <c r="T142" s="54">
        <f t="shared" si="90"/>
        <v>5.0403225806451612E-3</v>
      </c>
      <c r="U142" s="54">
        <f t="shared" si="91"/>
        <v>-3.9999999999999758E-4</v>
      </c>
      <c r="V142" s="55">
        <f t="shared" si="92"/>
        <v>1.0000000000000286E-4</v>
      </c>
    </row>
    <row r="143" spans="1:24" ht="15.6">
      <c r="A143" s="165">
        <v>126</v>
      </c>
      <c r="B143" s="162" t="s">
        <v>174</v>
      </c>
      <c r="C143" s="163" t="s">
        <v>130</v>
      </c>
      <c r="D143" s="30">
        <v>1409219923.2672269</v>
      </c>
      <c r="E143" s="27">
        <f t="shared" si="87"/>
        <v>7.1720318601816986E-4</v>
      </c>
      <c r="F143" s="30">
        <v>1681.6789920000001</v>
      </c>
      <c r="G143" s="30">
        <v>1756.7539469999999</v>
      </c>
      <c r="H143" s="29">
        <v>53</v>
      </c>
      <c r="I143" s="47">
        <v>1.9E-3</v>
      </c>
      <c r="J143" s="47">
        <v>9.1700000000000004E-2</v>
      </c>
      <c r="K143" s="30">
        <f>939581.43*W135</f>
        <v>1397999639.2875659</v>
      </c>
      <c r="L143" s="27">
        <f t="shared" si="86"/>
        <v>7.101907506910398E-4</v>
      </c>
      <c r="M143" s="30">
        <f>1.13*W135</f>
        <v>1681.3227059999997</v>
      </c>
      <c r="N143" s="30">
        <f>1.13*W135</f>
        <v>1681.3227059999997</v>
      </c>
      <c r="O143" s="29">
        <v>53</v>
      </c>
      <c r="P143" s="47">
        <v>1.9E-3</v>
      </c>
      <c r="Q143" s="47">
        <v>9.1700000000000004E-2</v>
      </c>
      <c r="R143" s="54">
        <f t="shared" si="88"/>
        <v>-7.9620531858839699E-3</v>
      </c>
      <c r="S143" s="54">
        <f t="shared" si="89"/>
        <v>-4.2937852013262182E-2</v>
      </c>
      <c r="T143" s="54">
        <f t="shared" si="90"/>
        <v>0</v>
      </c>
      <c r="U143" s="54">
        <f t="shared" si="91"/>
        <v>0</v>
      </c>
      <c r="V143" s="55">
        <f t="shared" si="92"/>
        <v>0</v>
      </c>
      <c r="X143" s="64"/>
    </row>
    <row r="144" spans="1:24" ht="15.6">
      <c r="A144" s="165">
        <v>127</v>
      </c>
      <c r="B144" s="162" t="s">
        <v>175</v>
      </c>
      <c r="C144" s="163" t="s">
        <v>41</v>
      </c>
      <c r="D144" s="26">
        <v>6438864221.1836128</v>
      </c>
      <c r="E144" s="27">
        <f t="shared" si="87"/>
        <v>3.2769717895164857E-3</v>
      </c>
      <c r="F144" s="30">
        <v>16036.010387999999</v>
      </c>
      <c r="G144" s="30">
        <v>16036.010387999999</v>
      </c>
      <c r="H144" s="29">
        <v>152</v>
      </c>
      <c r="I144" s="47">
        <v>7.3499999999999996E-2</v>
      </c>
      <c r="J144" s="47">
        <v>9.3399999999999997E-2</v>
      </c>
      <c r="K144" s="26">
        <f>4329809.75*W135</f>
        <v>6442307473.7479496</v>
      </c>
      <c r="L144" s="27">
        <f t="shared" si="86"/>
        <v>3.2727241498396614E-3</v>
      </c>
      <c r="M144" s="30">
        <f>10.69*W135</f>
        <v>15905.610377999998</v>
      </c>
      <c r="N144" s="30">
        <f>10.69*W135</f>
        <v>15905.610377999998</v>
      </c>
      <c r="O144" s="29">
        <v>152</v>
      </c>
      <c r="P144" s="47">
        <v>7.4300000000000005E-2</v>
      </c>
      <c r="Q144" s="47">
        <v>9.4200000000000006E-2</v>
      </c>
      <c r="R144" s="54">
        <f t="shared" si="88"/>
        <v>5.3476085937774703E-4</v>
      </c>
      <c r="S144" s="54">
        <f t="shared" si="89"/>
        <v>-8.1316990226934244E-3</v>
      </c>
      <c r="T144" s="54">
        <f t="shared" si="90"/>
        <v>0</v>
      </c>
      <c r="U144" s="54">
        <f t="shared" si="91"/>
        <v>8.0000000000000904E-4</v>
      </c>
      <c r="V144" s="55">
        <f t="shared" si="92"/>
        <v>8.0000000000000904E-4</v>
      </c>
      <c r="X144" s="64"/>
    </row>
    <row r="145" spans="1:24" ht="15.6">
      <c r="A145" s="165">
        <v>128</v>
      </c>
      <c r="B145" s="163" t="s">
        <v>176</v>
      </c>
      <c r="C145" s="168" t="s">
        <v>45</v>
      </c>
      <c r="D145" s="30">
        <v>26508244572.810001</v>
      </c>
      <c r="E145" s="27">
        <f t="shared" si="87"/>
        <v>1.3491008145336186E-2</v>
      </c>
      <c r="F145" s="30">
        <v>1621.6190280000001</v>
      </c>
      <c r="G145" s="30">
        <v>1636.6340190000001</v>
      </c>
      <c r="H145" s="29">
        <v>460</v>
      </c>
      <c r="I145" s="47">
        <v>3.0999999999999999E-3</v>
      </c>
      <c r="J145" s="47">
        <v>9.7699999999999995E-2</v>
      </c>
      <c r="K145" s="30">
        <v>26286507883.200001</v>
      </c>
      <c r="L145" s="27">
        <f t="shared" si="86"/>
        <v>1.3353676383013489E-2</v>
      </c>
      <c r="M145" s="30">
        <f>1.08*W135</f>
        <v>1606.9278959999999</v>
      </c>
      <c r="N145" s="30">
        <f>1.08*W135</f>
        <v>1606.9278959999999</v>
      </c>
      <c r="O145" s="29">
        <v>460</v>
      </c>
      <c r="P145" s="47">
        <v>-1.6000000000000001E-3</v>
      </c>
      <c r="Q145" s="47">
        <v>9.6799999999999997E-2</v>
      </c>
      <c r="R145" s="54">
        <f t="shared" si="88"/>
        <v>-8.3648198205263299E-3</v>
      </c>
      <c r="S145" s="54">
        <f t="shared" si="89"/>
        <v>-1.8150742716536529E-2</v>
      </c>
      <c r="T145" s="54">
        <f t="shared" si="90"/>
        <v>0</v>
      </c>
      <c r="U145" s="54">
        <f t="shared" si="91"/>
        <v>-4.7000000000000002E-3</v>
      </c>
      <c r="V145" s="55">
        <f t="shared" si="92"/>
        <v>-8.9999999999999802E-4</v>
      </c>
      <c r="X145" s="64"/>
    </row>
    <row r="146" spans="1:24">
      <c r="A146" s="165">
        <v>129</v>
      </c>
      <c r="B146" s="162" t="s">
        <v>177</v>
      </c>
      <c r="C146" s="163" t="s">
        <v>87</v>
      </c>
      <c r="D146" s="26">
        <v>451658894.40899998</v>
      </c>
      <c r="E146" s="27">
        <f t="shared" si="87"/>
        <v>2.2986561055179794E-4</v>
      </c>
      <c r="F146" s="30">
        <v>1879.7249999999999</v>
      </c>
      <c r="G146" s="30">
        <v>1879.7249999999999</v>
      </c>
      <c r="H146" s="29">
        <v>2</v>
      </c>
      <c r="I146" s="47">
        <v>9.8370000000000003E-3</v>
      </c>
      <c r="J146" s="47">
        <v>0.127168</v>
      </c>
      <c r="K146" s="26">
        <f>298142.96*1492.81</f>
        <v>445070792.11760002</v>
      </c>
      <c r="L146" s="27">
        <f t="shared" si="86"/>
        <v>2.2609816990062611E-4</v>
      </c>
      <c r="M146" s="30">
        <f>1.24*1492.81</f>
        <v>1851.0844</v>
      </c>
      <c r="N146" s="30">
        <f>1.24*1492.81</f>
        <v>1851.0844</v>
      </c>
      <c r="O146" s="29">
        <v>2</v>
      </c>
      <c r="P146" s="47">
        <v>-7.345E-3</v>
      </c>
      <c r="Q146" s="47">
        <v>0.11888899999999999</v>
      </c>
      <c r="R146" s="54">
        <f t="shared" si="88"/>
        <v>-1.4586455338205066E-2</v>
      </c>
      <c r="S146" s="54">
        <f t="shared" si="89"/>
        <v>-1.5236590458710689E-2</v>
      </c>
      <c r="T146" s="54">
        <f t="shared" si="90"/>
        <v>0</v>
      </c>
      <c r="U146" s="54">
        <f t="shared" ref="U146" si="99">P146-I146</f>
        <v>-1.7181999999999999E-2</v>
      </c>
      <c r="V146" s="55">
        <f t="shared" ref="V146" si="100">Q146-J146</f>
        <v>-8.2790000000000086E-3</v>
      </c>
    </row>
    <row r="147" spans="1:24">
      <c r="A147" s="165">
        <v>130</v>
      </c>
      <c r="B147" s="162" t="s">
        <v>303</v>
      </c>
      <c r="C147" s="163" t="s">
        <v>301</v>
      </c>
      <c r="D147" s="26">
        <v>693855887.24211597</v>
      </c>
      <c r="E147" s="27">
        <f t="shared" si="87"/>
        <v>3.5312845408384434E-4</v>
      </c>
      <c r="F147" s="30">
        <v>1555.5530676000001</v>
      </c>
      <c r="G147" s="30">
        <v>1555.5530676000001</v>
      </c>
      <c r="H147" s="29">
        <v>7</v>
      </c>
      <c r="I147" s="47">
        <v>7.8700000000000006E-2</v>
      </c>
      <c r="J147" s="47">
        <v>7.0300000000000001E-2</v>
      </c>
      <c r="K147" s="26">
        <f>462592.64*W135</f>
        <v>688289831.20396793</v>
      </c>
      <c r="L147" s="27">
        <f t="shared" si="86"/>
        <v>3.4965464809766399E-4</v>
      </c>
      <c r="M147" s="30">
        <f>1.0371*W135</f>
        <v>1543.0971490199997</v>
      </c>
      <c r="N147" s="30">
        <f>1.0371*W135</f>
        <v>1543.0971490199997</v>
      </c>
      <c r="O147" s="29">
        <v>7</v>
      </c>
      <c r="P147" s="47">
        <v>7.7799999999999994E-2</v>
      </c>
      <c r="Q147" s="47">
        <v>7.0499999999999993E-2</v>
      </c>
      <c r="R147" s="54">
        <f t="shared" ref="R147" si="101">((K147-D147)/D147)</f>
        <v>-8.0219194511292093E-3</v>
      </c>
      <c r="S147" s="54">
        <f t="shared" ref="S147" si="102">((N147-G147)/G147)</f>
        <v>-8.0073890370182463E-3</v>
      </c>
      <c r="T147" s="54">
        <f t="shared" si="90"/>
        <v>0</v>
      </c>
      <c r="U147" s="54">
        <f t="shared" si="91"/>
        <v>-9.000000000000119E-4</v>
      </c>
      <c r="V147" s="55">
        <f t="shared" si="92"/>
        <v>1.9999999999999185E-4</v>
      </c>
    </row>
    <row r="148" spans="1:24">
      <c r="A148" s="165">
        <v>131</v>
      </c>
      <c r="B148" s="162" t="s">
        <v>178</v>
      </c>
      <c r="C148" s="163" t="s">
        <v>47</v>
      </c>
      <c r="D148" s="26">
        <v>1070052386524.38</v>
      </c>
      <c r="E148" s="27">
        <f t="shared" si="87"/>
        <v>0.54458851180753765</v>
      </c>
      <c r="F148" s="30">
        <v>2481.84</v>
      </c>
      <c r="G148" s="30">
        <v>2481.84</v>
      </c>
      <c r="H148" s="29">
        <v>12031</v>
      </c>
      <c r="I148" s="47">
        <v>1.2999999999999999E-3</v>
      </c>
      <c r="J148" s="47">
        <v>4.8099999999999997E-2</v>
      </c>
      <c r="K148" s="26">
        <v>1068654809569.29</v>
      </c>
      <c r="L148" s="27">
        <f t="shared" si="86"/>
        <v>0.54288194367801978</v>
      </c>
      <c r="M148" s="30">
        <v>2466.12</v>
      </c>
      <c r="N148" s="30">
        <v>2466.12</v>
      </c>
      <c r="O148" s="29">
        <v>12100</v>
      </c>
      <c r="P148" s="47">
        <v>1E-3</v>
      </c>
      <c r="Q148" s="47">
        <v>4.9200000000000001E-2</v>
      </c>
      <c r="R148" s="54">
        <f t="shared" si="88"/>
        <v>-1.3060827420136067E-3</v>
      </c>
      <c r="S148" s="54">
        <f t="shared" si="89"/>
        <v>-6.3340102504594389E-3</v>
      </c>
      <c r="T148" s="54">
        <f t="shared" si="90"/>
        <v>5.7351841077217186E-3</v>
      </c>
      <c r="U148" s="54">
        <f t="shared" si="91"/>
        <v>-2.9999999999999992E-4</v>
      </c>
      <c r="V148" s="55">
        <f t="shared" si="92"/>
        <v>1.1000000000000038E-3</v>
      </c>
    </row>
    <row r="149" spans="1:24">
      <c r="A149" s="165">
        <v>132</v>
      </c>
      <c r="B149" s="162" t="s">
        <v>285</v>
      </c>
      <c r="C149" s="162" t="s">
        <v>97</v>
      </c>
      <c r="D149" s="26">
        <v>542687735.62745094</v>
      </c>
      <c r="E149" s="27">
        <f t="shared" si="87"/>
        <v>2.7619349299476783E-4</v>
      </c>
      <c r="F149" s="30">
        <v>157702.450473</v>
      </c>
      <c r="G149" s="30">
        <v>157702.450473</v>
      </c>
      <c r="H149" s="29">
        <v>29</v>
      </c>
      <c r="I149" s="47">
        <v>0</v>
      </c>
      <c r="J149" s="47">
        <v>7.6100000000000001E-2</v>
      </c>
      <c r="K149" s="26">
        <f>361985.36*W135</f>
        <v>538596641.59963191</v>
      </c>
      <c r="L149" s="27">
        <f t="shared" si="86"/>
        <v>2.7360976531599424E-4</v>
      </c>
      <c r="M149" s="30">
        <f>105.19*W135</f>
        <v>156511.801278</v>
      </c>
      <c r="N149" s="30">
        <f>105.19*W135</f>
        <v>156511.801278</v>
      </c>
      <c r="O149" s="29">
        <v>29</v>
      </c>
      <c r="P149" s="47">
        <v>0</v>
      </c>
      <c r="Q149" s="47">
        <v>7.6399999999999996E-2</v>
      </c>
      <c r="R149" s="54">
        <f t="shared" ref="R149" si="103">((K149-D149)/D149)</f>
        <v>-7.5385783743370377E-3</v>
      </c>
      <c r="S149" s="54">
        <f t="shared" ref="S149" si="104">((N149-G149)/G149)</f>
        <v>-7.5499726949636373E-3</v>
      </c>
      <c r="T149" s="54">
        <f t="shared" ref="T149" si="105">((O149-H149)/H149)</f>
        <v>0</v>
      </c>
      <c r="U149" s="54">
        <f t="shared" ref="U149" si="106">P149-I149</f>
        <v>0</v>
      </c>
      <c r="V149" s="55">
        <f t="shared" ref="V149" si="107">Q149-J149</f>
        <v>2.9999999999999472E-4</v>
      </c>
    </row>
    <row r="150" spans="1:24" ht="16.5" customHeight="1">
      <c r="A150" s="165">
        <v>133</v>
      </c>
      <c r="B150" s="162" t="s">
        <v>179</v>
      </c>
      <c r="C150" s="163" t="s">
        <v>50</v>
      </c>
      <c r="D150" s="26">
        <v>179257967755.401</v>
      </c>
      <c r="E150" s="27">
        <f t="shared" si="87"/>
        <v>9.1230888430277046E-2</v>
      </c>
      <c r="F150" s="30">
        <v>1828.5964799999999</v>
      </c>
      <c r="G150" s="30">
        <v>1828.5964799999999</v>
      </c>
      <c r="H150" s="29">
        <v>822</v>
      </c>
      <c r="I150" s="47">
        <v>6.1899999999999997E-2</v>
      </c>
      <c r="J150" s="47">
        <v>8.8200000000000001E-2</v>
      </c>
      <c r="K150" s="26">
        <f>120209415.08*1492.81</f>
        <v>179449816925.5748</v>
      </c>
      <c r="L150" s="27">
        <f t="shared" si="86"/>
        <v>9.1161397050638804E-2</v>
      </c>
      <c r="M150" s="30">
        <f>1.2232*1492.81</f>
        <v>1826.0051920000001</v>
      </c>
      <c r="N150" s="30">
        <f>1.2232*1492.81</f>
        <v>1826.0051920000001</v>
      </c>
      <c r="O150" s="29">
        <v>829</v>
      </c>
      <c r="P150" s="47">
        <v>5.8999999999999999E-3</v>
      </c>
      <c r="Q150" s="47">
        <v>9.4500000000000001E-2</v>
      </c>
      <c r="R150" s="54">
        <f t="shared" si="88"/>
        <v>1.0702406848412864E-3</v>
      </c>
      <c r="S150" s="54">
        <f t="shared" si="89"/>
        <v>-1.417091210850329E-3</v>
      </c>
      <c r="T150" s="54">
        <f t="shared" si="90"/>
        <v>8.5158150851581509E-3</v>
      </c>
      <c r="U150" s="54">
        <f t="shared" si="91"/>
        <v>-5.5999999999999994E-2</v>
      </c>
      <c r="V150" s="55">
        <f t="shared" si="92"/>
        <v>6.3E-3</v>
      </c>
    </row>
    <row r="151" spans="1:24" ht="16.5" customHeight="1">
      <c r="A151" s="165">
        <v>134</v>
      </c>
      <c r="B151" s="162" t="s">
        <v>180</v>
      </c>
      <c r="C151" s="163" t="s">
        <v>92</v>
      </c>
      <c r="D151" s="30">
        <v>1841694363.9338875</v>
      </c>
      <c r="E151" s="27">
        <f t="shared" si="87"/>
        <v>9.3730513149622692E-4</v>
      </c>
      <c r="F151" s="30">
        <v>161966.70791699999</v>
      </c>
      <c r="G151" s="30">
        <v>161966.70791699999</v>
      </c>
      <c r="H151" s="29">
        <v>29</v>
      </c>
      <c r="I151" s="47">
        <v>1.4E-2</v>
      </c>
      <c r="J151" s="47">
        <v>6.7199999999999996E-2</v>
      </c>
      <c r="K151" s="30">
        <f>1225868.35208235*W135</f>
        <v>1823964862.7635906</v>
      </c>
      <c r="L151" s="27">
        <f t="shared" si="86"/>
        <v>9.2658319696011025E-4</v>
      </c>
      <c r="M151" s="30">
        <f>107.81*W135</f>
        <v>160410.08932199999</v>
      </c>
      <c r="N151" s="30">
        <f>107.81*W135</f>
        <v>160410.08932199999</v>
      </c>
      <c r="O151" s="29">
        <v>29</v>
      </c>
      <c r="P151" s="47">
        <v>-5.9999999999999995E-4</v>
      </c>
      <c r="Q151" s="47">
        <v>6.7199999999999996E-2</v>
      </c>
      <c r="R151" s="54">
        <f t="shared" si="88"/>
        <v>-9.6267336847501769E-3</v>
      </c>
      <c r="S151" s="54">
        <f t="shared" si="89"/>
        <v>-9.610731828899665E-3</v>
      </c>
      <c r="T151" s="54">
        <f t="shared" si="90"/>
        <v>0</v>
      </c>
      <c r="U151" s="54">
        <f t="shared" si="91"/>
        <v>-1.46E-2</v>
      </c>
      <c r="V151" s="55">
        <f t="shared" si="92"/>
        <v>0</v>
      </c>
    </row>
    <row r="152" spans="1:24" ht="16.5" customHeight="1">
      <c r="A152" s="165">
        <v>135</v>
      </c>
      <c r="B152" s="162" t="s">
        <v>305</v>
      </c>
      <c r="C152" s="163" t="s">
        <v>103</v>
      </c>
      <c r="D152" s="30">
        <v>1951920286.5021091</v>
      </c>
      <c r="E152" s="27">
        <f t="shared" si="87"/>
        <v>9.9340310566085259E-4</v>
      </c>
      <c r="F152" s="30">
        <v>1636.6340190000001</v>
      </c>
      <c r="G152" s="30">
        <v>1636.6340190000001</v>
      </c>
      <c r="H152" s="29">
        <v>30</v>
      </c>
      <c r="I152" s="47">
        <v>9.4500000000000001E-2</v>
      </c>
      <c r="J152" s="47">
        <v>9.6600000000000005E-2</v>
      </c>
      <c r="K152" s="30">
        <f>1307903.82*W135</f>
        <v>1946025123.743484</v>
      </c>
      <c r="L152" s="27">
        <f t="shared" si="86"/>
        <v>9.8859041494410828E-4</v>
      </c>
      <c r="M152" s="30">
        <f>1.09*W135</f>
        <v>1621.8068579999999</v>
      </c>
      <c r="N152" s="30">
        <f>1.09*W135</f>
        <v>1621.8068579999999</v>
      </c>
      <c r="O152" s="29">
        <v>31</v>
      </c>
      <c r="P152" s="47">
        <v>9.7900000000000001E-2</v>
      </c>
      <c r="Q152" s="47">
        <v>9.1499999999999998E-2</v>
      </c>
      <c r="R152" s="54">
        <f t="shared" ref="R152" si="108">((K152-D152)/D152)</f>
        <v>-3.0201862234801157E-3</v>
      </c>
      <c r="S152" s="54">
        <f t="shared" ref="S152" si="109">((N152-G152)/G152)</f>
        <v>-9.0595458898377942E-3</v>
      </c>
      <c r="T152" s="54">
        <f t="shared" si="90"/>
        <v>3.3333333333333333E-2</v>
      </c>
      <c r="U152" s="54">
        <f t="shared" si="91"/>
        <v>3.4000000000000002E-3</v>
      </c>
      <c r="V152" s="55">
        <f t="shared" si="92"/>
        <v>-5.1000000000000073E-3</v>
      </c>
    </row>
    <row r="153" spans="1:24">
      <c r="A153" s="165">
        <v>136</v>
      </c>
      <c r="B153" s="162" t="s">
        <v>181</v>
      </c>
      <c r="C153" s="163" t="s">
        <v>105</v>
      </c>
      <c r="D153" s="30">
        <v>1686556221.436584</v>
      </c>
      <c r="E153" s="27">
        <f t="shared" si="87"/>
        <v>8.5834969790141819E-4</v>
      </c>
      <c r="F153" s="30">
        <v>2087.0837489999999</v>
      </c>
      <c r="G153" s="30">
        <v>2087.0837489999999</v>
      </c>
      <c r="H153" s="29">
        <v>112</v>
      </c>
      <c r="I153" s="47">
        <v>5.1999999999999998E-3</v>
      </c>
      <c r="J153" s="47">
        <v>0.1215</v>
      </c>
      <c r="K153" s="30">
        <f>1127236.92*W135</f>
        <v>1677211529.7677038</v>
      </c>
      <c r="L153" s="27">
        <f t="shared" si="86"/>
        <v>8.5203177591691606E-4</v>
      </c>
      <c r="M153" s="30">
        <f>1.4*W135</f>
        <v>2083.0546799999997</v>
      </c>
      <c r="N153" s="30">
        <f>1.4*W135</f>
        <v>2083.0546799999997</v>
      </c>
      <c r="O153" s="29">
        <v>112</v>
      </c>
      <c r="P153" s="47">
        <v>2.0999999999999999E-3</v>
      </c>
      <c r="Q153" s="47">
        <v>0.12470000000000001</v>
      </c>
      <c r="R153" s="54">
        <f t="shared" si="88"/>
        <v>-5.5406938411579022E-3</v>
      </c>
      <c r="S153" s="54">
        <f t="shared" si="89"/>
        <v>-1.9304778746567508E-3</v>
      </c>
      <c r="T153" s="54">
        <f t="shared" si="90"/>
        <v>0</v>
      </c>
      <c r="U153" s="54">
        <f t="shared" si="91"/>
        <v>-3.0999999999999999E-3</v>
      </c>
      <c r="V153" s="55">
        <f t="shared" si="92"/>
        <v>3.2000000000000084E-3</v>
      </c>
    </row>
    <row r="154" spans="1:24">
      <c r="A154" s="33"/>
      <c r="B154" s="34"/>
      <c r="C154" s="68" t="s">
        <v>51</v>
      </c>
      <c r="D154" s="45">
        <f>SUM(D116:D153)</f>
        <v>1964882408137.4414</v>
      </c>
      <c r="E154" s="37">
        <f>(D154/$D$226)</f>
        <v>0.29675764560145035</v>
      </c>
      <c r="F154" s="38"/>
      <c r="G154" s="42"/>
      <c r="H154" s="40">
        <f>SUM(H116:H153)</f>
        <v>26959</v>
      </c>
      <c r="I154" s="77"/>
      <c r="J154" s="77"/>
      <c r="K154" s="45">
        <f>SUM(K116:K153)</f>
        <v>1968484717559.7043</v>
      </c>
      <c r="L154" s="37">
        <f>(K154/$K$226)</f>
        <v>0.29407637895829214</v>
      </c>
      <c r="M154" s="38"/>
      <c r="N154" s="42"/>
      <c r="O154" s="40">
        <f>SUM(O116:O153)</f>
        <v>27084</v>
      </c>
      <c r="P154" s="77"/>
      <c r="Q154" s="77"/>
      <c r="R154" s="54">
        <f t="shared" si="88"/>
        <v>1.8333460604788325E-3</v>
      </c>
      <c r="S154" s="54" t="e">
        <f t="shared" si="89"/>
        <v>#DIV/0!</v>
      </c>
      <c r="T154" s="54">
        <f t="shared" si="90"/>
        <v>4.6366704996476131E-3</v>
      </c>
      <c r="U154" s="54">
        <f t="shared" si="91"/>
        <v>0</v>
      </c>
      <c r="V154" s="55">
        <f t="shared" si="92"/>
        <v>0</v>
      </c>
    </row>
    <row r="155" spans="1:24" ht="6" customHeight="1">
      <c r="A155" s="33"/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</row>
    <row r="156" spans="1:24">
      <c r="A156" s="178" t="s">
        <v>182</v>
      </c>
      <c r="B156" s="178"/>
      <c r="C156" s="178"/>
      <c r="D156" s="178"/>
      <c r="E156" s="178"/>
      <c r="F156" s="178"/>
      <c r="G156" s="178"/>
      <c r="H156" s="178"/>
      <c r="I156" s="178"/>
      <c r="J156" s="178"/>
      <c r="K156" s="178"/>
      <c r="L156" s="178"/>
      <c r="M156" s="178"/>
      <c r="N156" s="178"/>
      <c r="O156" s="178"/>
      <c r="P156" s="178"/>
      <c r="Q156" s="178"/>
      <c r="R156" s="178"/>
      <c r="S156" s="178"/>
      <c r="T156" s="178"/>
      <c r="U156" s="178"/>
      <c r="V156" s="178"/>
    </row>
    <row r="157" spans="1:24">
      <c r="A157" s="165">
        <v>137</v>
      </c>
      <c r="B157" s="162" t="s">
        <v>183</v>
      </c>
      <c r="C157" s="163" t="s">
        <v>184</v>
      </c>
      <c r="D157" s="69">
        <v>2522949884.2807498</v>
      </c>
      <c r="E157" s="27">
        <f>(D157/$D$163)</f>
        <v>6.9100270456671636E-3</v>
      </c>
      <c r="F157" s="57">
        <v>118.89</v>
      </c>
      <c r="G157" s="57">
        <v>118.89</v>
      </c>
      <c r="H157" s="29">
        <v>8</v>
      </c>
      <c r="I157" s="47">
        <v>4.0000000000000001E-3</v>
      </c>
      <c r="J157" s="47">
        <v>0.12759999999999999</v>
      </c>
      <c r="K157" s="69">
        <v>2533041683.8178701</v>
      </c>
      <c r="L157" s="27">
        <f>(K157/$K$163)</f>
        <v>6.9187912762057697E-3</v>
      </c>
      <c r="M157" s="57">
        <v>119.37</v>
      </c>
      <c r="N157" s="57">
        <v>119.37</v>
      </c>
      <c r="O157" s="29">
        <v>8</v>
      </c>
      <c r="P157" s="47">
        <v>4.0000000000000001E-3</v>
      </c>
      <c r="Q157" s="47">
        <v>0.1321</v>
      </c>
      <c r="R157" s="54">
        <f t="shared" ref="R157:R163" si="110">((K157-D157)/D157)</f>
        <v>3.9999999999989471E-3</v>
      </c>
      <c r="S157" s="54">
        <f t="shared" ref="S157:T163" si="111">((N157-G157)/G157)</f>
        <v>4.0373454453697033E-3</v>
      </c>
      <c r="T157" s="54">
        <f t="shared" si="111"/>
        <v>0</v>
      </c>
      <c r="U157" s="54">
        <f t="shared" ref="U157:V163" si="112">P157-I157</f>
        <v>0</v>
      </c>
      <c r="V157" s="55">
        <f t="shared" si="112"/>
        <v>4.500000000000004E-3</v>
      </c>
    </row>
    <row r="158" spans="1:24">
      <c r="A158" s="165">
        <v>138</v>
      </c>
      <c r="B158" s="162" t="s">
        <v>312</v>
      </c>
      <c r="C158" s="163" t="s">
        <v>21</v>
      </c>
      <c r="D158" s="69">
        <v>259856202756.5</v>
      </c>
      <c r="E158" s="27">
        <v>0</v>
      </c>
      <c r="F158" s="57">
        <v>103.9425</v>
      </c>
      <c r="G158" s="57">
        <v>103.9425</v>
      </c>
      <c r="H158" s="29">
        <v>45</v>
      </c>
      <c r="I158" s="47">
        <v>0.2059</v>
      </c>
      <c r="J158" s="47">
        <v>8.0399999999999999E-2</v>
      </c>
      <c r="K158" s="69">
        <v>260623457952.26001</v>
      </c>
      <c r="L158" s="27">
        <f t="shared" ref="L158:L159" si="113">(K158/$K$163)</f>
        <v>0.7118711542625884</v>
      </c>
      <c r="M158" s="57">
        <v>104.24939999999999</v>
      </c>
      <c r="N158" s="57">
        <v>104.24939999999999</v>
      </c>
      <c r="O158" s="29">
        <v>45</v>
      </c>
      <c r="P158" s="47">
        <v>0.154</v>
      </c>
      <c r="Q158" s="47">
        <v>8.3400000000000002E-2</v>
      </c>
      <c r="R158" s="54">
        <f t="shared" ref="R158" si="114">((K158-D158)/D158)</f>
        <v>2.9526145138008171E-3</v>
      </c>
      <c r="S158" s="54">
        <f t="shared" ref="S158" si="115">((N158-G158)/G158)</f>
        <v>2.9525939822497905E-3</v>
      </c>
      <c r="T158" s="54">
        <f t="shared" ref="T158" si="116">((O158-H158)/H158)</f>
        <v>0</v>
      </c>
      <c r="U158" s="54">
        <f t="shared" ref="U158" si="117">P158-I158</f>
        <v>-5.1900000000000002E-2</v>
      </c>
      <c r="V158" s="55">
        <f t="shared" ref="V158" si="118">Q158-J158</f>
        <v>3.0000000000000027E-3</v>
      </c>
    </row>
    <row r="159" spans="1:24">
      <c r="A159" s="165">
        <v>139</v>
      </c>
      <c r="B159" s="162" t="s">
        <v>185</v>
      </c>
      <c r="C159" s="163" t="s">
        <v>45</v>
      </c>
      <c r="D159" s="26">
        <v>57062508820</v>
      </c>
      <c r="E159" s="27">
        <f>(D159/$D$163)</f>
        <v>0.1562866871421151</v>
      </c>
      <c r="F159" s="57">
        <v>102.5</v>
      </c>
      <c r="G159" s="57">
        <v>102.5</v>
      </c>
      <c r="H159" s="29">
        <v>645</v>
      </c>
      <c r="I159" s="47">
        <v>8.3900000000000002E-2</v>
      </c>
      <c r="J159" s="47">
        <v>8.3900000000000002E-2</v>
      </c>
      <c r="K159" s="26">
        <v>57062508820</v>
      </c>
      <c r="L159" s="27">
        <f t="shared" si="113"/>
        <v>0.15586146518803906</v>
      </c>
      <c r="M159" s="57">
        <v>102.5</v>
      </c>
      <c r="N159" s="57">
        <v>102.5</v>
      </c>
      <c r="O159" s="29">
        <v>645</v>
      </c>
      <c r="P159" s="47">
        <v>8.3900000000000002E-2</v>
      </c>
      <c r="Q159" s="47">
        <v>8.3900000000000002E-2</v>
      </c>
      <c r="R159" s="54">
        <f t="shared" si="110"/>
        <v>0</v>
      </c>
      <c r="S159" s="54">
        <f t="shared" si="111"/>
        <v>0</v>
      </c>
      <c r="T159" s="54">
        <f t="shared" si="111"/>
        <v>0</v>
      </c>
      <c r="U159" s="54">
        <f t="shared" si="112"/>
        <v>0</v>
      </c>
      <c r="V159" s="55">
        <f t="shared" si="112"/>
        <v>0</v>
      </c>
    </row>
    <row r="160" spans="1:24" ht="15.75" customHeight="1">
      <c r="A160" s="165">
        <v>140</v>
      </c>
      <c r="B160" s="162" t="s">
        <v>186</v>
      </c>
      <c r="C160" s="163" t="s">
        <v>140</v>
      </c>
      <c r="D160" s="26">
        <v>2578913708.12251</v>
      </c>
      <c r="E160" s="27">
        <f>(D160/$D$163)</f>
        <v>7.0633045795313616E-3</v>
      </c>
      <c r="F160" s="57">
        <v>301.55</v>
      </c>
      <c r="G160" s="57">
        <v>301.55</v>
      </c>
      <c r="H160" s="29">
        <v>3552</v>
      </c>
      <c r="I160" s="47">
        <v>0.1137</v>
      </c>
      <c r="J160" s="47">
        <v>8.2100000000000006E-2</v>
      </c>
      <c r="K160" s="26">
        <v>2583521679.5323</v>
      </c>
      <c r="L160" s="27">
        <f>(K160/$K$163)</f>
        <v>7.0566731579778403E-3</v>
      </c>
      <c r="M160" s="57">
        <v>301.55</v>
      </c>
      <c r="N160" s="57">
        <v>301.55</v>
      </c>
      <c r="O160" s="29">
        <v>3552</v>
      </c>
      <c r="P160" s="47">
        <v>0.1118</v>
      </c>
      <c r="Q160" s="47">
        <v>8.3699999999999997E-2</v>
      </c>
      <c r="R160" s="54">
        <f t="shared" si="110"/>
        <v>1.7867877452730728E-3</v>
      </c>
      <c r="S160" s="54">
        <f t="shared" si="111"/>
        <v>0</v>
      </c>
      <c r="T160" s="54">
        <f t="shared" si="111"/>
        <v>0</v>
      </c>
      <c r="U160" s="54">
        <f t="shared" si="112"/>
        <v>-1.8999999999999989E-3</v>
      </c>
      <c r="V160" s="55">
        <f t="shared" si="112"/>
        <v>1.5999999999999903E-3</v>
      </c>
    </row>
    <row r="161" spans="1:22">
      <c r="A161" s="165">
        <v>141</v>
      </c>
      <c r="B161" s="162" t="s">
        <v>187</v>
      </c>
      <c r="C161" s="163" t="s">
        <v>140</v>
      </c>
      <c r="D161" s="26">
        <v>10295224555.139999</v>
      </c>
      <c r="E161" s="27">
        <f>(D161/$D$163)</f>
        <v>2.8197262482490798E-2</v>
      </c>
      <c r="F161" s="57">
        <v>57.6</v>
      </c>
      <c r="G161" s="57">
        <v>57.6</v>
      </c>
      <c r="H161" s="29">
        <v>5482</v>
      </c>
      <c r="I161" s="47">
        <v>1.7500000000000002E-2</v>
      </c>
      <c r="J161" s="47">
        <v>0.129</v>
      </c>
      <c r="K161" s="26">
        <v>10295224555.139999</v>
      </c>
      <c r="L161" s="27">
        <f>(K161/$K$163)</f>
        <v>2.812054388750582E-2</v>
      </c>
      <c r="M161" s="57">
        <v>57.6</v>
      </c>
      <c r="N161" s="57">
        <v>57.6</v>
      </c>
      <c r="O161" s="29">
        <v>5482</v>
      </c>
      <c r="P161" s="47">
        <v>1.7500000000000002E-2</v>
      </c>
      <c r="Q161" s="47">
        <v>0.129</v>
      </c>
      <c r="R161" s="54">
        <f t="shared" si="110"/>
        <v>0</v>
      </c>
      <c r="S161" s="54">
        <f t="shared" si="111"/>
        <v>0</v>
      </c>
      <c r="T161" s="54">
        <f t="shared" si="111"/>
        <v>0</v>
      </c>
      <c r="U161" s="54">
        <f t="shared" si="112"/>
        <v>0</v>
      </c>
      <c r="V161" s="55">
        <f t="shared" si="112"/>
        <v>0</v>
      </c>
    </row>
    <row r="162" spans="1:22">
      <c r="A162" s="165">
        <v>142</v>
      </c>
      <c r="B162" s="162" t="s">
        <v>188</v>
      </c>
      <c r="C162" s="163" t="s">
        <v>47</v>
      </c>
      <c r="D162" s="26">
        <v>32798528715.919998</v>
      </c>
      <c r="E162" s="27">
        <f>(D162/$D$163)</f>
        <v>8.9830845193228703E-2</v>
      </c>
      <c r="F162" s="57">
        <v>7.35</v>
      </c>
      <c r="G162" s="57">
        <v>7.35</v>
      </c>
      <c r="H162" s="29">
        <v>209805</v>
      </c>
      <c r="I162" s="47">
        <v>-3.9199999999999999E-2</v>
      </c>
      <c r="J162" s="47">
        <v>0.47</v>
      </c>
      <c r="K162" s="26">
        <v>33012680310.98</v>
      </c>
      <c r="L162" s="27">
        <f>(K162/$K$163)</f>
        <v>9.0171372227683122E-2</v>
      </c>
      <c r="M162" s="57">
        <v>7.5</v>
      </c>
      <c r="N162" s="57">
        <v>7.5</v>
      </c>
      <c r="O162" s="29">
        <v>209805</v>
      </c>
      <c r="P162" s="47">
        <v>2.0400000000000001E-2</v>
      </c>
      <c r="Q162" s="47">
        <v>0.5</v>
      </c>
      <c r="R162" s="54">
        <f t="shared" si="110"/>
        <v>6.529304924463116E-3</v>
      </c>
      <c r="S162" s="54">
        <f t="shared" si="111"/>
        <v>2.0408163265306173E-2</v>
      </c>
      <c r="T162" s="54">
        <f t="shared" si="111"/>
        <v>0</v>
      </c>
      <c r="U162" s="54">
        <f t="shared" si="112"/>
        <v>5.96E-2</v>
      </c>
      <c r="V162" s="55">
        <f t="shared" si="112"/>
        <v>3.0000000000000027E-2</v>
      </c>
    </row>
    <row r="163" spans="1:22">
      <c r="A163" s="33"/>
      <c r="B163" s="70"/>
      <c r="C163" s="35" t="s">
        <v>51</v>
      </c>
      <c r="D163" s="36">
        <f>SUM(D157:D162)</f>
        <v>365114328439.96326</v>
      </c>
      <c r="E163" s="37">
        <f>(D163/$D$226)</f>
        <v>5.5143487485292381E-2</v>
      </c>
      <c r="F163" s="38"/>
      <c r="G163" s="71"/>
      <c r="H163" s="40">
        <f>SUM(H157:H162)</f>
        <v>219537</v>
      </c>
      <c r="I163" s="78"/>
      <c r="J163" s="78"/>
      <c r="K163" s="36">
        <f>SUM(K157:K162)</f>
        <v>366110435001.73016</v>
      </c>
      <c r="L163" s="37">
        <f>(K163/$K$226)</f>
        <v>5.4694064964661587E-2</v>
      </c>
      <c r="M163" s="38"/>
      <c r="N163" s="71"/>
      <c r="O163" s="40">
        <f>SUM(O157:O162)</f>
        <v>219537</v>
      </c>
      <c r="P163" s="78"/>
      <c r="Q163" s="78"/>
      <c r="R163" s="54">
        <f t="shared" si="110"/>
        <v>2.728204521643963E-3</v>
      </c>
      <c r="S163" s="54" t="e">
        <f t="shared" si="111"/>
        <v>#DIV/0!</v>
      </c>
      <c r="T163" s="54">
        <f t="shared" si="111"/>
        <v>0</v>
      </c>
      <c r="U163" s="54">
        <f t="shared" si="112"/>
        <v>0</v>
      </c>
      <c r="V163" s="55">
        <f t="shared" si="112"/>
        <v>0</v>
      </c>
    </row>
    <row r="164" spans="1:22" ht="5.25" customHeight="1">
      <c r="A164" s="33"/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</row>
    <row r="165" spans="1:22" ht="15" customHeight="1">
      <c r="A165" s="178" t="s">
        <v>189</v>
      </c>
      <c r="B165" s="178"/>
      <c r="C165" s="178"/>
      <c r="D165" s="178"/>
      <c r="E165" s="178"/>
      <c r="F165" s="178"/>
      <c r="G165" s="178"/>
      <c r="H165" s="178"/>
      <c r="I165" s="178"/>
      <c r="J165" s="178"/>
      <c r="K165" s="178"/>
      <c r="L165" s="178"/>
      <c r="M165" s="178"/>
      <c r="N165" s="178"/>
      <c r="O165" s="178"/>
      <c r="P165" s="178"/>
      <c r="Q165" s="178"/>
      <c r="R165" s="178"/>
      <c r="S165" s="178"/>
      <c r="T165" s="178"/>
      <c r="U165" s="178"/>
      <c r="V165" s="178"/>
    </row>
    <row r="166" spans="1:22">
      <c r="A166" s="164">
        <v>143</v>
      </c>
      <c r="B166" s="162" t="s">
        <v>190</v>
      </c>
      <c r="C166" s="163" t="s">
        <v>55</v>
      </c>
      <c r="D166" s="30">
        <v>517504465.41000003</v>
      </c>
      <c r="E166" s="27">
        <f t="shared" ref="E166:E193" si="119">(D166/$D$194)</f>
        <v>6.7960448055035955E-3</v>
      </c>
      <c r="F166" s="30">
        <v>7.4640000000000004</v>
      </c>
      <c r="G166" s="30">
        <v>7.5426000000000002</v>
      </c>
      <c r="H166" s="31">
        <v>11898</v>
      </c>
      <c r="I166" s="48">
        <v>1.5122999999999999E-2</v>
      </c>
      <c r="J166" s="48">
        <v>0.30623899999999998</v>
      </c>
      <c r="K166" s="30">
        <v>543100086.77999997</v>
      </c>
      <c r="L166" s="51">
        <f t="shared" ref="L166:L193" si="120">(K166/$K$194)</f>
        <v>6.839282376845876E-3</v>
      </c>
      <c r="M166" s="30">
        <v>7.49</v>
      </c>
      <c r="N166" s="30">
        <v>7.58</v>
      </c>
      <c r="O166" s="31">
        <v>11902</v>
      </c>
      <c r="P166" s="48">
        <v>5.1289999999999999E-3</v>
      </c>
      <c r="Q166" s="48">
        <v>0.31136799999999998</v>
      </c>
      <c r="R166" s="54">
        <f>((K166-D166)/D166)</f>
        <v>4.9459711134514486E-2</v>
      </c>
      <c r="S166" s="54">
        <f>((N166-G166)/G166)</f>
        <v>4.9585023731869484E-3</v>
      </c>
      <c r="T166" s="54">
        <f>((O166-H166)/H166)</f>
        <v>3.3619095646327115E-4</v>
      </c>
      <c r="U166" s="54">
        <f>P166-I166</f>
        <v>-9.9939999999999994E-3</v>
      </c>
      <c r="V166" s="55">
        <f>Q166-J166</f>
        <v>5.1289999999999947E-3</v>
      </c>
    </row>
    <row r="167" spans="1:22">
      <c r="A167" s="164">
        <v>144</v>
      </c>
      <c r="B167" s="162" t="s">
        <v>191</v>
      </c>
      <c r="C167" s="162" t="s">
        <v>192</v>
      </c>
      <c r="D167" s="30">
        <v>1036919839.22567</v>
      </c>
      <c r="E167" s="27">
        <f t="shared" si="119"/>
        <v>1.3617184310690329E-2</v>
      </c>
      <c r="F167" s="30">
        <v>2115.5969</v>
      </c>
      <c r="G167" s="30">
        <v>2139.7440000000001</v>
      </c>
      <c r="H167" s="31">
        <v>155</v>
      </c>
      <c r="I167" s="48">
        <v>3.7199999999999997E-2</v>
      </c>
      <c r="J167" s="48">
        <v>0.40479999999999999</v>
      </c>
      <c r="K167" s="30">
        <v>1024785362.5430599</v>
      </c>
      <c r="L167" s="51">
        <f t="shared" si="120"/>
        <v>1.290516543947727E-2</v>
      </c>
      <c r="M167" s="30">
        <v>2091.0242658158099</v>
      </c>
      <c r="N167" s="30">
        <v>2114.7474256618402</v>
      </c>
      <c r="O167" s="31">
        <v>154</v>
      </c>
      <c r="P167" s="48">
        <v>-1.17E-2</v>
      </c>
      <c r="Q167" s="48">
        <v>0.38850000000000001</v>
      </c>
      <c r="R167" s="54">
        <f>((K167-D167)/D167)</f>
        <v>-1.1702425031882478E-2</v>
      </c>
      <c r="S167" s="54">
        <f>((N167-G167)/G167)</f>
        <v>-1.1682039691738786E-2</v>
      </c>
      <c r="T167" s="54">
        <f>((O167-H167)/H167)</f>
        <v>-6.4516129032258064E-3</v>
      </c>
      <c r="U167" s="54">
        <f>P167-I167</f>
        <v>-4.8899999999999999E-2</v>
      </c>
      <c r="V167" s="55">
        <f>Q167-J167</f>
        <v>-1.6299999999999981E-2</v>
      </c>
    </row>
    <row r="168" spans="1:22">
      <c r="A168" s="164">
        <v>145</v>
      </c>
      <c r="B168" s="162" t="s">
        <v>193</v>
      </c>
      <c r="C168" s="163" t="s">
        <v>21</v>
      </c>
      <c r="D168" s="30">
        <v>8828980452.4799995</v>
      </c>
      <c r="E168" s="27">
        <f t="shared" si="119"/>
        <v>0.11594517681008212</v>
      </c>
      <c r="F168" s="30">
        <v>979.37829999999997</v>
      </c>
      <c r="G168" s="30">
        <v>1008.9073</v>
      </c>
      <c r="H168" s="31">
        <v>21770</v>
      </c>
      <c r="I168" s="48">
        <v>0.47489999999999999</v>
      </c>
      <c r="J168" s="48">
        <v>0.3322</v>
      </c>
      <c r="K168" s="30">
        <v>8904157566.0200005</v>
      </c>
      <c r="L168" s="51">
        <f t="shared" si="120"/>
        <v>0.1121304330533244</v>
      </c>
      <c r="M168" s="30">
        <v>987.59220000000005</v>
      </c>
      <c r="N168" s="30">
        <v>1017.3689000000001</v>
      </c>
      <c r="O168" s="31">
        <v>21783</v>
      </c>
      <c r="P168" s="48">
        <v>0.43730000000000002</v>
      </c>
      <c r="Q168" s="48">
        <v>0.3377</v>
      </c>
      <c r="R168" s="54">
        <f t="shared" ref="R168:R193" si="121">((K168-D168)/D168)</f>
        <v>8.5148125476803144E-3</v>
      </c>
      <c r="S168" s="54">
        <f t="shared" ref="S168:T193" si="122">((N168-G168)/G168)</f>
        <v>8.3868954065453687E-3</v>
      </c>
      <c r="T168" s="54">
        <f t="shared" si="122"/>
        <v>5.9715204409738177E-4</v>
      </c>
      <c r="U168" s="54">
        <f t="shared" ref="U168:V193" si="123">P168-I168</f>
        <v>-3.7599999999999967E-2</v>
      </c>
      <c r="V168" s="55">
        <f t="shared" si="123"/>
        <v>5.5000000000000049E-3</v>
      </c>
    </row>
    <row r="169" spans="1:22">
      <c r="A169" s="164">
        <v>146</v>
      </c>
      <c r="B169" s="162" t="s">
        <v>194</v>
      </c>
      <c r="C169" s="163" t="s">
        <v>107</v>
      </c>
      <c r="D169" s="30">
        <v>5577890832.6499996</v>
      </c>
      <c r="E169" s="27">
        <f t="shared" si="119"/>
        <v>7.3250761206213627E-2</v>
      </c>
      <c r="F169" s="30">
        <v>32.7258</v>
      </c>
      <c r="G169" s="30">
        <v>33.115900000000003</v>
      </c>
      <c r="H169" s="29">
        <v>6191</v>
      </c>
      <c r="I169" s="47">
        <v>1.61E-2</v>
      </c>
      <c r="J169" s="47">
        <v>0.53879999999999995</v>
      </c>
      <c r="K169" s="30">
        <v>5563273203.3500004</v>
      </c>
      <c r="L169" s="51">
        <f t="shared" si="120"/>
        <v>7.0058534887812385E-2</v>
      </c>
      <c r="M169" s="30">
        <v>32.787799999999997</v>
      </c>
      <c r="N169" s="30">
        <v>33.178699999999999</v>
      </c>
      <c r="O169" s="29">
        <v>6153</v>
      </c>
      <c r="P169" s="47">
        <v>3.5000000000000001E-3</v>
      </c>
      <c r="Q169" s="47">
        <v>0.54169999999999996</v>
      </c>
      <c r="R169" s="54">
        <f t="shared" si="121"/>
        <v>-2.6206373947721289E-3</v>
      </c>
      <c r="S169" s="54">
        <f t="shared" si="122"/>
        <v>1.8963700216511024E-3</v>
      </c>
      <c r="T169" s="54">
        <f t="shared" si="122"/>
        <v>-6.137942174123728E-3</v>
      </c>
      <c r="U169" s="54">
        <f t="shared" si="123"/>
        <v>-1.26E-2</v>
      </c>
      <c r="V169" s="55">
        <f t="shared" si="123"/>
        <v>2.9000000000000137E-3</v>
      </c>
    </row>
    <row r="170" spans="1:22">
      <c r="A170" s="164">
        <v>147</v>
      </c>
      <c r="B170" s="162" t="s">
        <v>195</v>
      </c>
      <c r="C170" s="163" t="s">
        <v>116</v>
      </c>
      <c r="D170" s="26">
        <v>2449814771.3499999</v>
      </c>
      <c r="E170" s="27">
        <f t="shared" si="119"/>
        <v>3.2171801528492527E-2</v>
      </c>
      <c r="F170" s="30">
        <v>5.8540000000000001</v>
      </c>
      <c r="G170" s="30">
        <v>5.9893000000000001</v>
      </c>
      <c r="H170" s="29">
        <v>2739</v>
      </c>
      <c r="I170" s="47">
        <v>0.85119999999999996</v>
      </c>
      <c r="J170" s="47">
        <v>0.40639999999999998</v>
      </c>
      <c r="K170" s="26">
        <v>2469921298.4000001</v>
      </c>
      <c r="L170" s="51">
        <f t="shared" si="120"/>
        <v>3.1103823437955456E-2</v>
      </c>
      <c r="M170" s="30">
        <v>5.9062000000000001</v>
      </c>
      <c r="N170" s="30">
        <v>6.0343</v>
      </c>
      <c r="O170" s="29">
        <v>2739</v>
      </c>
      <c r="P170" s="47">
        <v>0.39179999999999998</v>
      </c>
      <c r="Q170" s="47">
        <v>0.40899999999999997</v>
      </c>
      <c r="R170" s="54">
        <f t="shared" si="121"/>
        <v>8.2073662405587697E-3</v>
      </c>
      <c r="S170" s="54">
        <f t="shared" si="122"/>
        <v>7.5133988946955287E-3</v>
      </c>
      <c r="T170" s="54">
        <f t="shared" si="122"/>
        <v>0</v>
      </c>
      <c r="U170" s="54">
        <f t="shared" si="123"/>
        <v>-0.45939999999999998</v>
      </c>
      <c r="V170" s="55">
        <f t="shared" si="123"/>
        <v>2.5999999999999912E-3</v>
      </c>
    </row>
    <row r="171" spans="1:22">
      <c r="A171" s="164">
        <v>148</v>
      </c>
      <c r="B171" s="162" t="s">
        <v>304</v>
      </c>
      <c r="C171" s="163" t="s">
        <v>25</v>
      </c>
      <c r="D171" s="26">
        <v>930755383.10000002</v>
      </c>
      <c r="E171" s="27">
        <f t="shared" si="119"/>
        <v>1.2222996532986117E-2</v>
      </c>
      <c r="F171" s="30">
        <v>1.1214999999999999</v>
      </c>
      <c r="G171" s="30">
        <v>1.1277999999999999</v>
      </c>
      <c r="H171" s="29">
        <v>207</v>
      </c>
      <c r="I171" s="47">
        <v>1.03E-2</v>
      </c>
      <c r="J171" s="47">
        <v>0.12470000000000001</v>
      </c>
      <c r="K171" s="26">
        <v>922540344.98000002</v>
      </c>
      <c r="L171" s="51">
        <f t="shared" si="120"/>
        <v>1.1617589606290928E-2</v>
      </c>
      <c r="M171" s="30">
        <v>1.1175999999999999</v>
      </c>
      <c r="N171" s="30">
        <v>1.1246</v>
      </c>
      <c r="O171" s="29">
        <v>207</v>
      </c>
      <c r="P171" s="47">
        <v>1.6000000000000001E-3</v>
      </c>
      <c r="Q171" s="47">
        <v>0.1211</v>
      </c>
      <c r="R171" s="54">
        <f t="shared" ref="R171" si="124">((K171-D171)/D171)</f>
        <v>-8.8262053265152959E-3</v>
      </c>
      <c r="S171" s="54">
        <f t="shared" ref="S171" si="125">((N171-G171)/G171)</f>
        <v>-2.8373825146301383E-3</v>
      </c>
      <c r="T171" s="54">
        <f t="shared" ref="T171" si="126">((O171-H171)/H171)</f>
        <v>0</v>
      </c>
      <c r="U171" s="54">
        <f t="shared" ref="U171" si="127">P171-I171</f>
        <v>-8.6999999999999994E-3</v>
      </c>
      <c r="V171" s="55">
        <f t="shared" ref="V171" si="128">Q171-J171</f>
        <v>-3.600000000000006E-3</v>
      </c>
    </row>
    <row r="172" spans="1:22">
      <c r="A172" s="164">
        <v>149</v>
      </c>
      <c r="B172" s="162" t="s">
        <v>196</v>
      </c>
      <c r="C172" s="163" t="s">
        <v>63</v>
      </c>
      <c r="D172" s="30">
        <v>6108465887.2799997</v>
      </c>
      <c r="E172" s="27">
        <f t="shared" si="119"/>
        <v>8.0218453438765186E-2</v>
      </c>
      <c r="F172" s="30">
        <v>11313.45</v>
      </c>
      <c r="G172" s="30">
        <v>11402.97</v>
      </c>
      <c r="H172" s="29">
        <v>1263</v>
      </c>
      <c r="I172" s="47">
        <v>0.70040000000000002</v>
      </c>
      <c r="J172" s="47">
        <v>0.68779999999999997</v>
      </c>
      <c r="K172" s="30">
        <v>6068751239.7299995</v>
      </c>
      <c r="L172" s="51">
        <f t="shared" si="120"/>
        <v>7.6424041191803821E-2</v>
      </c>
      <c r="M172" s="30">
        <v>11227.4</v>
      </c>
      <c r="N172" s="30">
        <v>11315.12</v>
      </c>
      <c r="O172" s="29">
        <v>1267</v>
      </c>
      <c r="P172" s="47">
        <v>-0.39660000000000001</v>
      </c>
      <c r="Q172" s="47">
        <v>0.65380000000000005</v>
      </c>
      <c r="R172" s="54">
        <f t="shared" si="121"/>
        <v>-6.5015747460749878E-3</v>
      </c>
      <c r="S172" s="54">
        <f t="shared" si="122"/>
        <v>-7.7041332214325348E-3</v>
      </c>
      <c r="T172" s="54">
        <f t="shared" si="122"/>
        <v>3.1670625494853522E-3</v>
      </c>
      <c r="U172" s="54">
        <f t="shared" si="123"/>
        <v>-1.097</v>
      </c>
      <c r="V172" s="55">
        <f t="shared" si="123"/>
        <v>-3.3999999999999919E-2</v>
      </c>
    </row>
    <row r="173" spans="1:22">
      <c r="A173" s="164">
        <v>150</v>
      </c>
      <c r="B173" s="162" t="s">
        <v>197</v>
      </c>
      <c r="C173" s="163" t="s">
        <v>65</v>
      </c>
      <c r="D173" s="30">
        <v>1142966154.28</v>
      </c>
      <c r="E173" s="27">
        <f t="shared" si="119"/>
        <v>1.5009820619628834E-2</v>
      </c>
      <c r="F173" s="30">
        <v>228.23</v>
      </c>
      <c r="G173" s="30">
        <v>229.85</v>
      </c>
      <c r="H173" s="29">
        <v>505</v>
      </c>
      <c r="I173" s="47">
        <v>1.2E-2</v>
      </c>
      <c r="J173" s="47">
        <v>0.2394</v>
      </c>
      <c r="K173" s="30">
        <v>1133653270.0699999</v>
      </c>
      <c r="L173" s="51">
        <f t="shared" si="120"/>
        <v>1.4276143606259818E-2</v>
      </c>
      <c r="M173" s="30">
        <v>226.07</v>
      </c>
      <c r="N173" s="30">
        <v>227.65</v>
      </c>
      <c r="O173" s="29">
        <v>506</v>
      </c>
      <c r="P173" s="47">
        <v>-9.4999999999999998E-3</v>
      </c>
      <c r="Q173" s="47">
        <v>0.22869999999999999</v>
      </c>
      <c r="R173" s="54">
        <f t="shared" si="121"/>
        <v>-8.1479964871458473E-3</v>
      </c>
      <c r="S173" s="54">
        <f t="shared" si="122"/>
        <v>-9.5714596475962085E-3</v>
      </c>
      <c r="T173" s="54">
        <f t="shared" si="122"/>
        <v>1.9801980198019802E-3</v>
      </c>
      <c r="U173" s="54">
        <f t="shared" si="123"/>
        <v>-2.1499999999999998E-2</v>
      </c>
      <c r="V173" s="55">
        <f t="shared" si="123"/>
        <v>-1.0700000000000015E-2</v>
      </c>
    </row>
    <row r="174" spans="1:22">
      <c r="A174" s="164">
        <v>151</v>
      </c>
      <c r="B174" s="162" t="s">
        <v>198</v>
      </c>
      <c r="C174" s="163" t="s">
        <v>121</v>
      </c>
      <c r="D174" s="30">
        <v>708220978.17999995</v>
      </c>
      <c r="E174" s="27">
        <f t="shared" si="119"/>
        <v>9.3005989737607736E-3</v>
      </c>
      <c r="F174" s="30">
        <v>1.9877</v>
      </c>
      <c r="G174" s="30">
        <v>2.0068000000000001</v>
      </c>
      <c r="H174" s="29">
        <v>1711</v>
      </c>
      <c r="I174" s="47">
        <v>1.38E-2</v>
      </c>
      <c r="J174" s="47">
        <v>0.35780000000000001</v>
      </c>
      <c r="K174" s="30">
        <v>746296030.16999996</v>
      </c>
      <c r="L174" s="51">
        <f t="shared" si="120"/>
        <v>9.3981374912195693E-3</v>
      </c>
      <c r="M174" s="30">
        <v>2.0009999999999999</v>
      </c>
      <c r="N174" s="30">
        <v>2.0202</v>
      </c>
      <c r="O174" s="29">
        <v>1823</v>
      </c>
      <c r="P174" s="47">
        <v>6.6911505760425304E-3</v>
      </c>
      <c r="Q174" s="47">
        <v>0.3669</v>
      </c>
      <c r="R174" s="54">
        <f t="shared" si="121"/>
        <v>5.3761542178326911E-2</v>
      </c>
      <c r="S174" s="54">
        <f t="shared" si="122"/>
        <v>6.6772971895554395E-3</v>
      </c>
      <c r="T174" s="54">
        <f t="shared" si="122"/>
        <v>6.5458796025715957E-2</v>
      </c>
      <c r="U174" s="54">
        <f t="shared" si="123"/>
        <v>-7.1088494239574694E-3</v>
      </c>
      <c r="V174" s="55">
        <f t="shared" si="123"/>
        <v>9.099999999999997E-3</v>
      </c>
    </row>
    <row r="175" spans="1:22">
      <c r="A175" s="164">
        <v>152</v>
      </c>
      <c r="B175" s="162" t="s">
        <v>199</v>
      </c>
      <c r="C175" s="163" t="s">
        <v>27</v>
      </c>
      <c r="D175" s="41">
        <v>162311163.52000001</v>
      </c>
      <c r="E175" s="27">
        <f t="shared" si="119"/>
        <v>2.1315254523290254E-3</v>
      </c>
      <c r="F175" s="30">
        <v>193.8501</v>
      </c>
      <c r="G175" s="30">
        <v>194.91909999999999</v>
      </c>
      <c r="H175" s="29">
        <v>140</v>
      </c>
      <c r="I175" s="47">
        <v>2.2799999999999999E-3</v>
      </c>
      <c r="J175" s="47">
        <v>0.2228</v>
      </c>
      <c r="K175" s="41">
        <v>163144638.37</v>
      </c>
      <c r="L175" s="51">
        <f t="shared" si="120"/>
        <v>2.0544873352834167E-3</v>
      </c>
      <c r="M175" s="30">
        <v>194.8741</v>
      </c>
      <c r="N175" s="30">
        <v>195.95050000000001</v>
      </c>
      <c r="O175" s="29">
        <v>145</v>
      </c>
      <c r="P175" s="47">
        <v>4.28E-3</v>
      </c>
      <c r="Q175" s="47">
        <v>0.23280000000000001</v>
      </c>
      <c r="R175" s="54">
        <f t="shared" si="121"/>
        <v>5.1350432830659437E-3</v>
      </c>
      <c r="S175" s="54">
        <f t="shared" si="122"/>
        <v>5.2914260326464638E-3</v>
      </c>
      <c r="T175" s="54">
        <f t="shared" si="122"/>
        <v>3.5714285714285712E-2</v>
      </c>
      <c r="U175" s="54">
        <f t="shared" si="123"/>
        <v>2E-3</v>
      </c>
      <c r="V175" s="55">
        <f t="shared" si="123"/>
        <v>1.0000000000000009E-2</v>
      </c>
    </row>
    <row r="176" spans="1:22">
      <c r="A176" s="164">
        <v>153</v>
      </c>
      <c r="B176" s="162" t="s">
        <v>200</v>
      </c>
      <c r="C176" s="163" t="s">
        <v>68</v>
      </c>
      <c r="D176" s="41">
        <v>329090818.69999999</v>
      </c>
      <c r="E176" s="27">
        <f t="shared" si="119"/>
        <v>4.3217326582740689E-3</v>
      </c>
      <c r="F176" s="30">
        <v>157.65</v>
      </c>
      <c r="G176" s="30">
        <v>158.54</v>
      </c>
      <c r="H176" s="29">
        <v>52</v>
      </c>
      <c r="I176" s="47">
        <v>1.4800000000000001E-2</v>
      </c>
      <c r="J176" s="47">
        <v>0.3765</v>
      </c>
      <c r="K176" s="41">
        <v>334135472.72000003</v>
      </c>
      <c r="L176" s="51">
        <f t="shared" si="120"/>
        <v>4.2077821485944165E-3</v>
      </c>
      <c r="M176" s="30">
        <v>159.99</v>
      </c>
      <c r="N176" s="30">
        <v>160.97</v>
      </c>
      <c r="O176" s="29">
        <v>52</v>
      </c>
      <c r="P176" s="47">
        <v>2.01E-2</v>
      </c>
      <c r="Q176" s="47">
        <v>0.39660000000000001</v>
      </c>
      <c r="R176" s="54">
        <f t="shared" si="121"/>
        <v>1.5329063387206679E-2</v>
      </c>
      <c r="S176" s="54">
        <f t="shared" si="122"/>
        <v>1.5327362179891554E-2</v>
      </c>
      <c r="T176" s="54">
        <f t="shared" si="122"/>
        <v>0</v>
      </c>
      <c r="U176" s="54">
        <f t="shared" si="123"/>
        <v>5.2999999999999992E-3</v>
      </c>
      <c r="V176" s="55">
        <f t="shared" si="123"/>
        <v>2.0100000000000007E-2</v>
      </c>
    </row>
    <row r="177" spans="1:22" ht="15.75" customHeight="1">
      <c r="A177" s="164">
        <v>154</v>
      </c>
      <c r="B177" s="162" t="s">
        <v>201</v>
      </c>
      <c r="C177" s="163" t="s">
        <v>71</v>
      </c>
      <c r="D177" s="26">
        <v>464580758.38999999</v>
      </c>
      <c r="E177" s="27">
        <f t="shared" si="119"/>
        <v>6.1010326689487724E-3</v>
      </c>
      <c r="F177" s="30">
        <v>1.68</v>
      </c>
      <c r="G177" s="30">
        <v>1.7020999999999999</v>
      </c>
      <c r="H177" s="29">
        <v>106</v>
      </c>
      <c r="I177" s="47">
        <v>3.6999999999999998E-2</v>
      </c>
      <c r="J177" s="47">
        <v>0.68700000000000006</v>
      </c>
      <c r="K177" s="26">
        <v>467649817.25999999</v>
      </c>
      <c r="L177" s="51">
        <f t="shared" si="120"/>
        <v>5.8891339397209898E-3</v>
      </c>
      <c r="M177" s="30">
        <v>1.69</v>
      </c>
      <c r="N177" s="30">
        <v>1.7130000000000001</v>
      </c>
      <c r="O177" s="29">
        <v>106</v>
      </c>
      <c r="P177" s="47">
        <v>3.6999999999999998E-2</v>
      </c>
      <c r="Q177" s="47">
        <v>0.32229999999999998</v>
      </c>
      <c r="R177" s="54">
        <f t="shared" si="121"/>
        <v>6.6060826122799361E-3</v>
      </c>
      <c r="S177" s="54">
        <f t="shared" si="122"/>
        <v>6.4038540626285955E-3</v>
      </c>
      <c r="T177" s="54">
        <f t="shared" si="122"/>
        <v>0</v>
      </c>
      <c r="U177" s="54">
        <f t="shared" si="123"/>
        <v>0</v>
      </c>
      <c r="V177" s="55">
        <f t="shared" si="123"/>
        <v>-0.36470000000000008</v>
      </c>
    </row>
    <row r="178" spans="1:22">
      <c r="A178" s="164">
        <v>155</v>
      </c>
      <c r="B178" s="162" t="s">
        <v>202</v>
      </c>
      <c r="C178" s="163" t="s">
        <v>29</v>
      </c>
      <c r="D178" s="30">
        <v>13480560211.5</v>
      </c>
      <c r="E178" s="27">
        <f t="shared" si="119"/>
        <v>0.17703130566817465</v>
      </c>
      <c r="F178" s="30">
        <v>448.05</v>
      </c>
      <c r="G178" s="30">
        <v>452.3</v>
      </c>
      <c r="H178" s="29">
        <v>5519</v>
      </c>
      <c r="I178" s="47">
        <v>8.9999999999999993E-3</v>
      </c>
      <c r="J178" s="47">
        <v>0.38240000000000002</v>
      </c>
      <c r="K178" s="30">
        <v>13572873862.91</v>
      </c>
      <c r="L178" s="51">
        <f t="shared" si="120"/>
        <v>0.17092377496038885</v>
      </c>
      <c r="M178" s="30">
        <v>450.59</v>
      </c>
      <c r="N178" s="30">
        <v>455.01</v>
      </c>
      <c r="O178" s="29">
        <v>5526</v>
      </c>
      <c r="P178" s="47">
        <v>5.7999999999999996E-3</v>
      </c>
      <c r="Q178" s="47">
        <v>0.39019999999999999</v>
      </c>
      <c r="R178" s="54">
        <f t="shared" si="121"/>
        <v>6.8479091344622973E-3</v>
      </c>
      <c r="S178" s="54">
        <f t="shared" si="122"/>
        <v>5.9915984965730256E-3</v>
      </c>
      <c r="T178" s="54">
        <f t="shared" si="122"/>
        <v>1.2683457148034065E-3</v>
      </c>
      <c r="U178" s="54">
        <f t="shared" si="123"/>
        <v>-3.1999999999999997E-3</v>
      </c>
      <c r="V178" s="55">
        <f t="shared" si="123"/>
        <v>7.7999999999999736E-3</v>
      </c>
    </row>
    <row r="179" spans="1:22">
      <c r="A179" s="164">
        <v>156</v>
      </c>
      <c r="B179" s="162" t="s">
        <v>203</v>
      </c>
      <c r="C179" s="163" t="s">
        <v>76</v>
      </c>
      <c r="D179" s="30">
        <v>4227069683.0300002</v>
      </c>
      <c r="E179" s="27">
        <f t="shared" si="119"/>
        <v>5.5511318031039827E-2</v>
      </c>
      <c r="F179" s="30">
        <v>2.9575</v>
      </c>
      <c r="G179" s="30">
        <v>3.0162</v>
      </c>
      <c r="H179" s="29">
        <v>10206</v>
      </c>
      <c r="I179" s="47">
        <v>1.26E-2</v>
      </c>
      <c r="J179" s="47">
        <v>0.27710000000000001</v>
      </c>
      <c r="K179" s="30">
        <v>4205063379.5799999</v>
      </c>
      <c r="L179" s="51">
        <f t="shared" si="120"/>
        <v>5.2954541097562841E-2</v>
      </c>
      <c r="M179" s="30">
        <v>2.9420999999999999</v>
      </c>
      <c r="N179" s="30">
        <v>3</v>
      </c>
      <c r="O179" s="29">
        <v>10206</v>
      </c>
      <c r="P179" s="47">
        <v>-5.3E-3</v>
      </c>
      <c r="Q179" s="47">
        <v>0.27039999999999997</v>
      </c>
      <c r="R179" s="54">
        <f t="shared" si="121"/>
        <v>-5.2060422704519925E-3</v>
      </c>
      <c r="S179" s="54">
        <f t="shared" si="122"/>
        <v>-5.3709966182613859E-3</v>
      </c>
      <c r="T179" s="54">
        <f t="shared" si="122"/>
        <v>0</v>
      </c>
      <c r="U179" s="54">
        <f t="shared" si="123"/>
        <v>-1.7899999999999999E-2</v>
      </c>
      <c r="V179" s="55">
        <f t="shared" si="123"/>
        <v>-6.7000000000000393E-3</v>
      </c>
    </row>
    <row r="180" spans="1:22">
      <c r="A180" s="164">
        <v>157</v>
      </c>
      <c r="B180" s="162" t="s">
        <v>204</v>
      </c>
      <c r="C180" s="163" t="s">
        <v>78</v>
      </c>
      <c r="D180" s="30">
        <v>303635613.74000001</v>
      </c>
      <c r="E180" s="27">
        <f t="shared" si="119"/>
        <v>3.9874462414324682E-3</v>
      </c>
      <c r="F180" s="30">
        <v>341.39</v>
      </c>
      <c r="G180" s="30">
        <v>343.78</v>
      </c>
      <c r="H180" s="29">
        <v>32</v>
      </c>
      <c r="I180" s="47">
        <v>-4.5999999999999999E-3</v>
      </c>
      <c r="J180" s="47">
        <v>0.18410000000000001</v>
      </c>
      <c r="K180" s="30">
        <v>301768568.55000001</v>
      </c>
      <c r="L180" s="51">
        <f t="shared" si="120"/>
        <v>3.8001843546124538E-3</v>
      </c>
      <c r="M180" s="30">
        <v>343.99</v>
      </c>
      <c r="N180" s="30">
        <v>346.42</v>
      </c>
      <c r="O180" s="29">
        <v>32</v>
      </c>
      <c r="P180" s="47">
        <v>7.3000000000000001E-3</v>
      </c>
      <c r="Q180" s="47">
        <v>0.19209999999999999</v>
      </c>
      <c r="R180" s="54">
        <f t="shared" si="121"/>
        <v>-6.1489664107673772E-3</v>
      </c>
      <c r="S180" s="54">
        <f t="shared" si="122"/>
        <v>7.6793298039445094E-3</v>
      </c>
      <c r="T180" s="54">
        <f t="shared" si="122"/>
        <v>0</v>
      </c>
      <c r="U180" s="54">
        <f t="shared" si="123"/>
        <v>1.1900000000000001E-2</v>
      </c>
      <c r="V180" s="55">
        <f t="shared" si="123"/>
        <v>7.9999999999999793E-3</v>
      </c>
    </row>
    <row r="181" spans="1:22">
      <c r="A181" s="164">
        <v>158</v>
      </c>
      <c r="B181" s="162" t="s">
        <v>205</v>
      </c>
      <c r="C181" s="162" t="s">
        <v>80</v>
      </c>
      <c r="D181" s="128">
        <v>69704585.998723701</v>
      </c>
      <c r="E181" s="27">
        <f t="shared" si="119"/>
        <v>9.153843517487279E-4</v>
      </c>
      <c r="F181" s="30">
        <v>1.3460000000000001</v>
      </c>
      <c r="G181" s="30">
        <v>1.371</v>
      </c>
      <c r="H181" s="29">
        <v>31</v>
      </c>
      <c r="I181" s="47">
        <v>3.2099999999999997E-2</v>
      </c>
      <c r="J181" s="47">
        <v>0.14080000000000001</v>
      </c>
      <c r="K181" s="128">
        <v>68415409.371932507</v>
      </c>
      <c r="L181" s="51">
        <f t="shared" si="120"/>
        <v>8.6155814556460758E-4</v>
      </c>
      <c r="M181" s="30">
        <v>1.323</v>
      </c>
      <c r="N181" s="30">
        <v>1.3480000000000001</v>
      </c>
      <c r="O181" s="29">
        <v>31</v>
      </c>
      <c r="P181" s="47">
        <v>-1.8499999999999999E-2</v>
      </c>
      <c r="Q181" s="47">
        <v>0.1197</v>
      </c>
      <c r="R181" s="54">
        <f t="shared" si="121"/>
        <v>-1.8494860966749002E-2</v>
      </c>
      <c r="S181" s="54">
        <f t="shared" si="122"/>
        <v>-1.6776075857038591E-2</v>
      </c>
      <c r="T181" s="54">
        <f t="shared" si="122"/>
        <v>0</v>
      </c>
      <c r="U181" s="54">
        <f t="shared" si="123"/>
        <v>-5.0599999999999992E-2</v>
      </c>
      <c r="V181" s="55">
        <f t="shared" si="123"/>
        <v>-2.1100000000000008E-2</v>
      </c>
    </row>
    <row r="182" spans="1:22" ht="13.5" customHeight="1">
      <c r="A182" s="164">
        <v>159</v>
      </c>
      <c r="B182" s="162" t="s">
        <v>206</v>
      </c>
      <c r="C182" s="163" t="s">
        <v>35</v>
      </c>
      <c r="D182" s="26">
        <v>4562274126.6999998</v>
      </c>
      <c r="E182" s="27">
        <f t="shared" si="119"/>
        <v>5.9913336893583163E-2</v>
      </c>
      <c r="F182" s="30">
        <v>5.8956999999999997</v>
      </c>
      <c r="G182" s="30">
        <v>6.0382999999999996</v>
      </c>
      <c r="H182" s="29">
        <v>2730</v>
      </c>
      <c r="I182" s="47">
        <v>1.6799999999999999E-2</v>
      </c>
      <c r="J182" s="47">
        <v>0.39069999999999999</v>
      </c>
      <c r="K182" s="26">
        <v>4674318600.6000004</v>
      </c>
      <c r="L182" s="51">
        <f t="shared" si="120"/>
        <v>5.8863891954774296E-2</v>
      </c>
      <c r="M182" s="30">
        <v>5.9669319999999999</v>
      </c>
      <c r="N182" s="30">
        <v>6.1106819999999997</v>
      </c>
      <c r="O182" s="29">
        <v>2788</v>
      </c>
      <c r="P182" s="47">
        <v>1.21E-2</v>
      </c>
      <c r="Q182" s="47">
        <v>0.40749999999999997</v>
      </c>
      <c r="R182" s="54">
        <f t="shared" si="121"/>
        <v>2.4558908734632519E-2</v>
      </c>
      <c r="S182" s="54">
        <f t="shared" si="122"/>
        <v>1.1987148700793298E-2</v>
      </c>
      <c r="T182" s="54">
        <f t="shared" si="122"/>
        <v>2.1245421245421246E-2</v>
      </c>
      <c r="U182" s="54">
        <f t="shared" si="123"/>
        <v>-4.6999999999999993E-3</v>
      </c>
      <c r="V182" s="55">
        <f t="shared" si="123"/>
        <v>1.6799999999999982E-2</v>
      </c>
    </row>
    <row r="183" spans="1:22" ht="13.5" customHeight="1">
      <c r="A183" s="164">
        <v>160</v>
      </c>
      <c r="B183" s="162" t="s">
        <v>207</v>
      </c>
      <c r="C183" s="163" t="s">
        <v>208</v>
      </c>
      <c r="D183" s="26">
        <v>96839931.560000002</v>
      </c>
      <c r="E183" s="27">
        <f t="shared" si="119"/>
        <v>1.2717349469095892E-3</v>
      </c>
      <c r="F183" s="30">
        <v>2.61</v>
      </c>
      <c r="G183" s="30">
        <v>2.62</v>
      </c>
      <c r="H183" s="29">
        <v>102</v>
      </c>
      <c r="I183" s="47">
        <v>2E-3</v>
      </c>
      <c r="J183" s="47">
        <v>0.24</v>
      </c>
      <c r="K183" s="26">
        <v>97071402.629999995</v>
      </c>
      <c r="L183" s="51">
        <f t="shared" si="120"/>
        <v>1.2224242813866513E-3</v>
      </c>
      <c r="M183" s="30">
        <v>2.6</v>
      </c>
      <c r="N183" s="30">
        <v>2.61</v>
      </c>
      <c r="O183" s="29">
        <v>108</v>
      </c>
      <c r="P183" s="47">
        <v>-4.1000000000000003E-3</v>
      </c>
      <c r="Q183" s="47">
        <v>0.23599999999999999</v>
      </c>
      <c r="R183" s="54">
        <f t="shared" si="121"/>
        <v>2.3902440477932205E-3</v>
      </c>
      <c r="S183" s="54">
        <f t="shared" si="122"/>
        <v>-3.8167938931298589E-3</v>
      </c>
      <c r="T183" s="54">
        <f t="shared" si="122"/>
        <v>5.8823529411764705E-2</v>
      </c>
      <c r="U183" s="54">
        <f>P183-I183</f>
        <v>-6.1000000000000004E-3</v>
      </c>
      <c r="V183" s="55">
        <f>Q183-J183</f>
        <v>-4.0000000000000036E-3</v>
      </c>
    </row>
    <row r="184" spans="1:22">
      <c r="A184" s="164">
        <v>161</v>
      </c>
      <c r="B184" s="162" t="s">
        <v>209</v>
      </c>
      <c r="C184" s="163" t="s">
        <v>130</v>
      </c>
      <c r="D184" s="26">
        <v>768572025.60000002</v>
      </c>
      <c r="E184" s="27">
        <f t="shared" si="119"/>
        <v>1.0093149472818684E-2</v>
      </c>
      <c r="F184" s="30">
        <v>340.22</v>
      </c>
      <c r="G184" s="30">
        <v>344.35</v>
      </c>
      <c r="H184" s="29">
        <v>158</v>
      </c>
      <c r="I184" s="47">
        <v>1.37E-2</v>
      </c>
      <c r="J184" s="47">
        <v>0.4345</v>
      </c>
      <c r="K184" s="26">
        <v>768576089.60000002</v>
      </c>
      <c r="L184" s="51">
        <f t="shared" si="120"/>
        <v>9.6787112225148915E-3</v>
      </c>
      <c r="M184" s="30">
        <v>341.53</v>
      </c>
      <c r="N184" s="30">
        <v>345.58</v>
      </c>
      <c r="O184" s="29">
        <v>158</v>
      </c>
      <c r="P184" s="47">
        <v>1.37E-2</v>
      </c>
      <c r="Q184" s="47">
        <v>0.4345</v>
      </c>
      <c r="R184" s="54">
        <f t="shared" si="121"/>
        <v>5.2877282344844164E-6</v>
      </c>
      <c r="S184" s="54">
        <f t="shared" si="122"/>
        <v>3.5719471467982032E-3</v>
      </c>
      <c r="T184" s="54">
        <f t="shared" si="122"/>
        <v>0</v>
      </c>
      <c r="U184" s="54">
        <f t="shared" si="123"/>
        <v>0</v>
      </c>
      <c r="V184" s="55">
        <f t="shared" si="123"/>
        <v>0</v>
      </c>
    </row>
    <row r="185" spans="1:22">
      <c r="A185" s="164">
        <v>162</v>
      </c>
      <c r="B185" s="162" t="s">
        <v>210</v>
      </c>
      <c r="C185" s="163" t="s">
        <v>31</v>
      </c>
      <c r="D185" s="26">
        <v>2048735821</v>
      </c>
      <c r="E185" s="27">
        <f t="shared" si="119"/>
        <v>2.6904696219626371E-2</v>
      </c>
      <c r="F185" s="30">
        <v>552.22</v>
      </c>
      <c r="G185" s="30">
        <v>552.22</v>
      </c>
      <c r="H185" s="29">
        <v>823</v>
      </c>
      <c r="I185" s="47">
        <v>4.4999999999999999E-4</v>
      </c>
      <c r="J185" s="47">
        <v>-6.3E-2</v>
      </c>
      <c r="K185" s="26">
        <v>2072855213.01</v>
      </c>
      <c r="L185" s="51">
        <f t="shared" si="120"/>
        <v>2.6103553420780762E-2</v>
      </c>
      <c r="M185" s="30">
        <v>552.22</v>
      </c>
      <c r="N185" s="30">
        <v>552.22</v>
      </c>
      <c r="O185" s="29">
        <v>823</v>
      </c>
      <c r="P185" s="47">
        <v>1.1769999999999999E-2</v>
      </c>
      <c r="Q185" s="47">
        <v>-5.1889999999999999E-2</v>
      </c>
      <c r="R185" s="54">
        <f t="shared" si="121"/>
        <v>1.1772817052726287E-2</v>
      </c>
      <c r="S185" s="54">
        <f t="shared" si="122"/>
        <v>0</v>
      </c>
      <c r="T185" s="54">
        <f t="shared" si="122"/>
        <v>0</v>
      </c>
      <c r="U185" s="54">
        <f t="shared" si="123"/>
        <v>1.1319999999999998E-2</v>
      </c>
      <c r="V185" s="55">
        <f t="shared" si="123"/>
        <v>1.1110000000000002E-2</v>
      </c>
    </row>
    <row r="186" spans="1:22">
      <c r="A186" s="164">
        <v>163</v>
      </c>
      <c r="B186" s="162" t="s">
        <v>211</v>
      </c>
      <c r="C186" s="163" t="s">
        <v>87</v>
      </c>
      <c r="D186" s="30">
        <v>47157177.259999998</v>
      </c>
      <c r="E186" s="27">
        <f t="shared" si="119"/>
        <v>6.1928410473932583E-4</v>
      </c>
      <c r="F186" s="30">
        <v>2.5499999999999998</v>
      </c>
      <c r="G186" s="30">
        <v>2.5499999999999998</v>
      </c>
      <c r="H186" s="29">
        <v>9</v>
      </c>
      <c r="I186" s="47">
        <v>1.8985999999999999E-2</v>
      </c>
      <c r="J186" s="47">
        <v>0.36141699999999999</v>
      </c>
      <c r="K186" s="30">
        <v>47353231.43</v>
      </c>
      <c r="L186" s="51">
        <f t="shared" si="120"/>
        <v>5.9632124738933051E-4</v>
      </c>
      <c r="M186" s="30">
        <v>2.5299999999999998</v>
      </c>
      <c r="N186" s="30">
        <v>2.5299999999999998</v>
      </c>
      <c r="O186" s="29">
        <v>9</v>
      </c>
      <c r="P186" s="47">
        <v>-5.9199999999999999E-3</v>
      </c>
      <c r="Q186" s="47">
        <v>0.35335800000000001</v>
      </c>
      <c r="R186" s="54">
        <f t="shared" si="121"/>
        <v>4.1574619472887807E-3</v>
      </c>
      <c r="S186" s="54">
        <f t="shared" si="122"/>
        <v>-7.8431372549019676E-3</v>
      </c>
      <c r="T186" s="54">
        <f t="shared" si="122"/>
        <v>0</v>
      </c>
      <c r="U186" s="54">
        <f t="shared" si="123"/>
        <v>-2.4905999999999998E-2</v>
      </c>
      <c r="V186" s="55">
        <f t="shared" si="123"/>
        <v>-8.0589999999999828E-3</v>
      </c>
    </row>
    <row r="187" spans="1:22">
      <c r="A187" s="164">
        <v>164</v>
      </c>
      <c r="B187" s="162" t="s">
        <v>212</v>
      </c>
      <c r="C187" s="163" t="s">
        <v>43</v>
      </c>
      <c r="D187" s="30">
        <v>367124935.07999998</v>
      </c>
      <c r="E187" s="27">
        <f t="shared" si="119"/>
        <v>4.8212096219200397E-3</v>
      </c>
      <c r="F187" s="30">
        <v>6.49</v>
      </c>
      <c r="G187" s="30">
        <v>6.49</v>
      </c>
      <c r="H187" s="29">
        <v>125</v>
      </c>
      <c r="I187" s="47">
        <v>8.0000000000000004E-4</v>
      </c>
      <c r="J187" s="47">
        <v>0.38650000000000001</v>
      </c>
      <c r="K187" s="30">
        <v>647206100.44000006</v>
      </c>
      <c r="L187" s="51">
        <f t="shared" si="120"/>
        <v>8.1502938126384421E-3</v>
      </c>
      <c r="M187" s="30">
        <v>6.49</v>
      </c>
      <c r="N187" s="30">
        <v>6.49</v>
      </c>
      <c r="O187" s="29">
        <v>125</v>
      </c>
      <c r="P187" s="47">
        <v>8.0000000000000004E-4</v>
      </c>
      <c r="Q187" s="47">
        <v>0.38650000000000001</v>
      </c>
      <c r="R187" s="54">
        <f t="shared" si="121"/>
        <v>0.76290422849912864</v>
      </c>
      <c r="S187" s="54">
        <f t="shared" si="122"/>
        <v>0</v>
      </c>
      <c r="T187" s="54">
        <f t="shared" si="122"/>
        <v>0</v>
      </c>
      <c r="U187" s="54">
        <f t="shared" si="123"/>
        <v>0</v>
      </c>
      <c r="V187" s="55">
        <f t="shared" si="123"/>
        <v>0</v>
      </c>
    </row>
    <row r="188" spans="1:22">
      <c r="A188" s="164">
        <v>165</v>
      </c>
      <c r="B188" s="162" t="s">
        <v>213</v>
      </c>
      <c r="C188" s="163" t="s">
        <v>47</v>
      </c>
      <c r="D188" s="26">
        <v>3885767355.98</v>
      </c>
      <c r="E188" s="27">
        <f t="shared" si="119"/>
        <v>5.1029219688145763E-2</v>
      </c>
      <c r="F188" s="30">
        <v>9116.74</v>
      </c>
      <c r="G188" s="30">
        <v>9204.76</v>
      </c>
      <c r="H188" s="29">
        <v>2859</v>
      </c>
      <c r="I188" s="47">
        <v>2.3E-2</v>
      </c>
      <c r="J188" s="47">
        <v>0.43009999999999998</v>
      </c>
      <c r="K188" s="26">
        <v>3878756213.1900001</v>
      </c>
      <c r="L188" s="27">
        <f t="shared" si="120"/>
        <v>4.8845341141876469E-2</v>
      </c>
      <c r="M188" s="30">
        <v>12044.6</v>
      </c>
      <c r="N188" s="30">
        <v>12210.98</v>
      </c>
      <c r="O188" s="29">
        <v>2907</v>
      </c>
      <c r="P188" s="47">
        <v>-3.8E-3</v>
      </c>
      <c r="Q188" s="47">
        <v>0.42459999999999998</v>
      </c>
      <c r="R188" s="54">
        <f t="shared" si="121"/>
        <v>-1.8043135750806507E-3</v>
      </c>
      <c r="S188" s="54">
        <f t="shared" si="122"/>
        <v>0.32659406654817719</v>
      </c>
      <c r="T188" s="54">
        <f t="shared" si="122"/>
        <v>1.6789087093389297E-2</v>
      </c>
      <c r="U188" s="54">
        <f t="shared" si="123"/>
        <v>-2.6800000000000001E-2</v>
      </c>
      <c r="V188" s="55">
        <f t="shared" si="123"/>
        <v>-5.5000000000000049E-3</v>
      </c>
    </row>
    <row r="189" spans="1:22">
      <c r="A189" s="164">
        <v>166</v>
      </c>
      <c r="B189" s="162" t="s">
        <v>214</v>
      </c>
      <c r="C189" s="162" t="s">
        <v>97</v>
      </c>
      <c r="D189" s="26">
        <v>139736851.59</v>
      </c>
      <c r="E189" s="27">
        <f t="shared" si="119"/>
        <v>1.8350719034535613E-3</v>
      </c>
      <c r="F189" s="30">
        <v>1372.91</v>
      </c>
      <c r="G189" s="30">
        <v>1393.07</v>
      </c>
      <c r="H189" s="29">
        <v>28</v>
      </c>
      <c r="I189" s="47">
        <v>4.3200000000000002E-2</v>
      </c>
      <c r="J189" s="47">
        <v>0.23980000000000001</v>
      </c>
      <c r="K189" s="26">
        <v>140579373.43000001</v>
      </c>
      <c r="L189" s="27">
        <f t="shared" si="120"/>
        <v>1.7703219989307522E-3</v>
      </c>
      <c r="M189" s="30">
        <v>1371.6</v>
      </c>
      <c r="N189" s="30">
        <v>1391.51</v>
      </c>
      <c r="O189" s="29">
        <v>28</v>
      </c>
      <c r="P189" s="47">
        <v>4.3200000000000002E-2</v>
      </c>
      <c r="Q189" s="47">
        <v>0.23769999999999999</v>
      </c>
      <c r="R189" s="54">
        <f t="shared" si="121"/>
        <v>6.0293460916955206E-3</v>
      </c>
      <c r="S189" s="54">
        <f t="shared" si="122"/>
        <v>-1.1198288671782075E-3</v>
      </c>
      <c r="T189" s="54">
        <f t="shared" si="122"/>
        <v>0</v>
      </c>
      <c r="U189" s="54">
        <f t="shared" si="123"/>
        <v>0</v>
      </c>
      <c r="V189" s="55">
        <f t="shared" si="123"/>
        <v>-2.1000000000000185E-3</v>
      </c>
    </row>
    <row r="190" spans="1:22">
      <c r="A190" s="164">
        <v>167</v>
      </c>
      <c r="B190" s="162" t="s">
        <v>215</v>
      </c>
      <c r="C190" s="162" t="s">
        <v>80</v>
      </c>
      <c r="D190" s="26">
        <v>757957978.07266402</v>
      </c>
      <c r="E190" s="27">
        <f t="shared" si="119"/>
        <v>9.9537621875198587E-3</v>
      </c>
      <c r="F190" s="30">
        <v>1.4359999999999999</v>
      </c>
      <c r="G190" s="30">
        <v>1.4359999999999999</v>
      </c>
      <c r="H190" s="29">
        <v>47</v>
      </c>
      <c r="I190" s="47">
        <v>3.0000000000000001E-3</v>
      </c>
      <c r="J190" s="47">
        <v>7.51E-2</v>
      </c>
      <c r="K190" s="26">
        <v>760372457.00919199</v>
      </c>
      <c r="L190" s="27">
        <f t="shared" si="120"/>
        <v>9.5754025301206663E-3</v>
      </c>
      <c r="M190" s="30">
        <v>1.4450000000000001</v>
      </c>
      <c r="N190" s="30">
        <v>1.4450000000000001</v>
      </c>
      <c r="O190" s="29">
        <v>49</v>
      </c>
      <c r="P190" s="47">
        <v>3.2000000000000002E-3</v>
      </c>
      <c r="Q190" s="47">
        <v>7.8600000000000003E-2</v>
      </c>
      <c r="R190" s="54">
        <f t="shared" si="121"/>
        <v>3.1855050100105891E-3</v>
      </c>
      <c r="S190" s="54">
        <f t="shared" si="122"/>
        <v>6.2674094707521723E-3</v>
      </c>
      <c r="T190" s="54">
        <f t="shared" si="122"/>
        <v>4.2553191489361701E-2</v>
      </c>
      <c r="U190" s="54">
        <f t="shared" si="123"/>
        <v>2.0000000000000009E-4</v>
      </c>
      <c r="V190" s="55">
        <f t="shared" si="123"/>
        <v>3.5000000000000031E-3</v>
      </c>
    </row>
    <row r="191" spans="1:22">
      <c r="A191" s="164">
        <v>168</v>
      </c>
      <c r="B191" s="162" t="s">
        <v>216</v>
      </c>
      <c r="C191" s="163" t="s">
        <v>50</v>
      </c>
      <c r="D191" s="30">
        <v>3157194279.48</v>
      </c>
      <c r="E191" s="27">
        <f t="shared" si="119"/>
        <v>4.1461350031108554E-2</v>
      </c>
      <c r="F191" s="30">
        <v>2.1276000000000002</v>
      </c>
      <c r="G191" s="30">
        <v>2.1429</v>
      </c>
      <c r="H191" s="29">
        <v>2661</v>
      </c>
      <c r="I191" s="47">
        <v>1.8499999999999999E-2</v>
      </c>
      <c r="J191" s="47">
        <v>0.27650000000000002</v>
      </c>
      <c r="K191" s="30">
        <v>5985247197.6700001</v>
      </c>
      <c r="L191" s="51">
        <f t="shared" si="120"/>
        <v>7.5372471256246631E-2</v>
      </c>
      <c r="M191" s="30">
        <v>2.1238999999999999</v>
      </c>
      <c r="N191" s="30">
        <v>2.1238999999999999</v>
      </c>
      <c r="O191" s="29">
        <v>2681</v>
      </c>
      <c r="P191" s="47">
        <v>-1.6999999999999999E-3</v>
      </c>
      <c r="Q191" s="47">
        <v>0.2747</v>
      </c>
      <c r="R191" s="54">
        <f t="shared" si="121"/>
        <v>0.8957487781384772</v>
      </c>
      <c r="S191" s="54">
        <f t="shared" si="122"/>
        <v>-8.8664893368799891E-3</v>
      </c>
      <c r="T191" s="54">
        <f t="shared" si="122"/>
        <v>7.5159714393085303E-3</v>
      </c>
      <c r="U191" s="54">
        <f t="shared" si="123"/>
        <v>-2.0199999999999999E-2</v>
      </c>
      <c r="V191" s="55">
        <f t="shared" si="123"/>
        <v>-1.8000000000000238E-3</v>
      </c>
    </row>
    <row r="192" spans="1:22">
      <c r="A192" s="164">
        <v>169</v>
      </c>
      <c r="B192" s="162" t="s">
        <v>217</v>
      </c>
      <c r="C192" s="163" t="s">
        <v>50</v>
      </c>
      <c r="D192" s="30">
        <v>1912573319.1600001</v>
      </c>
      <c r="E192" s="27">
        <f t="shared" si="119"/>
        <v>2.511656389384833E-2</v>
      </c>
      <c r="F192" s="30">
        <v>1.6783999999999999</v>
      </c>
      <c r="G192" s="30">
        <v>1.6896</v>
      </c>
      <c r="H192" s="29">
        <v>1208</v>
      </c>
      <c r="I192" s="47">
        <v>1.2500000000000001E-2</v>
      </c>
      <c r="J192" s="47">
        <v>0.3044</v>
      </c>
      <c r="K192" s="30">
        <v>1916560308.01</v>
      </c>
      <c r="L192" s="51">
        <f t="shared" si="120"/>
        <v>2.4135325067706846E-2</v>
      </c>
      <c r="M192" s="30">
        <v>1.6771</v>
      </c>
      <c r="N192" s="30">
        <v>1.6881999999999999</v>
      </c>
      <c r="O192" s="29">
        <v>1227</v>
      </c>
      <c r="P192" s="47">
        <v>-6.9999999999999999E-4</v>
      </c>
      <c r="Q192" s="47">
        <v>0.30359999999999998</v>
      </c>
      <c r="R192" s="54">
        <f t="shared" si="121"/>
        <v>2.084620134589656E-3</v>
      </c>
      <c r="S192" s="54">
        <f t="shared" si="122"/>
        <v>-8.2859848484852499E-4</v>
      </c>
      <c r="T192" s="54">
        <f t="shared" si="122"/>
        <v>1.5728476821192054E-2</v>
      </c>
      <c r="U192" s="54">
        <f t="shared" si="123"/>
        <v>-1.32E-2</v>
      </c>
      <c r="V192" s="55">
        <f t="shared" si="123"/>
        <v>-8.0000000000002292E-4</v>
      </c>
    </row>
    <row r="193" spans="1:24">
      <c r="A193" s="164">
        <v>170</v>
      </c>
      <c r="B193" s="162" t="s">
        <v>218</v>
      </c>
      <c r="C193" s="163" t="s">
        <v>101</v>
      </c>
      <c r="D193" s="26">
        <v>12065483588.129999</v>
      </c>
      <c r="E193" s="27">
        <f t="shared" si="119"/>
        <v>0.15844803773825616</v>
      </c>
      <c r="F193" s="30">
        <v>700.22</v>
      </c>
      <c r="G193" s="30">
        <v>708.79</v>
      </c>
      <c r="H193" s="29">
        <v>35</v>
      </c>
      <c r="I193" s="47">
        <v>5.7000000000000002E-3</v>
      </c>
      <c r="J193" s="47">
        <v>0.35399999999999998</v>
      </c>
      <c r="K193" s="26">
        <v>11930502985.26</v>
      </c>
      <c r="L193" s="51">
        <f t="shared" si="120"/>
        <v>0.15024132899291717</v>
      </c>
      <c r="M193" s="30">
        <v>691</v>
      </c>
      <c r="N193" s="30">
        <v>699.4</v>
      </c>
      <c r="O193" s="29">
        <v>35</v>
      </c>
      <c r="P193" s="47">
        <v>-1.32E-2</v>
      </c>
      <c r="Q193" s="47">
        <v>0.33610000000000001</v>
      </c>
      <c r="R193" s="54">
        <f t="shared" si="121"/>
        <v>-1.1187334671176595E-2</v>
      </c>
      <c r="S193" s="54">
        <f t="shared" si="122"/>
        <v>-1.3247929570112426E-2</v>
      </c>
      <c r="T193" s="54">
        <f t="shared" si="122"/>
        <v>0</v>
      </c>
      <c r="U193" s="54">
        <f t="shared" si="123"/>
        <v>-1.89E-2</v>
      </c>
      <c r="V193" s="55">
        <f t="shared" si="123"/>
        <v>-1.7899999999999971E-2</v>
      </c>
    </row>
    <row r="194" spans="1:24">
      <c r="A194" s="33"/>
      <c r="B194" s="34"/>
      <c r="C194" s="35" t="s">
        <v>51</v>
      </c>
      <c r="D194" s="72">
        <f>SUM(D166:D193)</f>
        <v>76147888988.447052</v>
      </c>
      <c r="E194" s="37">
        <f>(D194/$D$226)</f>
        <v>1.1500672081009076E-2</v>
      </c>
      <c r="F194" s="38"/>
      <c r="G194" s="73"/>
      <c r="H194" s="40">
        <f>SUM(H166:H193)</f>
        <v>73310</v>
      </c>
      <c r="I194" s="79"/>
      <c r="J194" s="79"/>
      <c r="K194" s="72">
        <f>SUM(K166:K193)</f>
        <v>79408928723.084183</v>
      </c>
      <c r="L194" s="37">
        <f>(K194/$K$226)</f>
        <v>1.186307925458072E-2</v>
      </c>
      <c r="M194" s="38"/>
      <c r="N194" s="73"/>
      <c r="O194" s="40">
        <f>SUM(O166:O193)</f>
        <v>73570</v>
      </c>
      <c r="P194" s="79"/>
      <c r="Q194" s="79"/>
      <c r="R194" s="54">
        <f t="shared" ref="R194" si="129">((K194-D194)/D194)</f>
        <v>4.2825083898673628E-2</v>
      </c>
      <c r="S194" s="54" t="e">
        <f t="shared" ref="S194" si="130">((N194-G194)/G194)</f>
        <v>#DIV/0!</v>
      </c>
      <c r="T194" s="54">
        <f t="shared" ref="T194" si="131">((O194-H194)/H194)</f>
        <v>3.54658300368299E-3</v>
      </c>
      <c r="U194" s="54">
        <f t="shared" ref="U194" si="132">P194-I194</f>
        <v>0</v>
      </c>
      <c r="V194" s="55">
        <f t="shared" ref="V194" si="133">Q194-J194</f>
        <v>0</v>
      </c>
    </row>
    <row r="195" spans="1:24" ht="5.25" customHeight="1">
      <c r="A195" s="33"/>
      <c r="B195" s="176"/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</row>
    <row r="196" spans="1:24" ht="15" customHeight="1">
      <c r="A196" s="178" t="s">
        <v>219</v>
      </c>
      <c r="B196" s="178"/>
      <c r="C196" s="178"/>
      <c r="D196" s="178"/>
      <c r="E196" s="178"/>
      <c r="F196" s="178"/>
      <c r="G196" s="178"/>
      <c r="H196" s="178"/>
      <c r="I196" s="178"/>
      <c r="J196" s="178"/>
      <c r="K196" s="178"/>
      <c r="L196" s="178"/>
      <c r="M196" s="178"/>
      <c r="N196" s="178"/>
      <c r="O196" s="178"/>
      <c r="P196" s="178"/>
      <c r="Q196" s="178"/>
      <c r="R196" s="178"/>
      <c r="S196" s="178"/>
      <c r="T196" s="178"/>
      <c r="U196" s="178"/>
      <c r="V196" s="178"/>
    </row>
    <row r="197" spans="1:24">
      <c r="A197" s="165">
        <v>171</v>
      </c>
      <c r="B197" s="162" t="s">
        <v>220</v>
      </c>
      <c r="C197" s="163" t="s">
        <v>221</v>
      </c>
      <c r="D197" s="75">
        <v>1432501878.4100001</v>
      </c>
      <c r="E197" s="27">
        <f>(D197/$D$199)</f>
        <v>0.17538814870476019</v>
      </c>
      <c r="F197" s="74">
        <v>39.7654</v>
      </c>
      <c r="G197" s="74">
        <v>40.147100000000002</v>
      </c>
      <c r="H197" s="29">
        <v>1494</v>
      </c>
      <c r="I197" s="47">
        <v>1.6500000000000001E-2</v>
      </c>
      <c r="J197" s="47">
        <v>0.49359999999999998</v>
      </c>
      <c r="K197" s="75">
        <v>1413991203.53</v>
      </c>
      <c r="L197" s="51">
        <f>(K197/$K$199)</f>
        <v>0.17504602793393884</v>
      </c>
      <c r="M197" s="74">
        <v>39.899099999999997</v>
      </c>
      <c r="N197" s="74">
        <v>40.2834</v>
      </c>
      <c r="O197" s="29">
        <v>1493</v>
      </c>
      <c r="P197" s="47">
        <v>-2.3E-3</v>
      </c>
      <c r="Q197" s="47">
        <v>0.49869999999999998</v>
      </c>
      <c r="R197" s="54">
        <f>((K197-D197)/D197)</f>
        <v>-1.2921920144737238E-2</v>
      </c>
      <c r="S197" s="54">
        <f t="shared" ref="S197:T199" si="134">((N197-G197)/G197)</f>
        <v>3.3950148329517831E-3</v>
      </c>
      <c r="T197" s="54">
        <f t="shared" si="134"/>
        <v>-6.6934404283801872E-4</v>
      </c>
      <c r="U197" s="54">
        <f t="shared" ref="U197:V199" si="135">P197-I197</f>
        <v>-1.8800000000000001E-2</v>
      </c>
      <c r="V197" s="55">
        <f t="shared" si="135"/>
        <v>5.0999999999999934E-3</v>
      </c>
    </row>
    <row r="198" spans="1:24">
      <c r="A198" s="165">
        <v>172</v>
      </c>
      <c r="B198" s="162" t="s">
        <v>222</v>
      </c>
      <c r="C198" s="163" t="s">
        <v>47</v>
      </c>
      <c r="D198" s="41">
        <v>6735107444.0500002</v>
      </c>
      <c r="E198" s="27">
        <f>(D198/$D$199)</f>
        <v>0.82461185129523984</v>
      </c>
      <c r="F198" s="74">
        <v>4.3600000000000003</v>
      </c>
      <c r="G198" s="74">
        <v>4.42</v>
      </c>
      <c r="H198" s="29">
        <v>11102</v>
      </c>
      <c r="I198" s="47">
        <v>2.3099999999999999E-2</v>
      </c>
      <c r="J198" s="47">
        <v>0.52410000000000001</v>
      </c>
      <c r="K198" s="41">
        <v>6663833927.4899998</v>
      </c>
      <c r="L198" s="51">
        <f>(K198/$K$199)</f>
        <v>0.82495397206606125</v>
      </c>
      <c r="M198" s="74">
        <v>4.32</v>
      </c>
      <c r="N198" s="74">
        <v>4.38</v>
      </c>
      <c r="O198" s="29">
        <v>11129</v>
      </c>
      <c r="P198" s="47">
        <v>-8.9999999999999993E-3</v>
      </c>
      <c r="Q198" s="47">
        <v>0.51029999999999998</v>
      </c>
      <c r="R198" s="54">
        <f>((K198-D198)/D198)</f>
        <v>-1.05823874603464E-2</v>
      </c>
      <c r="S198" s="54">
        <f t="shared" si="134"/>
        <v>-9.0497737556561163E-3</v>
      </c>
      <c r="T198" s="54">
        <f t="shared" si="134"/>
        <v>2.4319942352729238E-3</v>
      </c>
      <c r="U198" s="54">
        <f t="shared" si="135"/>
        <v>-3.2099999999999997E-2</v>
      </c>
      <c r="V198" s="55">
        <f t="shared" si="135"/>
        <v>-1.3800000000000034E-2</v>
      </c>
    </row>
    <row r="199" spans="1:24">
      <c r="A199" s="33"/>
      <c r="B199" s="34"/>
      <c r="C199" s="68" t="s">
        <v>51</v>
      </c>
      <c r="D199" s="72">
        <f>SUM(D197:D198)</f>
        <v>8167609322.46</v>
      </c>
      <c r="E199" s="37">
        <f>(D199/$D$226)</f>
        <v>1.2335600861851396E-3</v>
      </c>
      <c r="F199" s="38"/>
      <c r="G199" s="73"/>
      <c r="H199" s="40">
        <f>SUM(H197:H198)</f>
        <v>12596</v>
      </c>
      <c r="I199" s="79"/>
      <c r="J199" s="79"/>
      <c r="K199" s="72">
        <f>SUM(K197:K198)</f>
        <v>8077825131.0199995</v>
      </c>
      <c r="L199" s="37">
        <f>(K199/$K$226)</f>
        <v>1.206764544930537E-3</v>
      </c>
      <c r="M199" s="38"/>
      <c r="N199" s="73"/>
      <c r="O199" s="40">
        <f>SUM(O197:O198)</f>
        <v>12622</v>
      </c>
      <c r="P199" s="79"/>
      <c r="Q199" s="79"/>
      <c r="R199" s="54">
        <f>((K199-D199)/D199)</f>
        <v>-1.0992713766695987E-2</v>
      </c>
      <c r="S199" s="54" t="e">
        <f t="shared" si="134"/>
        <v>#DIV/0!</v>
      </c>
      <c r="T199" s="54">
        <f t="shared" si="134"/>
        <v>2.06414734836456E-3</v>
      </c>
      <c r="U199" s="54">
        <f t="shared" si="135"/>
        <v>0</v>
      </c>
      <c r="V199" s="55">
        <f t="shared" si="135"/>
        <v>0</v>
      </c>
    </row>
    <row r="200" spans="1:24" ht="6" customHeight="1">
      <c r="A200" s="33"/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  <c r="R200" s="176"/>
      <c r="S200" s="176"/>
      <c r="T200" s="176"/>
      <c r="U200" s="176"/>
      <c r="V200" s="176"/>
    </row>
    <row r="201" spans="1:24" ht="15" customHeight="1">
      <c r="A201" s="179" t="s">
        <v>223</v>
      </c>
      <c r="B201" s="179"/>
      <c r="C201" s="179"/>
      <c r="D201" s="179"/>
      <c r="E201" s="179"/>
      <c r="F201" s="179"/>
      <c r="G201" s="179"/>
      <c r="H201" s="179"/>
      <c r="I201" s="179"/>
      <c r="J201" s="179"/>
      <c r="K201" s="179"/>
      <c r="L201" s="179"/>
      <c r="M201" s="179"/>
      <c r="N201" s="179"/>
      <c r="O201" s="179"/>
      <c r="P201" s="179"/>
      <c r="Q201" s="179"/>
      <c r="R201" s="179"/>
      <c r="S201" s="179"/>
      <c r="T201" s="179"/>
      <c r="U201" s="179"/>
      <c r="V201" s="179"/>
    </row>
    <row r="202" spans="1:24">
      <c r="A202" s="180" t="s">
        <v>224</v>
      </c>
      <c r="B202" s="180"/>
      <c r="C202" s="180"/>
      <c r="D202" s="180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  <c r="R202" s="180"/>
      <c r="S202" s="180"/>
      <c r="T202" s="180"/>
      <c r="U202" s="180"/>
      <c r="V202" s="180"/>
    </row>
    <row r="203" spans="1:24">
      <c r="A203" s="165">
        <v>173</v>
      </c>
      <c r="B203" s="162" t="s">
        <v>225</v>
      </c>
      <c r="C203" s="163" t="s">
        <v>226</v>
      </c>
      <c r="D203" s="44">
        <v>7298457789.4200001</v>
      </c>
      <c r="E203" s="27">
        <f>(D203/$D$225)</f>
        <v>0.11017860231083113</v>
      </c>
      <c r="F203" s="76">
        <v>2.84</v>
      </c>
      <c r="G203" s="76">
        <v>2.89</v>
      </c>
      <c r="H203" s="43">
        <v>15130</v>
      </c>
      <c r="I203" s="50">
        <v>1.06E-2</v>
      </c>
      <c r="J203" s="50">
        <v>0.251</v>
      </c>
      <c r="K203" s="44">
        <v>7418071053.6599998</v>
      </c>
      <c r="L203" s="27">
        <f>(K203/$K$225)</f>
        <v>0.11073263300321501</v>
      </c>
      <c r="M203" s="76">
        <v>2.88</v>
      </c>
      <c r="N203" s="76">
        <v>2.93</v>
      </c>
      <c r="O203" s="43">
        <v>15141</v>
      </c>
      <c r="P203" s="50">
        <v>1.4E-2</v>
      </c>
      <c r="Q203" s="50">
        <v>0.26860000000000001</v>
      </c>
      <c r="R203" s="53">
        <f>((K203-D203)/D203)</f>
        <v>1.6388840997805552E-2</v>
      </c>
      <c r="S203" s="53">
        <f>((N203-G203)/G203)</f>
        <v>1.3840830449827002E-2</v>
      </c>
      <c r="T203" s="53">
        <f>((O203-H203)/H203)</f>
        <v>7.2703238598810309E-4</v>
      </c>
      <c r="U203" s="53">
        <f>P203-I203</f>
        <v>3.4000000000000002E-3</v>
      </c>
      <c r="V203" s="145">
        <f>Q203-J203</f>
        <v>1.7600000000000005E-2</v>
      </c>
    </row>
    <row r="204" spans="1:24">
      <c r="A204" s="165">
        <v>174</v>
      </c>
      <c r="B204" s="162" t="s">
        <v>227</v>
      </c>
      <c r="C204" s="163" t="s">
        <v>47</v>
      </c>
      <c r="D204" s="44">
        <v>2905983503.48</v>
      </c>
      <c r="E204" s="27">
        <f>(D204/$D$225)</f>
        <v>4.3869158387939755E-2</v>
      </c>
      <c r="F204" s="76">
        <v>846.38</v>
      </c>
      <c r="G204" s="76">
        <v>856.85</v>
      </c>
      <c r="H204" s="43">
        <v>1813</v>
      </c>
      <c r="I204" s="50">
        <v>1.6400000000000001E-2</v>
      </c>
      <c r="J204" s="50">
        <v>0.69779999999999998</v>
      </c>
      <c r="K204" s="44">
        <v>2965628763.79</v>
      </c>
      <c r="L204" s="27">
        <f>(K204/$K$225)</f>
        <v>4.4269174445627758E-2</v>
      </c>
      <c r="M204" s="76">
        <v>849.13</v>
      </c>
      <c r="N204" s="76">
        <v>859.86</v>
      </c>
      <c r="O204" s="43">
        <v>1861</v>
      </c>
      <c r="P204" s="50">
        <v>3.5000000000000001E-3</v>
      </c>
      <c r="Q204" s="50">
        <v>0.70369999999999999</v>
      </c>
      <c r="R204" s="53">
        <f>((K204-D204)/D204)</f>
        <v>2.0524982415961068E-2</v>
      </c>
      <c r="S204" s="53">
        <f>((N204-G204)/G204)</f>
        <v>3.5128668961895205E-3</v>
      </c>
      <c r="T204" s="53">
        <f>((O204-H204)/H204)</f>
        <v>2.6475455046883617E-2</v>
      </c>
      <c r="U204" s="53">
        <f>P204-I204</f>
        <v>-1.2900000000000002E-2</v>
      </c>
      <c r="V204" s="145">
        <f>Q204-J204</f>
        <v>5.9000000000000163E-3</v>
      </c>
    </row>
    <row r="205" spans="1:24" ht="6" customHeight="1">
      <c r="A205" s="144"/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</row>
    <row r="206" spans="1:24" ht="15" customHeight="1">
      <c r="A206" s="180" t="s">
        <v>169</v>
      </c>
      <c r="B206" s="180"/>
      <c r="C206" s="180"/>
      <c r="D206" s="180"/>
      <c r="E206" s="180"/>
      <c r="F206" s="180"/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  <c r="R206" s="180"/>
      <c r="S206" s="180"/>
      <c r="T206" s="180"/>
      <c r="U206" s="180"/>
      <c r="V206" s="180"/>
    </row>
    <row r="207" spans="1:24">
      <c r="A207" s="165">
        <v>175</v>
      </c>
      <c r="B207" s="162" t="s">
        <v>287</v>
      </c>
      <c r="C207" s="163" t="s">
        <v>21</v>
      </c>
      <c r="D207" s="26">
        <v>1074098746.0699999</v>
      </c>
      <c r="E207" s="27">
        <f>(D207/$D$225)</f>
        <v>1.6214754130298731E-2</v>
      </c>
      <c r="F207" s="74">
        <v>1.0999000000000001</v>
      </c>
      <c r="G207" s="74">
        <v>1.0999000000000001</v>
      </c>
      <c r="H207" s="29">
        <v>674</v>
      </c>
      <c r="I207" s="47">
        <v>0.1188</v>
      </c>
      <c r="J207" s="47">
        <v>0.1226</v>
      </c>
      <c r="K207" s="26">
        <v>1083516886.5799999</v>
      </c>
      <c r="L207" s="27">
        <f t="shared" ref="L207:L219" si="136">(K207/$K$225)</f>
        <v>1.6174107377315027E-2</v>
      </c>
      <c r="M207" s="74">
        <v>1.1024</v>
      </c>
      <c r="N207" s="74">
        <v>1.1024</v>
      </c>
      <c r="O207" s="29">
        <v>673</v>
      </c>
      <c r="P207" s="47">
        <v>0.11849999999999999</v>
      </c>
      <c r="Q207" s="47">
        <v>0.12280000000000001</v>
      </c>
      <c r="R207" s="54">
        <f>((K207-D207)/D207)</f>
        <v>8.7684121636486881E-3</v>
      </c>
      <c r="S207" s="54">
        <f>((N207-G207)/G207)</f>
        <v>2.2729339030820497E-3</v>
      </c>
      <c r="T207" s="54">
        <f>((O207-H207)/H207)</f>
        <v>-1.483679525222552E-3</v>
      </c>
      <c r="U207" s="54">
        <f>P207-I207</f>
        <v>-3.0000000000000859E-4</v>
      </c>
      <c r="V207" s="55">
        <f>Q207-J207</f>
        <v>2.0000000000000573E-4</v>
      </c>
      <c r="X207" s="80"/>
    </row>
    <row r="208" spans="1:24">
      <c r="A208" s="165">
        <v>176</v>
      </c>
      <c r="B208" s="162" t="s">
        <v>228</v>
      </c>
      <c r="C208" s="163" t="s">
        <v>229</v>
      </c>
      <c r="D208" s="26">
        <v>356685378.94</v>
      </c>
      <c r="E208" s="27">
        <f>(D208/$D$225)</f>
        <v>5.3845754336330019E-3</v>
      </c>
      <c r="F208" s="74">
        <v>1085.3800000000001</v>
      </c>
      <c r="G208" s="74">
        <v>1085.3800000000001</v>
      </c>
      <c r="H208" s="29">
        <v>17</v>
      </c>
      <c r="I208" s="47">
        <v>-7.9000000000000008E-3</v>
      </c>
      <c r="J208" s="47">
        <v>3.9300000000000002E-2</v>
      </c>
      <c r="K208" s="26">
        <v>356830004.75</v>
      </c>
      <c r="L208" s="27">
        <f t="shared" si="136"/>
        <v>5.3265499446816496E-3</v>
      </c>
      <c r="M208" s="74">
        <v>1085.97</v>
      </c>
      <c r="N208" s="74">
        <v>1085.97</v>
      </c>
      <c r="O208" s="29">
        <v>17</v>
      </c>
      <c r="P208" s="47">
        <v>1E-3</v>
      </c>
      <c r="Q208" s="47">
        <v>4.0300000000000002E-2</v>
      </c>
      <c r="R208" s="54">
        <f>((K208-D208)/D208)</f>
        <v>4.0547165244003648E-4</v>
      </c>
      <c r="S208" s="54">
        <f>((N208-G208)/G208)</f>
        <v>5.4358842064522852E-4</v>
      </c>
      <c r="T208" s="54">
        <f>((O208-H208)/H208)</f>
        <v>0</v>
      </c>
      <c r="U208" s="54">
        <f>P208-I208</f>
        <v>8.9000000000000017E-3</v>
      </c>
      <c r="V208" s="55">
        <f>Q208-J208</f>
        <v>1.0000000000000009E-3</v>
      </c>
      <c r="X208" s="80"/>
    </row>
    <row r="209" spans="1:22">
      <c r="A209" s="165">
        <v>177</v>
      </c>
      <c r="B209" s="162" t="s">
        <v>230</v>
      </c>
      <c r="C209" s="163" t="s">
        <v>65</v>
      </c>
      <c r="D209" s="26">
        <v>247260584.31999999</v>
      </c>
      <c r="E209" s="27">
        <f>(D209/$D$225)</f>
        <v>3.7326824889538698E-3</v>
      </c>
      <c r="F209" s="74">
        <v>121.03</v>
      </c>
      <c r="G209" s="74">
        <v>121.03</v>
      </c>
      <c r="H209" s="29">
        <v>73</v>
      </c>
      <c r="I209" s="47">
        <v>2.8E-3</v>
      </c>
      <c r="J209" s="47">
        <v>0.13619999999999999</v>
      </c>
      <c r="K209" s="26">
        <v>248248926.16999999</v>
      </c>
      <c r="L209" s="27">
        <f t="shared" si="136"/>
        <v>3.7057150081437826E-3</v>
      </c>
      <c r="M209" s="74">
        <v>121.33</v>
      </c>
      <c r="N209" s="74">
        <v>121.33</v>
      </c>
      <c r="O209" s="29">
        <v>73</v>
      </c>
      <c r="P209" s="47">
        <v>2.5000000000000001E-3</v>
      </c>
      <c r="Q209" s="47">
        <v>0.13619999999999999</v>
      </c>
      <c r="R209" s="54">
        <f t="shared" ref="R209:R226" si="137">((K209-D209)/D209)</f>
        <v>3.9971670079081449E-3</v>
      </c>
      <c r="S209" s="54">
        <f t="shared" ref="S209:S225" si="138">((N209-G209)/G209)</f>
        <v>2.4787242832355377E-3</v>
      </c>
      <c r="T209" s="54">
        <f t="shared" ref="T209:T225" si="139">((O209-H209)/H209)</f>
        <v>0</v>
      </c>
      <c r="U209" s="54">
        <f t="shared" ref="U209:U225" si="140">P209-I209</f>
        <v>-2.9999999999999992E-4</v>
      </c>
      <c r="V209" s="55">
        <f t="shared" ref="V209:V225" si="141">Q209-J209</f>
        <v>0</v>
      </c>
    </row>
    <row r="210" spans="1:22">
      <c r="A210" s="165">
        <v>178</v>
      </c>
      <c r="B210" s="171" t="s">
        <v>231</v>
      </c>
      <c r="C210" s="163" t="s">
        <v>68</v>
      </c>
      <c r="D210" s="41">
        <v>65915620.18</v>
      </c>
      <c r="E210" s="27">
        <f>(D210/$D$225)</f>
        <v>9.9507198800435296E-4</v>
      </c>
      <c r="F210" s="74">
        <v>100.49</v>
      </c>
      <c r="G210" s="74">
        <v>100.49</v>
      </c>
      <c r="H210" s="29">
        <v>17</v>
      </c>
      <c r="I210" s="47">
        <v>2E-3</v>
      </c>
      <c r="J210" s="47">
        <v>7.4800000000000005E-2</v>
      </c>
      <c r="K210" s="41">
        <v>66020487.700000003</v>
      </c>
      <c r="L210" s="27">
        <f t="shared" si="136"/>
        <v>9.8551528858305888E-4</v>
      </c>
      <c r="M210" s="74">
        <v>100.68</v>
      </c>
      <c r="N210" s="74">
        <v>100.68</v>
      </c>
      <c r="O210" s="29">
        <v>17</v>
      </c>
      <c r="P210" s="47">
        <v>2E-3</v>
      </c>
      <c r="Q210" s="47">
        <v>7.6799999999999993E-2</v>
      </c>
      <c r="R210" s="54">
        <f t="shared" si="137"/>
        <v>1.5909358011596468E-3</v>
      </c>
      <c r="S210" s="54">
        <f t="shared" si="138"/>
        <v>1.8907353965569903E-3</v>
      </c>
      <c r="T210" s="54">
        <f t="shared" si="139"/>
        <v>0</v>
      </c>
      <c r="U210" s="54">
        <f t="shared" si="140"/>
        <v>0</v>
      </c>
      <c r="V210" s="55">
        <f t="shared" si="141"/>
        <v>1.9999999999999879E-3</v>
      </c>
    </row>
    <row r="211" spans="1:22">
      <c r="A211" s="165">
        <v>179</v>
      </c>
      <c r="B211" s="162" t="s">
        <v>232</v>
      </c>
      <c r="C211" s="163" t="s">
        <v>71</v>
      </c>
      <c r="D211" s="41">
        <v>273421409.22000003</v>
      </c>
      <c r="E211" s="27">
        <v>0</v>
      </c>
      <c r="F211" s="74">
        <v>1.1200000000000001</v>
      </c>
      <c r="G211" s="74">
        <v>1.1189</v>
      </c>
      <c r="H211" s="29">
        <v>48</v>
      </c>
      <c r="I211" s="47">
        <v>1.8E-3</v>
      </c>
      <c r="J211" s="47">
        <v>0.1023</v>
      </c>
      <c r="K211" s="41">
        <v>273060974.58999997</v>
      </c>
      <c r="L211" s="27">
        <f t="shared" si="136"/>
        <v>4.076094778285546E-3</v>
      </c>
      <c r="M211" s="74">
        <v>1.1299999999999999</v>
      </c>
      <c r="N211" s="74">
        <v>1.1299999999999999</v>
      </c>
      <c r="O211" s="29">
        <v>49</v>
      </c>
      <c r="P211" s="47">
        <v>1.8E-3</v>
      </c>
      <c r="Q211" s="47">
        <v>0.1384</v>
      </c>
      <c r="R211" s="54">
        <f t="shared" ref="R211:R212" si="142">((K211-D211)/D211)</f>
        <v>-1.3182385060053667E-3</v>
      </c>
      <c r="S211" s="54">
        <f t="shared" ref="S211:S212" si="143">((N211-G211)/G211)</f>
        <v>9.9204575922780293E-3</v>
      </c>
      <c r="T211" s="54">
        <f t="shared" ref="T211" si="144">((O211-H211)/H211)</f>
        <v>2.0833333333333332E-2</v>
      </c>
      <c r="U211" s="54">
        <f t="shared" ref="U211" si="145">P211-I211</f>
        <v>0</v>
      </c>
      <c r="V211" s="55">
        <f t="shared" ref="V211" si="146">Q211-J211</f>
        <v>3.6099999999999993E-2</v>
      </c>
    </row>
    <row r="212" spans="1:22">
      <c r="A212" s="165">
        <v>180</v>
      </c>
      <c r="B212" s="162" t="s">
        <v>233</v>
      </c>
      <c r="C212" s="163" t="s">
        <v>29</v>
      </c>
      <c r="D212" s="26">
        <v>4821851749.71</v>
      </c>
      <c r="E212" s="27">
        <f t="shared" ref="E212:E219" si="147">(D212/$D$225)</f>
        <v>7.2791389860912284E-2</v>
      </c>
      <c r="F212" s="74">
        <v>159.30000000000001</v>
      </c>
      <c r="G212" s="74">
        <v>159.30000000000001</v>
      </c>
      <c r="H212" s="29">
        <v>739</v>
      </c>
      <c r="I212" s="47">
        <v>2.8999999999999998E-3</v>
      </c>
      <c r="J212" s="47">
        <v>0.1103</v>
      </c>
      <c r="K212" s="26">
        <v>4609927864.2700005</v>
      </c>
      <c r="L212" s="27">
        <f t="shared" si="136"/>
        <v>6.881431125058371E-2</v>
      </c>
      <c r="M212" s="74">
        <v>159.79</v>
      </c>
      <c r="N212" s="74">
        <v>159.79</v>
      </c>
      <c r="O212" s="29">
        <v>739</v>
      </c>
      <c r="P212" s="47">
        <v>3.0999999999999999E-3</v>
      </c>
      <c r="Q212" s="47">
        <v>0.1138</v>
      </c>
      <c r="R212" s="54">
        <f t="shared" si="142"/>
        <v>-4.3950726077952376E-2</v>
      </c>
      <c r="S212" s="54">
        <f t="shared" si="143"/>
        <v>3.0759573132453275E-3</v>
      </c>
      <c r="T212" s="54">
        <f t="shared" si="139"/>
        <v>0</v>
      </c>
      <c r="U212" s="54">
        <f t="shared" si="140"/>
        <v>2.0000000000000009E-4</v>
      </c>
      <c r="V212" s="55">
        <f t="shared" si="141"/>
        <v>3.5000000000000031E-3</v>
      </c>
    </row>
    <row r="213" spans="1:22">
      <c r="A213" s="165">
        <v>181</v>
      </c>
      <c r="B213" s="162" t="s">
        <v>234</v>
      </c>
      <c r="C213" s="163" t="s">
        <v>63</v>
      </c>
      <c r="D213" s="26">
        <v>765253845.95000005</v>
      </c>
      <c r="E213" s="27">
        <f t="shared" si="147"/>
        <v>1.155238566728211E-2</v>
      </c>
      <c r="F213" s="32">
        <v>1293.5999999999999</v>
      </c>
      <c r="G213" s="32">
        <v>1293.5999999999999</v>
      </c>
      <c r="H213" s="29">
        <v>256</v>
      </c>
      <c r="I213" s="47">
        <v>0.11020000000000001</v>
      </c>
      <c r="J213" s="47">
        <v>0.1285</v>
      </c>
      <c r="K213" s="26">
        <v>767885945.04999995</v>
      </c>
      <c r="L213" s="27">
        <f t="shared" si="136"/>
        <v>1.1462552990726023E-2</v>
      </c>
      <c r="M213" s="32">
        <v>1296.3</v>
      </c>
      <c r="N213" s="32">
        <v>1296.3</v>
      </c>
      <c r="O213" s="29">
        <v>262</v>
      </c>
      <c r="P213" s="47">
        <v>0.10879999999999999</v>
      </c>
      <c r="Q213" s="47">
        <v>0.1283</v>
      </c>
      <c r="R213" s="54">
        <f t="shared" si="137"/>
        <v>3.4395111033154874E-3</v>
      </c>
      <c r="S213" s="54">
        <f t="shared" si="138"/>
        <v>2.0871985157699799E-3</v>
      </c>
      <c r="T213" s="54">
        <f t="shared" si="139"/>
        <v>2.34375E-2</v>
      </c>
      <c r="U213" s="54">
        <f t="shared" si="140"/>
        <v>-1.4000000000000123E-3</v>
      </c>
      <c r="V213" s="55">
        <f t="shared" si="141"/>
        <v>-2.0000000000000573E-4</v>
      </c>
    </row>
    <row r="214" spans="1:22">
      <c r="A214" s="165">
        <v>182</v>
      </c>
      <c r="B214" s="162" t="s">
        <v>235</v>
      </c>
      <c r="C214" s="163" t="s">
        <v>226</v>
      </c>
      <c r="D214" s="26">
        <v>33730570393.900002</v>
      </c>
      <c r="E214" s="27">
        <f t="shared" si="147"/>
        <v>0.50920169827307304</v>
      </c>
      <c r="F214" s="32">
        <v>1286.6500000000001</v>
      </c>
      <c r="G214" s="32">
        <v>1286.6500000000001</v>
      </c>
      <c r="H214" s="29">
        <v>11035</v>
      </c>
      <c r="I214" s="47">
        <v>4.1000000000000003E-3</v>
      </c>
      <c r="J214" s="47">
        <v>0.1055</v>
      </c>
      <c r="K214" s="26">
        <v>34298791061.5</v>
      </c>
      <c r="L214" s="27">
        <f t="shared" si="136"/>
        <v>0.51199232463446664</v>
      </c>
      <c r="M214" s="32">
        <v>1290.29</v>
      </c>
      <c r="N214" s="32">
        <v>1290.29</v>
      </c>
      <c r="O214" s="29">
        <v>11070</v>
      </c>
      <c r="P214" s="47">
        <v>2.8E-3</v>
      </c>
      <c r="Q214" s="47">
        <v>0.1084</v>
      </c>
      <c r="R214" s="54">
        <f t="shared" si="137"/>
        <v>1.6845865959703967E-2</v>
      </c>
      <c r="S214" s="54">
        <f t="shared" si="138"/>
        <v>2.8290521897951053E-3</v>
      </c>
      <c r="T214" s="54">
        <f t="shared" si="139"/>
        <v>3.1717263253285004E-3</v>
      </c>
      <c r="U214" s="54">
        <f t="shared" si="140"/>
        <v>-1.3000000000000004E-3</v>
      </c>
      <c r="V214" s="55">
        <f t="shared" si="141"/>
        <v>2.8999999999999998E-3</v>
      </c>
    </row>
    <row r="215" spans="1:22">
      <c r="A215" s="165">
        <v>183</v>
      </c>
      <c r="B215" s="162" t="s">
        <v>236</v>
      </c>
      <c r="C215" s="163" t="s">
        <v>237</v>
      </c>
      <c r="D215" s="26">
        <v>421240168.51999998</v>
      </c>
      <c r="E215" s="27">
        <f t="shared" si="147"/>
        <v>6.3591041208722046E-3</v>
      </c>
      <c r="F215" s="76">
        <v>119.49</v>
      </c>
      <c r="G215" s="76">
        <v>120.34</v>
      </c>
      <c r="H215" s="43">
        <v>137</v>
      </c>
      <c r="I215" s="47">
        <v>-1.2999999999999999E-3</v>
      </c>
      <c r="J215" s="47">
        <v>-3.7499999999999999E-2</v>
      </c>
      <c r="K215" s="26">
        <v>424345189.18000001</v>
      </c>
      <c r="L215" s="27">
        <f t="shared" si="136"/>
        <v>6.3343771932414918E-3</v>
      </c>
      <c r="M215" s="76">
        <v>119.9</v>
      </c>
      <c r="N215" s="76">
        <v>120.9</v>
      </c>
      <c r="O215" s="43">
        <v>140</v>
      </c>
      <c r="P215" s="47">
        <v>4.7000000000000002E-3</v>
      </c>
      <c r="Q215" s="47">
        <v>-3.3000000000000002E-2</v>
      </c>
      <c r="R215" s="54">
        <f t="shared" si="137"/>
        <v>7.3711409595844457E-3</v>
      </c>
      <c r="S215" s="54">
        <f t="shared" si="138"/>
        <v>4.6534818015622594E-3</v>
      </c>
      <c r="T215" s="54">
        <f t="shared" si="139"/>
        <v>2.1897810218978103E-2</v>
      </c>
      <c r="U215" s="54">
        <f t="shared" si="140"/>
        <v>6.0000000000000001E-3</v>
      </c>
      <c r="V215" s="55">
        <f t="shared" si="141"/>
        <v>4.4999999999999971E-3</v>
      </c>
    </row>
    <row r="216" spans="1:22">
      <c r="A216" s="165">
        <v>184</v>
      </c>
      <c r="B216" s="162" t="s">
        <v>238</v>
      </c>
      <c r="C216" s="163" t="s">
        <v>237</v>
      </c>
      <c r="D216" s="26">
        <v>268099439.81999999</v>
      </c>
      <c r="E216" s="27">
        <f t="shared" si="147"/>
        <v>4.047268945297524E-3</v>
      </c>
      <c r="F216" s="76">
        <v>128.77000000000001</v>
      </c>
      <c r="G216" s="76">
        <v>128.77000000000001</v>
      </c>
      <c r="H216" s="43">
        <v>94</v>
      </c>
      <c r="I216" s="47">
        <v>4.0000000000000001E-3</v>
      </c>
      <c r="J216" s="47">
        <v>0.15290000000000001</v>
      </c>
      <c r="K216" s="26">
        <v>342363654.07999998</v>
      </c>
      <c r="L216" s="27">
        <f t="shared" si="136"/>
        <v>5.1106047093166466E-3</v>
      </c>
      <c r="M216" s="76">
        <v>129.15</v>
      </c>
      <c r="N216" s="76">
        <v>129.15</v>
      </c>
      <c r="O216" s="43">
        <v>123</v>
      </c>
      <c r="P216" s="47">
        <v>3.0000000000000001E-3</v>
      </c>
      <c r="Q216" s="47">
        <v>0.15629999999999999</v>
      </c>
      <c r="R216" s="54">
        <f t="shared" si="137"/>
        <v>0.27700249694613477</v>
      </c>
      <c r="S216" s="54">
        <f t="shared" si="138"/>
        <v>2.9509979032382966E-3</v>
      </c>
      <c r="T216" s="54">
        <f t="shared" si="139"/>
        <v>0.30851063829787234</v>
      </c>
      <c r="U216" s="54">
        <f t="shared" si="140"/>
        <v>-1E-3</v>
      </c>
      <c r="V216" s="55">
        <f t="shared" si="141"/>
        <v>3.3999999999999864E-3</v>
      </c>
    </row>
    <row r="217" spans="1:22" ht="13.5" customHeight="1">
      <c r="A217" s="165">
        <v>185</v>
      </c>
      <c r="B217" s="162" t="s">
        <v>239</v>
      </c>
      <c r="C217" s="163" t="s">
        <v>85</v>
      </c>
      <c r="D217" s="26">
        <v>2237151204</v>
      </c>
      <c r="E217" s="27">
        <f t="shared" si="147"/>
        <v>3.3772366700815161E-2</v>
      </c>
      <c r="F217" s="57">
        <v>107.04</v>
      </c>
      <c r="G217" s="57">
        <v>107.04</v>
      </c>
      <c r="H217" s="29">
        <v>685</v>
      </c>
      <c r="I217" s="47">
        <v>3.0999999999999999E-3</v>
      </c>
      <c r="J217" s="47">
        <v>0.15190000000000001</v>
      </c>
      <c r="K217" s="26">
        <v>2249881794</v>
      </c>
      <c r="L217" s="27">
        <f t="shared" si="136"/>
        <v>3.3584921631708578E-2</v>
      </c>
      <c r="M217" s="57">
        <v>107.38</v>
      </c>
      <c r="N217" s="57">
        <v>107.38</v>
      </c>
      <c r="O217" s="29">
        <v>687</v>
      </c>
      <c r="P217" s="47">
        <v>3.2000000000000002E-3</v>
      </c>
      <c r="Q217" s="47">
        <v>0.15240000000000001</v>
      </c>
      <c r="R217" s="54">
        <f t="shared" si="137"/>
        <v>5.6905362396774319E-3</v>
      </c>
      <c r="S217" s="54">
        <f t="shared" si="138"/>
        <v>3.1763826606874923E-3</v>
      </c>
      <c r="T217" s="54">
        <f t="shared" si="139"/>
        <v>2.9197080291970801E-3</v>
      </c>
      <c r="U217" s="54">
        <f t="shared" si="140"/>
        <v>1.0000000000000026E-4</v>
      </c>
      <c r="V217" s="55">
        <f t="shared" si="141"/>
        <v>5.0000000000000044E-4</v>
      </c>
    </row>
    <row r="218" spans="1:22" ht="15.75" customHeight="1">
      <c r="A218" s="165">
        <v>186</v>
      </c>
      <c r="B218" s="162" t="s">
        <v>240</v>
      </c>
      <c r="C218" s="163" t="s">
        <v>47</v>
      </c>
      <c r="D218" s="26">
        <v>5162746962.0100002</v>
      </c>
      <c r="E218" s="27">
        <f t="shared" si="147"/>
        <v>7.7937594594755494E-2</v>
      </c>
      <c r="F218" s="57">
        <v>140.11000000000001</v>
      </c>
      <c r="G218" s="57">
        <v>140.11000000000001</v>
      </c>
      <c r="H218" s="29">
        <v>1497</v>
      </c>
      <c r="I218" s="47">
        <v>2.3E-3</v>
      </c>
      <c r="J218" s="47">
        <v>4.3299999999999998E-2</v>
      </c>
      <c r="K218" s="26">
        <v>5157423988.5200005</v>
      </c>
      <c r="L218" s="27">
        <f t="shared" si="136"/>
        <v>7.6987013690168166E-2</v>
      </c>
      <c r="M218" s="57">
        <v>140.38</v>
      </c>
      <c r="N218" s="57">
        <v>140.38</v>
      </c>
      <c r="O218" s="29">
        <v>1530</v>
      </c>
      <c r="P218" s="47">
        <v>1.9E-3</v>
      </c>
      <c r="Q218" s="47">
        <v>4.53E-2</v>
      </c>
      <c r="R218" s="54">
        <f t="shared" si="137"/>
        <v>-1.0310351309426543E-3</v>
      </c>
      <c r="S218" s="54">
        <f t="shared" si="138"/>
        <v>1.927057312111782E-3</v>
      </c>
      <c r="T218" s="54">
        <f t="shared" si="139"/>
        <v>2.2044088176352707E-2</v>
      </c>
      <c r="U218" s="54">
        <f t="shared" si="140"/>
        <v>-3.9999999999999996E-4</v>
      </c>
      <c r="V218" s="55">
        <f t="shared" si="141"/>
        <v>2.0000000000000018E-3</v>
      </c>
    </row>
    <row r="219" spans="1:22">
      <c r="A219" s="165">
        <v>187</v>
      </c>
      <c r="B219" s="162" t="s">
        <v>241</v>
      </c>
      <c r="C219" s="163" t="s">
        <v>50</v>
      </c>
      <c r="D219" s="26">
        <v>4087248142.4400001</v>
      </c>
      <c r="E219" s="27">
        <f t="shared" si="147"/>
        <v>6.1701704747047253E-2</v>
      </c>
      <c r="F219" s="57">
        <v>1.1829000000000001</v>
      </c>
      <c r="G219" s="57">
        <v>1.1829000000000001</v>
      </c>
      <c r="H219" s="29">
        <v>1856</v>
      </c>
      <c r="I219" s="47">
        <v>0.10680000000000001</v>
      </c>
      <c r="J219" s="47">
        <v>0.10730000000000001</v>
      </c>
      <c r="K219" s="26">
        <v>4096897312.6700001</v>
      </c>
      <c r="L219" s="27">
        <f t="shared" si="136"/>
        <v>6.1156090753796924E-2</v>
      </c>
      <c r="M219" s="57">
        <v>1.1853</v>
      </c>
      <c r="N219" s="57">
        <v>1.1853</v>
      </c>
      <c r="O219" s="29">
        <v>1870</v>
      </c>
      <c r="P219" s="47">
        <v>2E-3</v>
      </c>
      <c r="Q219" s="47">
        <v>0.1071</v>
      </c>
      <c r="R219" s="54">
        <f t="shared" si="137"/>
        <v>2.3607987315004734E-3</v>
      </c>
      <c r="S219" s="54">
        <f t="shared" si="138"/>
        <v>2.02891199594214E-3</v>
      </c>
      <c r="T219" s="54">
        <f t="shared" si="139"/>
        <v>7.5431034482758624E-3</v>
      </c>
      <c r="U219" s="54">
        <f t="shared" si="140"/>
        <v>-0.1048</v>
      </c>
      <c r="V219" s="55">
        <f t="shared" si="141"/>
        <v>-2.0000000000000573E-4</v>
      </c>
    </row>
    <row r="220" spans="1:22" ht="6" customHeight="1">
      <c r="A220" s="33"/>
      <c r="B220" s="176"/>
      <c r="C220" s="176"/>
      <c r="D220" s="176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  <c r="R220" s="176"/>
      <c r="S220" s="176"/>
      <c r="T220" s="176"/>
      <c r="U220" s="176"/>
      <c r="V220" s="176"/>
    </row>
    <row r="221" spans="1:22">
      <c r="A221" s="180" t="s">
        <v>242</v>
      </c>
      <c r="B221" s="180"/>
      <c r="C221" s="180"/>
      <c r="D221" s="180"/>
      <c r="E221" s="180"/>
      <c r="F221" s="180"/>
      <c r="G221" s="180"/>
      <c r="H221" s="180"/>
      <c r="I221" s="180"/>
      <c r="J221" s="180"/>
      <c r="K221" s="180"/>
      <c r="L221" s="180"/>
      <c r="M221" s="180"/>
      <c r="N221" s="180"/>
      <c r="O221" s="180"/>
      <c r="P221" s="180"/>
      <c r="Q221" s="180"/>
      <c r="R221" s="180"/>
      <c r="S221" s="180"/>
      <c r="T221" s="180"/>
      <c r="U221" s="180"/>
      <c r="V221" s="180"/>
    </row>
    <row r="222" spans="1:22">
      <c r="A222" s="165">
        <v>188</v>
      </c>
      <c r="B222" s="162" t="s">
        <v>311</v>
      </c>
      <c r="C222" s="163" t="s">
        <v>21</v>
      </c>
      <c r="D222" s="75">
        <v>2162956105.3499999</v>
      </c>
      <c r="E222" s="27">
        <f>(D222/$D$199)</f>
        <v>0.26482120042178264</v>
      </c>
      <c r="F222" s="74">
        <v>93.911000000000001</v>
      </c>
      <c r="G222" s="74">
        <v>96.742500000000007</v>
      </c>
      <c r="H222" s="31">
        <v>2501</v>
      </c>
      <c r="I222" s="48">
        <v>0.63019999999999998</v>
      </c>
      <c r="J222" s="48">
        <v>0.52900000000000003</v>
      </c>
      <c r="K222" s="75">
        <v>2262674319.1599998</v>
      </c>
      <c r="L222" s="51">
        <f>(K222/$K$199)</f>
        <v>0.28010934657040398</v>
      </c>
      <c r="M222" s="74">
        <v>94.847399999999993</v>
      </c>
      <c r="N222" s="74">
        <v>97.707099999999997</v>
      </c>
      <c r="O222" s="31">
        <v>2549</v>
      </c>
      <c r="P222" s="48">
        <v>0.51990000000000003</v>
      </c>
      <c r="Q222" s="48">
        <v>0.53390000000000004</v>
      </c>
      <c r="R222" s="54">
        <f>((K222-D222)/D222)</f>
        <v>4.6102745017964193E-2</v>
      </c>
      <c r="S222" s="54">
        <f t="shared" ref="S222" si="148">((N222-G222)/G222)</f>
        <v>9.9707987699303828E-3</v>
      </c>
      <c r="T222" s="54">
        <f t="shared" ref="T222" si="149">((O222-H222)/H222)</f>
        <v>1.9192323070771691E-2</v>
      </c>
      <c r="U222" s="54">
        <f t="shared" ref="U222" si="150">P222-I222</f>
        <v>-0.11029999999999995</v>
      </c>
      <c r="V222" s="55">
        <f t="shared" ref="V222" si="151">Q222-J222</f>
        <v>4.9000000000000155E-3</v>
      </c>
    </row>
    <row r="223" spans="1:22">
      <c r="A223" s="166">
        <v>189</v>
      </c>
      <c r="B223" s="162" t="s">
        <v>243</v>
      </c>
      <c r="C223" s="163" t="s">
        <v>226</v>
      </c>
      <c r="D223" s="26">
        <v>260733095.78999999</v>
      </c>
      <c r="E223" s="27">
        <f t="shared" ref="E223" si="152">(D223/$D$225)</f>
        <v>3.936065522220574E-3</v>
      </c>
      <c r="F223" s="32">
        <v>1193.6600000000001</v>
      </c>
      <c r="G223" s="32">
        <v>1193.6600000000001</v>
      </c>
      <c r="H223" s="29">
        <v>145</v>
      </c>
      <c r="I223" s="47">
        <v>1.0699999999999999E-2</v>
      </c>
      <c r="J223" s="47">
        <v>8.1600000000000006E-2</v>
      </c>
      <c r="K223" s="26">
        <v>264020183.44</v>
      </c>
      <c r="L223" s="27">
        <f t="shared" ref="L223" si="153">(K223/$K$225)</f>
        <v>3.9411391272503992E-3</v>
      </c>
      <c r="M223" s="32">
        <v>1208.71</v>
      </c>
      <c r="N223" s="32">
        <v>1208.71</v>
      </c>
      <c r="O223" s="29">
        <v>153</v>
      </c>
      <c r="P223" s="47">
        <v>1.3599999999999999E-2</v>
      </c>
      <c r="Q223" s="47">
        <v>9.4500000000000001E-2</v>
      </c>
      <c r="R223" s="54">
        <f t="shared" ref="R223" si="154">((K223-D223)/D223)</f>
        <v>1.2607097844791812E-2</v>
      </c>
      <c r="S223" s="54">
        <f t="shared" ref="S223" si="155">((N223-G223)/G223)</f>
        <v>1.2608280414858463E-2</v>
      </c>
      <c r="T223" s="54">
        <f t="shared" ref="T223" si="156">((O223-H223)/H223)</f>
        <v>5.5172413793103448E-2</v>
      </c>
      <c r="U223" s="54">
        <f t="shared" ref="U223" si="157">P223-I223</f>
        <v>2.8999999999999998E-3</v>
      </c>
      <c r="V223" s="55">
        <f t="shared" ref="V223" si="158">Q223-J223</f>
        <v>1.2899999999999995E-2</v>
      </c>
    </row>
    <row r="224" spans="1:22">
      <c r="A224" s="166">
        <v>190</v>
      </c>
      <c r="B224" s="162" t="s">
        <v>288</v>
      </c>
      <c r="C224" s="163" t="s">
        <v>289</v>
      </c>
      <c r="D224" s="26">
        <v>102387716.31999999</v>
      </c>
      <c r="E224" s="27">
        <f t="shared" ref="E224" si="159">(D224/$D$225)</f>
        <v>1.5456601659447229E-3</v>
      </c>
      <c r="F224" s="32">
        <v>108.37</v>
      </c>
      <c r="G224" s="32">
        <v>110.6</v>
      </c>
      <c r="H224" s="29">
        <v>263</v>
      </c>
      <c r="I224" s="47">
        <v>4.0000000000000002E-4</v>
      </c>
      <c r="J224" s="47">
        <v>4.82E-2</v>
      </c>
      <c r="K224" s="26">
        <v>105242138.95999999</v>
      </c>
      <c r="L224" s="27">
        <f t="shared" ref="L224" si="160">(K224/$K$225)</f>
        <v>1.5709931956207402E-3</v>
      </c>
      <c r="M224" s="32">
        <v>108.71</v>
      </c>
      <c r="N224" s="32">
        <v>110.95</v>
      </c>
      <c r="O224" s="29">
        <v>286</v>
      </c>
      <c r="P224" s="47">
        <v>4.0000000000000002E-4</v>
      </c>
      <c r="Q224" s="47">
        <v>4.82E-2</v>
      </c>
      <c r="R224" s="54">
        <f t="shared" ref="R224" si="161">((K224-D224)/D224)</f>
        <v>2.7878565345464488E-2</v>
      </c>
      <c r="S224" s="54">
        <f t="shared" ref="S224" si="162">((N224-G224)/G224)</f>
        <v>3.1645569620253936E-3</v>
      </c>
      <c r="T224" s="54">
        <f t="shared" ref="T224" si="163">((O224-H224)/H224)</f>
        <v>8.7452471482889732E-2</v>
      </c>
      <c r="U224" s="54">
        <f t="shared" ref="U224" si="164">P224-I224</f>
        <v>0</v>
      </c>
      <c r="V224" s="55">
        <f t="shared" ref="V224" si="165">Q224-J224</f>
        <v>0</v>
      </c>
    </row>
    <row r="225" spans="1:22">
      <c r="A225" s="33"/>
      <c r="B225" s="34"/>
      <c r="C225" s="68" t="s">
        <v>51</v>
      </c>
      <c r="D225" s="45">
        <f>SUM(D203:D224)</f>
        <v>66242061855.440002</v>
      </c>
      <c r="E225" s="37">
        <f>(D225/$D$226)</f>
        <v>1.0004587671299957E-2</v>
      </c>
      <c r="F225" s="38"/>
      <c r="G225" s="71"/>
      <c r="H225" s="81">
        <f>SUM(H203:H224)</f>
        <v>36980</v>
      </c>
      <c r="I225" s="78"/>
      <c r="J225" s="78"/>
      <c r="K225" s="45">
        <f>SUM(K203:K224)</f>
        <v>66990830548.07</v>
      </c>
      <c r="L225" s="37">
        <f>(K225/$K$226)</f>
        <v>1.0007911514500976E-2</v>
      </c>
      <c r="M225" s="38"/>
      <c r="N225" s="71"/>
      <c r="O225" s="40">
        <f>SUM(O203:O224)</f>
        <v>37240</v>
      </c>
      <c r="P225" s="78"/>
      <c r="Q225" s="78"/>
      <c r="R225" s="54">
        <f t="shared" si="137"/>
        <v>1.1303523345393966E-2</v>
      </c>
      <c r="S225" s="54" t="e">
        <f t="shared" si="138"/>
        <v>#DIV/0!</v>
      </c>
      <c r="T225" s="54">
        <f t="shared" si="139"/>
        <v>7.0308274743104381E-3</v>
      </c>
      <c r="U225" s="54">
        <f t="shared" si="140"/>
        <v>0</v>
      </c>
      <c r="V225" s="55">
        <f t="shared" si="141"/>
        <v>0</v>
      </c>
    </row>
    <row r="226" spans="1:22">
      <c r="A226" s="82"/>
      <c r="B226" s="82"/>
      <c r="C226" s="83" t="s">
        <v>244</v>
      </c>
      <c r="D226" s="84">
        <f>SUM(D25,D70,D112,D154,D163,D194,D199,D225)</f>
        <v>6621168611023.1035</v>
      </c>
      <c r="E226" s="85"/>
      <c r="F226" s="85"/>
      <c r="G226" s="86"/>
      <c r="H226" s="84">
        <f>SUM(H25,H70,H112,H154,H163,H194,H199,H225)</f>
        <v>982907</v>
      </c>
      <c r="I226" s="108"/>
      <c r="J226" s="108"/>
      <c r="K226" s="84">
        <f>SUM(K25,K70,K112,K154,K163,K194,K199,K225)</f>
        <v>6693787255313.3135</v>
      </c>
      <c r="L226" s="85"/>
      <c r="M226" s="85"/>
      <c r="N226" s="86"/>
      <c r="O226" s="84">
        <f>SUM(O25,O70,O112,O154,O163,O194,O199,O225)</f>
        <v>988476</v>
      </c>
      <c r="P226" s="109"/>
      <c r="Q226" s="84"/>
      <c r="R226" s="115">
        <f t="shared" si="137"/>
        <v>1.0967647639921516E-2</v>
      </c>
      <c r="S226" s="115"/>
      <c r="T226" s="115"/>
      <c r="U226" s="115"/>
      <c r="V226" s="115"/>
    </row>
    <row r="227" spans="1:22" ht="6.75" customHeight="1">
      <c r="A227" s="33"/>
      <c r="B227" s="176"/>
      <c r="C227" s="176"/>
      <c r="D227" s="176"/>
      <c r="E227" s="176"/>
      <c r="F227" s="176"/>
      <c r="G227" s="176"/>
      <c r="H227" s="176"/>
      <c r="I227" s="176"/>
      <c r="J227" s="176"/>
      <c r="K227" s="176"/>
      <c r="L227" s="176"/>
      <c r="M227" s="176"/>
      <c r="N227" s="176"/>
      <c r="O227" s="176"/>
      <c r="P227" s="176"/>
      <c r="Q227" s="176"/>
      <c r="R227" s="176"/>
      <c r="S227" s="176"/>
      <c r="T227" s="176"/>
      <c r="U227" s="176"/>
      <c r="V227" s="34"/>
    </row>
    <row r="228" spans="1:22" ht="14.4" customHeight="1">
      <c r="A228" s="179" t="s">
        <v>245</v>
      </c>
      <c r="B228" s="179"/>
      <c r="C228" s="179"/>
      <c r="D228" s="179"/>
      <c r="E228" s="179"/>
      <c r="F228" s="179"/>
      <c r="G228" s="179"/>
      <c r="H228" s="179"/>
      <c r="I228" s="179"/>
      <c r="J228" s="179"/>
      <c r="K228" s="179"/>
      <c r="L228" s="179"/>
      <c r="M228" s="179"/>
      <c r="N228" s="179"/>
      <c r="O228" s="179"/>
      <c r="P228" s="179"/>
      <c r="Q228" s="179"/>
      <c r="R228" s="179"/>
      <c r="S228" s="179"/>
      <c r="T228" s="179"/>
      <c r="U228" s="179"/>
      <c r="V228" s="179"/>
    </row>
    <row r="229" spans="1:22" ht="14.4" customHeight="1">
      <c r="A229" s="165">
        <v>1</v>
      </c>
      <c r="B229" s="162" t="s">
        <v>310</v>
      </c>
      <c r="C229" s="163" t="s">
        <v>21</v>
      </c>
      <c r="D229" s="26">
        <v>1831652400.7807949</v>
      </c>
      <c r="E229" s="27">
        <f t="shared" ref="E229:E232" si="166">(D229/$D$225)</f>
        <v>2.7650896567471109E-2</v>
      </c>
      <c r="F229" s="32">
        <v>1528.6762337099999</v>
      </c>
      <c r="G229" s="32">
        <v>1528.6762337099999</v>
      </c>
      <c r="H229" s="29">
        <v>48</v>
      </c>
      <c r="I229" s="47">
        <v>5.6399999999999999E-2</v>
      </c>
      <c r="J229" s="47">
        <v>4.4299999999999999E-2</v>
      </c>
      <c r="K229" s="26">
        <f>1216160.69*W135</f>
        <v>1809520869.2403779</v>
      </c>
      <c r="L229" s="27">
        <f>(K229/$K$234)</f>
        <v>9.8079543756375995E-2</v>
      </c>
      <c r="M229" s="32">
        <f>1.0192*W135</f>
        <v>1516.4638070400001</v>
      </c>
      <c r="N229" s="32">
        <f>1.0192*W135</f>
        <v>1516.4638070400001</v>
      </c>
      <c r="O229" s="29">
        <v>47</v>
      </c>
      <c r="P229" s="47">
        <v>5.6300000000000003E-2</v>
      </c>
      <c r="Q229" s="47">
        <v>4.4900000000000002E-2</v>
      </c>
      <c r="R229" s="54">
        <f t="shared" ref="R229" si="167">((K229-D229)/D229)</f>
        <v>-1.2082822882214305E-2</v>
      </c>
      <c r="S229" s="54">
        <f t="shared" ref="S229" si="168">((N229-G229)/G229)</f>
        <v>-7.9888902572659241E-3</v>
      </c>
      <c r="T229" s="54">
        <f t="shared" ref="T229" si="169">((O229-H229)/H229)</f>
        <v>-2.0833333333333332E-2</v>
      </c>
      <c r="U229" s="54">
        <f t="shared" ref="U229" si="170">P229-I229</f>
        <v>-9.9999999999995925E-5</v>
      </c>
      <c r="V229" s="55">
        <f t="shared" ref="V229" si="171">Q229-J229</f>
        <v>6.0000000000000331E-4</v>
      </c>
    </row>
    <row r="230" spans="1:22" ht="14.4" customHeight="1">
      <c r="A230" s="165">
        <v>2</v>
      </c>
      <c r="B230" s="162" t="s">
        <v>246</v>
      </c>
      <c r="C230" s="163" t="s">
        <v>184</v>
      </c>
      <c r="D230" s="26">
        <v>4510391555.9499998</v>
      </c>
      <c r="E230" s="27">
        <f t="shared" ref="E230" si="172">(D230/$D$225)</f>
        <v>6.8089540536842338E-2</v>
      </c>
      <c r="F230" s="32">
        <v>123.2</v>
      </c>
      <c r="G230" s="32">
        <v>123.2</v>
      </c>
      <c r="H230" s="29">
        <v>9</v>
      </c>
      <c r="I230" s="47">
        <v>0.27060000000000001</v>
      </c>
      <c r="J230" s="47">
        <v>0.31190000000000001</v>
      </c>
      <c r="K230" s="26">
        <v>4195418998.5229101</v>
      </c>
      <c r="L230" s="27">
        <f>(K230/$K$234)</f>
        <v>0.2273998538710951</v>
      </c>
      <c r="M230" s="32">
        <v>123.2</v>
      </c>
      <c r="N230" s="32">
        <v>123.2</v>
      </c>
      <c r="O230" s="29">
        <v>9</v>
      </c>
      <c r="P230" s="47">
        <v>0.26640000000000003</v>
      </c>
      <c r="Q230" s="47">
        <v>0.31180000000000002</v>
      </c>
      <c r="R230" s="54">
        <f t="shared" ref="R230" si="173">((K230-D230)/D230)</f>
        <v>-6.983264169417519E-2</v>
      </c>
      <c r="S230" s="54">
        <f t="shared" ref="S230" si="174">((N230-G230)/G230)</f>
        <v>0</v>
      </c>
      <c r="T230" s="54">
        <f t="shared" ref="T230" si="175">((O230-H230)/H230)</f>
        <v>0</v>
      </c>
      <c r="U230" s="54">
        <f t="shared" ref="U230" si="176">P230-I230</f>
        <v>-4.1999999999999815E-3</v>
      </c>
      <c r="V230" s="55">
        <f t="shared" ref="V230" si="177">Q230-J230</f>
        <v>-9.9999999999988987E-5</v>
      </c>
    </row>
    <row r="231" spans="1:22" ht="14.4" customHeight="1">
      <c r="A231" s="165">
        <v>3</v>
      </c>
      <c r="B231" s="162" t="s">
        <v>308</v>
      </c>
      <c r="C231" s="163" t="s">
        <v>29</v>
      </c>
      <c r="D231" s="26">
        <v>594962150.86979997</v>
      </c>
      <c r="E231" s="27">
        <f t="shared" si="166"/>
        <v>8.981636957016606E-3</v>
      </c>
      <c r="F231" s="32">
        <v>160363.0992</v>
      </c>
      <c r="G231" s="32">
        <v>160363.0992</v>
      </c>
      <c r="H231" s="29">
        <v>5</v>
      </c>
      <c r="I231" s="47">
        <v>4.5999999999999999E-3</v>
      </c>
      <c r="J231" s="47">
        <v>6.6400000000000001E-2</v>
      </c>
      <c r="K231" s="26">
        <f>395885.31*1492.81</f>
        <v>590981549.62109995</v>
      </c>
      <c r="L231" s="27">
        <f>(K231/$K$234)</f>
        <v>3.2032347203382099E-2</v>
      </c>
      <c r="M231" s="32">
        <f>106.71*1492.81</f>
        <v>159297.75509999998</v>
      </c>
      <c r="N231" s="32">
        <f>106.71*1492.81</f>
        <v>159297.75509999998</v>
      </c>
      <c r="O231" s="29">
        <v>5</v>
      </c>
      <c r="P231" s="47">
        <v>6.9999999999999999E-4</v>
      </c>
      <c r="Q231" s="47">
        <v>6.7100000000000007E-2</v>
      </c>
      <c r="R231" s="54">
        <f t="shared" ref="R231:R232" si="178">((K231-D231)/D231)</f>
        <v>-6.6905117289908543E-3</v>
      </c>
      <c r="S231" s="54">
        <f t="shared" ref="S231:S232" si="179">((N231-G231)/G231)</f>
        <v>-6.6433244637617772E-3</v>
      </c>
      <c r="T231" s="54">
        <f t="shared" ref="T231:T232" si="180">((O231-H231)/H231)</f>
        <v>0</v>
      </c>
      <c r="U231" s="54">
        <f t="shared" ref="U231:U232" si="181">P231-I231</f>
        <v>-3.8999999999999998E-3</v>
      </c>
      <c r="V231" s="55">
        <f t="shared" ref="V231:V232" si="182">Q231-J231</f>
        <v>7.0000000000000617E-4</v>
      </c>
    </row>
    <row r="232" spans="1:22" ht="14.4" customHeight="1">
      <c r="A232" s="165">
        <v>4</v>
      </c>
      <c r="B232" s="162" t="s">
        <v>295</v>
      </c>
      <c r="C232" s="163" t="s">
        <v>39</v>
      </c>
      <c r="D232" s="26">
        <v>11639690748.07</v>
      </c>
      <c r="E232" s="27">
        <f t="shared" si="166"/>
        <v>0.17571449954971644</v>
      </c>
      <c r="F232" s="32">
        <v>1.21</v>
      </c>
      <c r="G232" s="32">
        <v>1.21</v>
      </c>
      <c r="H232" s="29">
        <v>16</v>
      </c>
      <c r="I232" s="47">
        <v>4.1999999999999997E-3</v>
      </c>
      <c r="J232" s="47">
        <v>0.22770000000000001</v>
      </c>
      <c r="K232" s="26">
        <v>11722078474.049999</v>
      </c>
      <c r="L232" s="27">
        <f>(K232/$K$234)</f>
        <v>0.63535940820284265</v>
      </c>
      <c r="M232" s="32">
        <v>1.21</v>
      </c>
      <c r="N232" s="32">
        <v>1.21</v>
      </c>
      <c r="O232" s="29">
        <v>16</v>
      </c>
      <c r="P232" s="47">
        <v>6.4999999999999997E-3</v>
      </c>
      <c r="Q232" s="47">
        <v>0.23219999999999999</v>
      </c>
      <c r="R232" s="54">
        <f t="shared" si="178"/>
        <v>7.0781713847217478E-3</v>
      </c>
      <c r="S232" s="54">
        <f t="shared" si="179"/>
        <v>0</v>
      </c>
      <c r="T232" s="54">
        <f t="shared" si="180"/>
        <v>0</v>
      </c>
      <c r="U232" s="54">
        <f t="shared" si="181"/>
        <v>2.3E-3</v>
      </c>
      <c r="V232" s="55">
        <f t="shared" si="182"/>
        <v>4.4999999999999762E-3</v>
      </c>
    </row>
    <row r="233" spans="1:22" ht="14.4" customHeight="1">
      <c r="A233" s="165">
        <v>5</v>
      </c>
      <c r="B233" s="162" t="s">
        <v>313</v>
      </c>
      <c r="C233" s="163" t="s">
        <v>50</v>
      </c>
      <c r="D233" s="26">
        <v>131499429.77</v>
      </c>
      <c r="E233" s="27">
        <f t="shared" ref="E233" si="183">(D233/$D$225)</f>
        <v>1.9851349140817972E-3</v>
      </c>
      <c r="F233" s="32">
        <v>1.0778000000000001</v>
      </c>
      <c r="G233" s="32">
        <v>1.0778000000000001</v>
      </c>
      <c r="H233" s="29">
        <v>15</v>
      </c>
      <c r="I233" s="47">
        <v>1.72E-2</v>
      </c>
      <c r="J233" s="47">
        <v>7.7799999999999994E-2</v>
      </c>
      <c r="K233" s="26">
        <v>131523831.22</v>
      </c>
      <c r="L233" s="27">
        <f>(K233/$K$234)</f>
        <v>7.1288469663040857E-3</v>
      </c>
      <c r="M233" s="32">
        <v>1.0778000000000001</v>
      </c>
      <c r="N233" s="32">
        <v>1.0778000000000001</v>
      </c>
      <c r="O233" s="29">
        <v>15</v>
      </c>
      <c r="P233" s="47">
        <v>1E-4</v>
      </c>
      <c r="Q233" s="47">
        <v>7.85E-2</v>
      </c>
      <c r="R233" s="54">
        <f t="shared" ref="R233:R234" si="184">((K233-D233)/D233)</f>
        <v>1.8556316208125396E-4</v>
      </c>
      <c r="S233" s="54">
        <f t="shared" ref="S233" si="185">((N233-G233)/G233)</f>
        <v>0</v>
      </c>
      <c r="T233" s="54">
        <f t="shared" ref="T233" si="186">((O233-H233)/H233)</f>
        <v>0</v>
      </c>
      <c r="U233" s="54">
        <f t="shared" ref="U233" si="187">P233-I233</f>
        <v>-1.7100000000000001E-2</v>
      </c>
      <c r="V233" s="55">
        <f t="shared" ref="V233" si="188">Q233-J233</f>
        <v>7.0000000000000617E-4</v>
      </c>
    </row>
    <row r="234" spans="1:22" ht="14.4" customHeight="1">
      <c r="A234" s="87"/>
      <c r="B234" s="87"/>
      <c r="C234" s="87" t="s">
        <v>51</v>
      </c>
      <c r="D234" s="87">
        <f>SUM(D229:D233)</f>
        <v>18708196285.440594</v>
      </c>
      <c r="E234" s="87"/>
      <c r="F234" s="87"/>
      <c r="G234" s="87"/>
      <c r="H234" s="87">
        <f>SUM(H229:H233)</f>
        <v>93</v>
      </c>
      <c r="I234" s="87"/>
      <c r="J234" s="87"/>
      <c r="K234" s="87">
        <f>SUM(K229:K233)</f>
        <v>18449523722.654388</v>
      </c>
      <c r="L234" s="37"/>
      <c r="M234" s="87"/>
      <c r="N234" s="87"/>
      <c r="O234" s="87">
        <f>SUM(O229:O233)</f>
        <v>92</v>
      </c>
      <c r="P234" s="87"/>
      <c r="Q234" s="87"/>
      <c r="R234" s="115">
        <f t="shared" si="184"/>
        <v>-1.3826697071139551E-2</v>
      </c>
      <c r="S234" s="87"/>
      <c r="T234" s="87"/>
      <c r="U234" s="87"/>
      <c r="V234" s="87"/>
    </row>
    <row r="235" spans="1:22" ht="6" customHeight="1">
      <c r="A235" s="33"/>
      <c r="B235" s="129"/>
      <c r="C235" s="68"/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34"/>
    </row>
    <row r="236" spans="1:22" ht="15.6">
      <c r="A236" s="179" t="s">
        <v>247</v>
      </c>
      <c r="B236" s="179"/>
      <c r="C236" s="179"/>
      <c r="D236" s="179"/>
      <c r="E236" s="179"/>
      <c r="F236" s="179"/>
      <c r="G236" s="179"/>
      <c r="H236" s="179"/>
      <c r="I236" s="179"/>
      <c r="J236" s="179"/>
      <c r="K236" s="179"/>
      <c r="L236" s="179"/>
      <c r="M236" s="179"/>
      <c r="N236" s="179"/>
      <c r="O236" s="179"/>
      <c r="P236" s="179"/>
      <c r="Q236" s="179"/>
      <c r="R236" s="179"/>
      <c r="S236" s="179"/>
      <c r="T236" s="179"/>
      <c r="U236" s="179"/>
      <c r="V236" s="179"/>
    </row>
    <row r="237" spans="1:22">
      <c r="A237" s="165">
        <v>1</v>
      </c>
      <c r="B237" s="162" t="s">
        <v>248</v>
      </c>
      <c r="C237" s="163" t="s">
        <v>249</v>
      </c>
      <c r="D237" s="26">
        <v>114390469985</v>
      </c>
      <c r="E237" s="27">
        <f>(D237/$D$239)</f>
        <v>0.88661418565201899</v>
      </c>
      <c r="F237" s="57">
        <v>108.35</v>
      </c>
      <c r="G237" s="57">
        <v>108.35</v>
      </c>
      <c r="H237" s="29">
        <v>0</v>
      </c>
      <c r="I237" s="47">
        <v>0.23899999999999999</v>
      </c>
      <c r="J237" s="47">
        <v>0.23899999999999999</v>
      </c>
      <c r="K237" s="26">
        <v>114390469985</v>
      </c>
      <c r="L237" s="27">
        <f>(K237/$K$239)</f>
        <v>0.88627576608335457</v>
      </c>
      <c r="M237" s="57">
        <v>108.35</v>
      </c>
      <c r="N237" s="57">
        <v>108.35</v>
      </c>
      <c r="O237" s="29">
        <v>0</v>
      </c>
      <c r="P237" s="47">
        <v>0.23899999999999999</v>
      </c>
      <c r="Q237" s="47">
        <v>0.23899999999999999</v>
      </c>
      <c r="R237" s="54">
        <f>((K237-D237)/D237)</f>
        <v>0</v>
      </c>
      <c r="S237" s="54">
        <f>((N237-G237)/G237)</f>
        <v>0</v>
      </c>
      <c r="T237" s="54" t="e">
        <f>((O237-H237)/H237)</f>
        <v>#DIV/0!</v>
      </c>
      <c r="U237" s="54">
        <f>P237-I237</f>
        <v>0</v>
      </c>
      <c r="V237" s="55">
        <f>Q237-J237</f>
        <v>0</v>
      </c>
    </row>
    <row r="238" spans="1:22" ht="14.4" customHeight="1">
      <c r="A238" s="165">
        <v>2</v>
      </c>
      <c r="B238" s="162" t="s">
        <v>250</v>
      </c>
      <c r="C238" s="163" t="s">
        <v>50</v>
      </c>
      <c r="D238" s="26">
        <v>14628974815.42</v>
      </c>
      <c r="E238" s="27">
        <f>(D238/$D$239)</f>
        <v>0.11338581434798096</v>
      </c>
      <c r="F238" s="88">
        <v>1000000</v>
      </c>
      <c r="G238" s="88">
        <v>1000000</v>
      </c>
      <c r="H238" s="29">
        <v>26</v>
      </c>
      <c r="I238" s="47">
        <v>0.21790000000000001</v>
      </c>
      <c r="J238" s="47">
        <v>0.21790000000000001</v>
      </c>
      <c r="K238" s="26">
        <v>14678240186.91</v>
      </c>
      <c r="L238" s="27">
        <f>(K238/$K$239)</f>
        <v>0.11372423391664538</v>
      </c>
      <c r="M238" s="88">
        <v>1000000</v>
      </c>
      <c r="N238" s="88">
        <v>1000000</v>
      </c>
      <c r="O238" s="29">
        <v>26</v>
      </c>
      <c r="P238" s="47">
        <v>0.2175</v>
      </c>
      <c r="Q238" s="47">
        <v>0.2175</v>
      </c>
      <c r="R238" s="54">
        <f>((K238-D238)/D238)</f>
        <v>3.3676571401346934E-3</v>
      </c>
      <c r="S238" s="54">
        <f>((N238-G238)/G238)</f>
        <v>0</v>
      </c>
      <c r="T238" s="54">
        <f>((O238-H238)/H238)</f>
        <v>0</v>
      </c>
      <c r="U238" s="54">
        <f>P238-I238</f>
        <v>-4.0000000000001146E-4</v>
      </c>
      <c r="V238" s="55">
        <f>Q238-J238</f>
        <v>-4.0000000000001146E-4</v>
      </c>
    </row>
    <row r="239" spans="1:22" ht="15" customHeight="1">
      <c r="A239" s="82"/>
      <c r="B239" s="82"/>
      <c r="C239" s="83" t="s">
        <v>251</v>
      </c>
      <c r="D239" s="87">
        <f>SUM(D237:D238)</f>
        <v>129019444800.42</v>
      </c>
      <c r="E239" s="89"/>
      <c r="F239" s="90"/>
      <c r="G239" s="90"/>
      <c r="H239" s="87">
        <f>SUM(H237:H238)</f>
        <v>26</v>
      </c>
      <c r="I239" s="110"/>
      <c r="J239" s="110"/>
      <c r="K239" s="87">
        <f>SUM(K237:K238)</f>
        <v>129068710171.91</v>
      </c>
      <c r="L239" s="89"/>
      <c r="M239" s="90"/>
      <c r="N239" s="90"/>
      <c r="O239" s="87">
        <f>SUM(O237:O238)</f>
        <v>26</v>
      </c>
      <c r="P239" s="110"/>
      <c r="Q239" s="87"/>
      <c r="R239" s="115">
        <f>((K239-D239)/D239)</f>
        <v>3.8184454727900922E-4</v>
      </c>
      <c r="S239" s="116"/>
      <c r="T239" s="116"/>
      <c r="U239" s="115"/>
      <c r="V239" s="117"/>
    </row>
    <row r="240" spans="1:22" ht="4.5" customHeight="1">
      <c r="A240" s="33"/>
      <c r="B240" s="181"/>
      <c r="C240" s="181"/>
      <c r="D240" s="181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  <c r="R240" s="181"/>
      <c r="S240" s="181"/>
      <c r="T240" s="181"/>
      <c r="U240" s="181"/>
      <c r="V240" s="181"/>
    </row>
    <row r="241" spans="1:26" ht="15.6">
      <c r="A241" s="179" t="s">
        <v>252</v>
      </c>
      <c r="B241" s="179"/>
      <c r="C241" s="179"/>
      <c r="D241" s="179"/>
      <c r="E241" s="179"/>
      <c r="F241" s="179"/>
      <c r="G241" s="179"/>
      <c r="H241" s="179"/>
      <c r="I241" s="179"/>
      <c r="J241" s="179"/>
      <c r="K241" s="179"/>
      <c r="L241" s="179"/>
      <c r="M241" s="179"/>
      <c r="N241" s="179"/>
      <c r="O241" s="179"/>
      <c r="P241" s="179"/>
      <c r="Q241" s="179"/>
      <c r="R241" s="179"/>
      <c r="S241" s="179"/>
      <c r="T241" s="179"/>
      <c r="U241" s="179"/>
      <c r="V241" s="179"/>
    </row>
    <row r="242" spans="1:26">
      <c r="A242" s="165">
        <v>1</v>
      </c>
      <c r="B242" s="162" t="s">
        <v>253</v>
      </c>
      <c r="C242" s="163" t="s">
        <v>78</v>
      </c>
      <c r="D242" s="91">
        <v>1378007636.79</v>
      </c>
      <c r="E242" s="92">
        <f t="shared" ref="E242:E253" si="189">(D242/$D$254)</f>
        <v>8.1429743557262749E-2</v>
      </c>
      <c r="F242" s="88">
        <v>324.92</v>
      </c>
      <c r="G242" s="88">
        <v>324.92</v>
      </c>
      <c r="H242" s="93">
        <v>266</v>
      </c>
      <c r="I242" s="49">
        <v>4.5999999999999999E-3</v>
      </c>
      <c r="J242" s="49">
        <v>0.33260000000000001</v>
      </c>
      <c r="K242" s="91">
        <v>1349998483.6800001</v>
      </c>
      <c r="L242" s="92">
        <f t="shared" ref="L242:L253" si="190">(K242/$K$254)</f>
        <v>7.9723130426460953E-2</v>
      </c>
      <c r="M242" s="88">
        <v>329.86191566000002</v>
      </c>
      <c r="N242" s="88">
        <v>329.86191566000002</v>
      </c>
      <c r="O242" s="93">
        <v>266</v>
      </c>
      <c r="P242" s="49">
        <v>1.5299999999999999E-2</v>
      </c>
      <c r="Q242" s="49">
        <v>0.3528</v>
      </c>
      <c r="R242" s="54">
        <f>((K242-D242)/D242)</f>
        <v>-2.0325833008622375E-2</v>
      </c>
      <c r="S242" s="54">
        <f>((N242-G242)/G242)</f>
        <v>1.520963824941526E-2</v>
      </c>
      <c r="T242" s="54">
        <f>((O242-H242)/H242)</f>
        <v>0</v>
      </c>
      <c r="U242" s="54">
        <f>P242-I242</f>
        <v>1.0699999999999999E-2</v>
      </c>
      <c r="V242" s="55">
        <f>Q242-J242</f>
        <v>2.0199999999999996E-2</v>
      </c>
    </row>
    <row r="243" spans="1:26">
      <c r="A243" s="165">
        <v>2</v>
      </c>
      <c r="B243" s="162" t="s">
        <v>254</v>
      </c>
      <c r="C243" s="163" t="s">
        <v>226</v>
      </c>
      <c r="D243" s="91">
        <v>1790713239.3800001</v>
      </c>
      <c r="E243" s="92">
        <f t="shared" si="189"/>
        <v>0.1058174976497103</v>
      </c>
      <c r="F243" s="88">
        <v>50.93</v>
      </c>
      <c r="G243" s="88">
        <v>56.29</v>
      </c>
      <c r="H243" s="93">
        <v>238</v>
      </c>
      <c r="I243" s="49">
        <v>2.4299999999999999E-2</v>
      </c>
      <c r="J243" s="49">
        <v>0.66139999999999999</v>
      </c>
      <c r="K243" s="91">
        <v>1822575626.6800001</v>
      </c>
      <c r="L243" s="92">
        <f t="shared" si="190"/>
        <v>0.10763081303752065</v>
      </c>
      <c r="M243" s="88">
        <v>51.84</v>
      </c>
      <c r="N243" s="88">
        <v>57.3</v>
      </c>
      <c r="O243" s="93">
        <v>304</v>
      </c>
      <c r="P243" s="49">
        <v>1.78E-2</v>
      </c>
      <c r="Q243" s="49">
        <v>0.69099999999999995</v>
      </c>
      <c r="R243" s="54">
        <f t="shared" ref="R243:R254" si="191">((K243-D243)/D243)</f>
        <v>1.7793126559466153E-2</v>
      </c>
      <c r="S243" s="54">
        <f t="shared" ref="S243:S254" si="192">((N243-G243)/G243)</f>
        <v>1.794279623378927E-2</v>
      </c>
      <c r="T243" s="54">
        <f t="shared" ref="T243:T254" si="193">((O243-H243)/H243)</f>
        <v>0.27731092436974791</v>
      </c>
      <c r="U243" s="54">
        <f t="shared" ref="U243:U254" si="194">P243-I243</f>
        <v>-6.4999999999999988E-3</v>
      </c>
      <c r="V243" s="55">
        <f t="shared" ref="V243:V254" si="195">Q243-J243</f>
        <v>2.959999999999996E-2</v>
      </c>
    </row>
    <row r="244" spans="1:26">
      <c r="A244" s="165">
        <v>3</v>
      </c>
      <c r="B244" s="162" t="s">
        <v>255</v>
      </c>
      <c r="C244" s="163" t="s">
        <v>41</v>
      </c>
      <c r="D244" s="91">
        <v>533005640.08999997</v>
      </c>
      <c r="E244" s="92">
        <f t="shared" si="189"/>
        <v>3.1496568979985748E-2</v>
      </c>
      <c r="F244" s="88">
        <v>39.770000000000003</v>
      </c>
      <c r="G244" s="88">
        <v>40.24</v>
      </c>
      <c r="H244" s="93">
        <v>218</v>
      </c>
      <c r="I244" s="49">
        <v>1.4800000000000001E-2</v>
      </c>
      <c r="J244" s="49">
        <v>0.3906</v>
      </c>
      <c r="K244" s="91">
        <v>528745145.06999999</v>
      </c>
      <c r="L244" s="92">
        <f t="shared" si="190"/>
        <v>3.1224641118015886E-2</v>
      </c>
      <c r="M244" s="88">
        <v>39.450000000000003</v>
      </c>
      <c r="N244" s="88">
        <v>39.94</v>
      </c>
      <c r="O244" s="93">
        <v>218</v>
      </c>
      <c r="P244" s="49">
        <v>-8.0000000000000002E-3</v>
      </c>
      <c r="Q244" s="49">
        <v>0.3795</v>
      </c>
      <c r="R244" s="54">
        <f t="shared" si="191"/>
        <v>-7.9933394687541782E-3</v>
      </c>
      <c r="S244" s="54">
        <f t="shared" si="192"/>
        <v>-7.4552683896621334E-3</v>
      </c>
      <c r="T244" s="54">
        <f t="shared" si="193"/>
        <v>0</v>
      </c>
      <c r="U244" s="54">
        <f t="shared" si="194"/>
        <v>-2.2800000000000001E-2</v>
      </c>
      <c r="V244" s="55">
        <f t="shared" si="195"/>
        <v>-1.1099999999999999E-2</v>
      </c>
    </row>
    <row r="245" spans="1:26">
      <c r="A245" s="165">
        <v>4</v>
      </c>
      <c r="B245" s="162" t="s">
        <v>256</v>
      </c>
      <c r="C245" s="163" t="s">
        <v>41</v>
      </c>
      <c r="D245" s="91">
        <v>1149968538.7</v>
      </c>
      <c r="E245" s="92">
        <f t="shared" si="189"/>
        <v>6.7954371735845176E-2</v>
      </c>
      <c r="F245" s="88">
        <v>86.291906999999995</v>
      </c>
      <c r="G245" s="88">
        <v>86.929458999999994</v>
      </c>
      <c r="H245" s="93">
        <v>261</v>
      </c>
      <c r="I245" s="49">
        <v>3.61E-2</v>
      </c>
      <c r="J245" s="49">
        <v>0.30080000000000001</v>
      </c>
      <c r="K245" s="91">
        <v>1107303871.0599999</v>
      </c>
      <c r="L245" s="92">
        <f t="shared" si="190"/>
        <v>6.5390985250296463E-2</v>
      </c>
      <c r="M245" s="88">
        <v>83.09</v>
      </c>
      <c r="N245" s="88">
        <v>83.75</v>
      </c>
      <c r="O245" s="93">
        <v>261</v>
      </c>
      <c r="P245" s="49">
        <v>-3.7100000000000001E-2</v>
      </c>
      <c r="Q245" s="49">
        <v>0.25259999999999999</v>
      </c>
      <c r="R245" s="54">
        <f t="shared" si="191"/>
        <v>-3.71007259800612E-2</v>
      </c>
      <c r="S245" s="54">
        <f t="shared" si="192"/>
        <v>-3.6575161476617435E-2</v>
      </c>
      <c r="T245" s="54">
        <f t="shared" si="193"/>
        <v>0</v>
      </c>
      <c r="U245" s="54">
        <f t="shared" si="194"/>
        <v>-7.3200000000000001E-2</v>
      </c>
      <c r="V245" s="55">
        <f t="shared" si="195"/>
        <v>-4.8200000000000021E-2</v>
      </c>
    </row>
    <row r="246" spans="1:26">
      <c r="A246" s="165">
        <v>5</v>
      </c>
      <c r="B246" s="162" t="s">
        <v>257</v>
      </c>
      <c r="C246" s="163" t="s">
        <v>258</v>
      </c>
      <c r="D246" s="91">
        <v>1710891330.78</v>
      </c>
      <c r="E246" s="92">
        <f t="shared" si="189"/>
        <v>0.10110063152065864</v>
      </c>
      <c r="F246" s="88">
        <v>49650</v>
      </c>
      <c r="G246" s="88">
        <v>51230</v>
      </c>
      <c r="H246" s="93">
        <v>296</v>
      </c>
      <c r="I246" s="49">
        <v>1E-3</v>
      </c>
      <c r="J246" s="49">
        <v>0.36</v>
      </c>
      <c r="K246" s="91">
        <v>1706443468.1800001</v>
      </c>
      <c r="L246" s="92">
        <f t="shared" si="190"/>
        <v>0.10077271702428355</v>
      </c>
      <c r="M246" s="88">
        <v>50250</v>
      </c>
      <c r="N246" s="88">
        <v>43000</v>
      </c>
      <c r="O246" s="93">
        <v>310</v>
      </c>
      <c r="P246" s="49">
        <v>-3.0000000000000001E-3</v>
      </c>
      <c r="Q246" s="49">
        <v>0.36</v>
      </c>
      <c r="R246" s="54">
        <f t="shared" si="191"/>
        <v>-2.5997341385627995E-3</v>
      </c>
      <c r="S246" s="54">
        <f t="shared" si="192"/>
        <v>-0.16064805777864533</v>
      </c>
      <c r="T246" s="54">
        <f t="shared" si="193"/>
        <v>4.72972972972973E-2</v>
      </c>
      <c r="U246" s="54">
        <f t="shared" si="194"/>
        <v>-4.0000000000000001E-3</v>
      </c>
      <c r="V246" s="55">
        <f t="shared" si="195"/>
        <v>0</v>
      </c>
    </row>
    <row r="247" spans="1:26">
      <c r="A247" s="165">
        <v>6</v>
      </c>
      <c r="B247" s="162" t="s">
        <v>259</v>
      </c>
      <c r="C247" s="163" t="s">
        <v>260</v>
      </c>
      <c r="D247" s="91">
        <v>916128680.92999995</v>
      </c>
      <c r="E247" s="92">
        <f t="shared" si="189"/>
        <v>5.4136219250105568E-2</v>
      </c>
      <c r="F247" s="88">
        <v>586</v>
      </c>
      <c r="G247" s="88">
        <v>586</v>
      </c>
      <c r="H247" s="93">
        <v>149</v>
      </c>
      <c r="I247" s="49">
        <v>1.52E-2</v>
      </c>
      <c r="J247" s="49">
        <v>0.39300000000000002</v>
      </c>
      <c r="K247" s="91">
        <v>913993060.27999997</v>
      </c>
      <c r="L247" s="92">
        <f t="shared" si="190"/>
        <v>5.3975162812741853E-2</v>
      </c>
      <c r="M247" s="88">
        <v>586</v>
      </c>
      <c r="N247" s="88">
        <v>586</v>
      </c>
      <c r="O247" s="93">
        <v>149</v>
      </c>
      <c r="P247" s="49">
        <v>-2.3E-3</v>
      </c>
      <c r="Q247" s="49">
        <v>0.38979999999999998</v>
      </c>
      <c r="R247" s="54">
        <f t="shared" si="191"/>
        <v>-2.3311361105210894E-3</v>
      </c>
      <c r="S247" s="54">
        <f t="shared" si="192"/>
        <v>0</v>
      </c>
      <c r="T247" s="54">
        <f t="shared" si="193"/>
        <v>0</v>
      </c>
      <c r="U247" s="54">
        <f t="shared" si="194"/>
        <v>-1.7500000000000002E-2</v>
      </c>
      <c r="V247" s="55">
        <f t="shared" si="195"/>
        <v>-3.2000000000000361E-3</v>
      </c>
    </row>
    <row r="248" spans="1:26">
      <c r="A248" s="165">
        <v>7</v>
      </c>
      <c r="B248" s="162" t="s">
        <v>261</v>
      </c>
      <c r="C248" s="163" t="s">
        <v>260</v>
      </c>
      <c r="D248" s="91">
        <v>968648554.28999996</v>
      </c>
      <c r="E248" s="92">
        <f t="shared" si="189"/>
        <v>5.723974328378003E-2</v>
      </c>
      <c r="F248" s="88">
        <v>400</v>
      </c>
      <c r="G248" s="88">
        <v>400</v>
      </c>
      <c r="H248" s="93">
        <v>841</v>
      </c>
      <c r="I248" s="49">
        <v>8.6E-3</v>
      </c>
      <c r="J248" s="49">
        <v>0.32819999999999999</v>
      </c>
      <c r="K248" s="91">
        <v>976834216.88</v>
      </c>
      <c r="L248" s="92">
        <f t="shared" si="190"/>
        <v>5.768619936895697E-2</v>
      </c>
      <c r="M248" s="88">
        <v>420</v>
      </c>
      <c r="N248" s="88">
        <v>420</v>
      </c>
      <c r="O248" s="93">
        <v>841</v>
      </c>
      <c r="P248" s="49">
        <v>8.5000000000000006E-3</v>
      </c>
      <c r="Q248" s="49">
        <v>0.33929999999999999</v>
      </c>
      <c r="R248" s="54">
        <f t="shared" si="191"/>
        <v>8.4506011532737586E-3</v>
      </c>
      <c r="S248" s="54">
        <f t="shared" si="192"/>
        <v>0.05</v>
      </c>
      <c r="T248" s="54">
        <f t="shared" si="193"/>
        <v>0</v>
      </c>
      <c r="U248" s="54">
        <f t="shared" si="194"/>
        <v>-9.9999999999999395E-5</v>
      </c>
      <c r="V248" s="55">
        <f t="shared" si="195"/>
        <v>1.1099999999999999E-2</v>
      </c>
    </row>
    <row r="249" spans="1:26">
      <c r="A249" s="165">
        <v>8</v>
      </c>
      <c r="B249" s="162" t="s">
        <v>262</v>
      </c>
      <c r="C249" s="163" t="s">
        <v>263</v>
      </c>
      <c r="D249" s="91">
        <v>113990181.81999999</v>
      </c>
      <c r="E249" s="92">
        <f t="shared" si="189"/>
        <v>6.7359505316463659E-3</v>
      </c>
      <c r="F249" s="88">
        <v>31.79</v>
      </c>
      <c r="G249" s="88">
        <v>31.89</v>
      </c>
      <c r="H249" s="93">
        <v>149</v>
      </c>
      <c r="I249" s="49">
        <v>0</v>
      </c>
      <c r="J249" s="49">
        <v>1.0348999999999999</v>
      </c>
      <c r="K249" s="91">
        <v>120641801.31999999</v>
      </c>
      <c r="L249" s="92">
        <f t="shared" si="190"/>
        <v>7.1244095291868193E-3</v>
      </c>
      <c r="M249" s="88">
        <v>33.53</v>
      </c>
      <c r="N249" s="88">
        <v>33.630000000000003</v>
      </c>
      <c r="O249" s="93">
        <v>147</v>
      </c>
      <c r="P249" s="49">
        <v>5.7000000000000002E-3</v>
      </c>
      <c r="Q249" s="49">
        <v>1.0465</v>
      </c>
      <c r="R249" s="54">
        <f t="shared" si="191"/>
        <v>5.8352565052518839E-2</v>
      </c>
      <c r="S249" s="54">
        <f t="shared" si="192"/>
        <v>5.4562558795860833E-2</v>
      </c>
      <c r="T249" s="54">
        <f t="shared" si="193"/>
        <v>-1.3422818791946308E-2</v>
      </c>
      <c r="U249" s="54">
        <f t="shared" si="194"/>
        <v>5.7000000000000002E-3</v>
      </c>
      <c r="V249" s="55">
        <f t="shared" si="195"/>
        <v>1.1600000000000055E-2</v>
      </c>
    </row>
    <row r="250" spans="1:26">
      <c r="A250" s="165">
        <v>9</v>
      </c>
      <c r="B250" s="162" t="s">
        <v>264</v>
      </c>
      <c r="C250" s="163" t="s">
        <v>263</v>
      </c>
      <c r="D250" s="94">
        <v>955588076.69000006</v>
      </c>
      <c r="E250" s="92">
        <f t="shared" si="189"/>
        <v>5.6467968648204886E-2</v>
      </c>
      <c r="F250" s="88">
        <v>15.26</v>
      </c>
      <c r="G250" s="88">
        <v>15.36</v>
      </c>
      <c r="H250" s="93">
        <v>202</v>
      </c>
      <c r="I250" s="49">
        <v>2.2499999999999999E-2</v>
      </c>
      <c r="J250" s="49">
        <v>0.37709999999999999</v>
      </c>
      <c r="K250" s="94">
        <v>933873974.70000005</v>
      </c>
      <c r="L250" s="92">
        <f t="shared" si="190"/>
        <v>5.5149215044995079E-2</v>
      </c>
      <c r="M250" s="88">
        <v>14.86</v>
      </c>
      <c r="N250" s="88">
        <v>14.96</v>
      </c>
      <c r="O250" s="93">
        <v>210</v>
      </c>
      <c r="P250" s="49">
        <v>-4.0000000000000001E-3</v>
      </c>
      <c r="Q250" s="49">
        <v>0.37159999999999999</v>
      </c>
      <c r="R250" s="54">
        <f t="shared" si="191"/>
        <v>-2.272328686353443E-2</v>
      </c>
      <c r="S250" s="54">
        <f t="shared" si="192"/>
        <v>-2.6041666666666574E-2</v>
      </c>
      <c r="T250" s="54">
        <f t="shared" si="193"/>
        <v>3.9603960396039604E-2</v>
      </c>
      <c r="U250" s="54">
        <f t="shared" si="194"/>
        <v>-2.6499999999999999E-2</v>
      </c>
      <c r="V250" s="55">
        <f t="shared" si="195"/>
        <v>-5.5000000000000049E-3</v>
      </c>
    </row>
    <row r="251" spans="1:26" ht="15" customHeight="1">
      <c r="A251" s="165">
        <v>10</v>
      </c>
      <c r="B251" s="162" t="s">
        <v>265</v>
      </c>
      <c r="C251" s="163" t="s">
        <v>263</v>
      </c>
      <c r="D251" s="91">
        <v>120002344.59999999</v>
      </c>
      <c r="E251" s="92">
        <f t="shared" si="189"/>
        <v>7.0912235071578416E-3</v>
      </c>
      <c r="F251" s="88">
        <v>144.27000000000001</v>
      </c>
      <c r="G251" s="88">
        <v>146.27000000000001</v>
      </c>
      <c r="H251" s="93">
        <v>376</v>
      </c>
      <c r="I251" s="49">
        <v>-0.156</v>
      </c>
      <c r="J251" s="49">
        <v>9.5100000000000004E-2</v>
      </c>
      <c r="K251" s="91">
        <v>119884023.25</v>
      </c>
      <c r="L251" s="92">
        <f t="shared" si="190"/>
        <v>7.0796595234355227E-3</v>
      </c>
      <c r="M251" s="88">
        <v>144.12</v>
      </c>
      <c r="N251" s="88">
        <v>146.12</v>
      </c>
      <c r="O251" s="93">
        <v>380</v>
      </c>
      <c r="P251" s="49">
        <v>-7.3499999999999996E-2</v>
      </c>
      <c r="Q251" s="49">
        <v>1.46E-2</v>
      </c>
      <c r="R251" s="54">
        <f t="shared" si="191"/>
        <v>-9.8599198535987646E-4</v>
      </c>
      <c r="S251" s="54">
        <f t="shared" si="192"/>
        <v>-1.0255007862173082E-3</v>
      </c>
      <c r="T251" s="54">
        <f t="shared" si="193"/>
        <v>1.0638297872340425E-2</v>
      </c>
      <c r="U251" s="54">
        <f t="shared" si="194"/>
        <v>8.2500000000000004E-2</v>
      </c>
      <c r="V251" s="55">
        <f t="shared" si="195"/>
        <v>-8.0500000000000002E-2</v>
      </c>
    </row>
    <row r="252" spans="1:26">
      <c r="A252" s="165">
        <v>11</v>
      </c>
      <c r="B252" s="162" t="s">
        <v>266</v>
      </c>
      <c r="C252" s="163" t="s">
        <v>263</v>
      </c>
      <c r="D252" s="91">
        <v>7199330642.6899996</v>
      </c>
      <c r="E252" s="92">
        <f t="shared" si="189"/>
        <v>0.42542554363762908</v>
      </c>
      <c r="F252" s="88">
        <v>51.44</v>
      </c>
      <c r="G252" s="88">
        <v>51.64</v>
      </c>
      <c r="H252" s="93">
        <v>404</v>
      </c>
      <c r="I252" s="49">
        <v>-1.9599999999999999E-2</v>
      </c>
      <c r="J252" s="49">
        <v>0.32979999999999998</v>
      </c>
      <c r="K252" s="91">
        <v>7266983488.3800001</v>
      </c>
      <c r="L252" s="92">
        <f t="shared" si="190"/>
        <v>0.42914616531405209</v>
      </c>
      <c r="M252" s="88">
        <v>51.91</v>
      </c>
      <c r="N252" s="88">
        <v>52.11</v>
      </c>
      <c r="O252" s="93">
        <v>414</v>
      </c>
      <c r="P252" s="49">
        <v>0</v>
      </c>
      <c r="Q252" s="49">
        <v>0.32979999999999998</v>
      </c>
      <c r="R252" s="54">
        <f t="shared" si="191"/>
        <v>9.397102181810937E-3</v>
      </c>
      <c r="S252" s="54">
        <f t="shared" si="192"/>
        <v>9.1014717273431231E-3</v>
      </c>
      <c r="T252" s="54">
        <f t="shared" si="193"/>
        <v>2.4752475247524754E-2</v>
      </c>
      <c r="U252" s="54">
        <f t="shared" si="194"/>
        <v>1.9599999999999999E-2</v>
      </c>
      <c r="V252" s="55">
        <f t="shared" si="195"/>
        <v>0</v>
      </c>
    </row>
    <row r="253" spans="1:26">
      <c r="A253" s="165">
        <v>12</v>
      </c>
      <c r="B253" s="162" t="s">
        <v>267</v>
      </c>
      <c r="C253" s="163" t="s">
        <v>263</v>
      </c>
      <c r="D253" s="94">
        <v>86382341.671000004</v>
      </c>
      <c r="E253" s="92">
        <f t="shared" si="189"/>
        <v>5.1045376980137407E-3</v>
      </c>
      <c r="F253" s="88">
        <v>49.16</v>
      </c>
      <c r="G253" s="88">
        <v>49.36</v>
      </c>
      <c r="H253" s="93">
        <v>140</v>
      </c>
      <c r="I253" s="49">
        <v>-8.5699999999999998E-2</v>
      </c>
      <c r="J253" s="49">
        <v>7.5300000000000006E-2</v>
      </c>
      <c r="K253" s="94">
        <v>86308820.629999995</v>
      </c>
      <c r="L253" s="92">
        <f t="shared" si="190"/>
        <v>5.0969015500542756E-3</v>
      </c>
      <c r="M253" s="88">
        <v>49.19</v>
      </c>
      <c r="N253" s="88">
        <v>49.39</v>
      </c>
      <c r="O253" s="93">
        <v>138</v>
      </c>
      <c r="P253" s="49">
        <v>8.8900000000000007E-2</v>
      </c>
      <c r="Q253" s="49">
        <v>0.17080000000000001</v>
      </c>
      <c r="R253" s="54">
        <f t="shared" si="191"/>
        <v>-8.5111192377748223E-4</v>
      </c>
      <c r="S253" s="54">
        <f t="shared" si="192"/>
        <v>6.0777957860618187E-4</v>
      </c>
      <c r="T253" s="54">
        <f t="shared" si="193"/>
        <v>-1.4285714285714285E-2</v>
      </c>
      <c r="U253" s="54">
        <f t="shared" si="194"/>
        <v>0.17460000000000001</v>
      </c>
      <c r="V253" s="55">
        <f t="shared" si="195"/>
        <v>9.5500000000000002E-2</v>
      </c>
    </row>
    <row r="254" spans="1:26">
      <c r="A254" s="125"/>
      <c r="B254" s="125"/>
      <c r="C254" s="126" t="s">
        <v>268</v>
      </c>
      <c r="D254" s="87">
        <f>SUM(D242:D253)</f>
        <v>16922657208.430998</v>
      </c>
      <c r="E254" s="89"/>
      <c r="F254" s="89"/>
      <c r="G254" s="90"/>
      <c r="H254" s="87">
        <f>SUM(H242:H253)</f>
        <v>3540</v>
      </c>
      <c r="I254" s="110"/>
      <c r="J254" s="110"/>
      <c r="K254" s="87">
        <f>SUM(K242:K253)</f>
        <v>16933585980.109999</v>
      </c>
      <c r="L254" s="89"/>
      <c r="M254" s="89"/>
      <c r="N254" s="90"/>
      <c r="O254" s="87">
        <f>SUM(O242:O253)</f>
        <v>3638</v>
      </c>
      <c r="P254" s="110"/>
      <c r="Q254" s="110"/>
      <c r="R254" s="54">
        <f t="shared" si="191"/>
        <v>6.4580707062694958E-4</v>
      </c>
      <c r="S254" s="54" t="e">
        <f t="shared" si="192"/>
        <v>#DIV/0!</v>
      </c>
      <c r="T254" s="54">
        <f t="shared" si="193"/>
        <v>2.7683615819209039E-2</v>
      </c>
      <c r="U254" s="54">
        <f t="shared" si="194"/>
        <v>0</v>
      </c>
      <c r="V254" s="55">
        <f t="shared" si="195"/>
        <v>0</v>
      </c>
      <c r="Z254" s="62"/>
    </row>
    <row r="255" spans="1:26">
      <c r="A255" s="95"/>
      <c r="B255" s="95"/>
      <c r="C255" s="96" t="s">
        <v>269</v>
      </c>
      <c r="D255" s="97">
        <f>SUM(D226,D234,D239,D254)</f>
        <v>6785818909317.3945</v>
      </c>
      <c r="E255" s="98"/>
      <c r="F255" s="98"/>
      <c r="G255" s="99"/>
      <c r="H255" s="97">
        <f>SUM(H226,H234,H239,H254)</f>
        <v>986566</v>
      </c>
      <c r="I255" s="111"/>
      <c r="J255" s="111"/>
      <c r="K255" s="97">
        <f>SUM(K226,K234,K239,K254)</f>
        <v>6858239075187.9883</v>
      </c>
      <c r="L255" s="98"/>
      <c r="M255" s="98"/>
      <c r="N255" s="97"/>
      <c r="O255" s="97">
        <f>SUM(O226,O234,O239,O254)</f>
        <v>992232</v>
      </c>
      <c r="P255" s="112"/>
      <c r="Q255" s="97"/>
      <c r="R255" s="118"/>
      <c r="S255" s="119"/>
      <c r="T255" s="119"/>
      <c r="U255" s="120"/>
      <c r="V255" s="120"/>
      <c r="Z255" s="62"/>
    </row>
    <row r="256" spans="1:26">
      <c r="A256" s="100" t="s">
        <v>270</v>
      </c>
      <c r="B256" s="123" t="s">
        <v>327</v>
      </c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</row>
    <row r="257" spans="2:11">
      <c r="B257" s="122"/>
    </row>
    <row r="258" spans="2:11">
      <c r="B258" s="122"/>
      <c r="C258" s="102"/>
      <c r="D258" s="103"/>
      <c r="K258" s="103"/>
    </row>
    <row r="259" spans="2:11" ht="15">
      <c r="B259" s="104"/>
      <c r="C259" s="105"/>
      <c r="D259" s="106"/>
      <c r="F259" s="107"/>
      <c r="G259" s="107"/>
      <c r="I259" s="113"/>
      <c r="J259" s="114"/>
    </row>
    <row r="260" spans="2:11">
      <c r="C260" s="122"/>
    </row>
    <row r="262" spans="2:11">
      <c r="B262" s="102"/>
    </row>
  </sheetData>
  <sheetProtection algorithmName="SHA-512" hashValue="ZwFewyv/LtXNXLgGyc7AvICr88wukJ7RN43AnjlGeoby8KYl2I1F00RQtlXgC/a84IkcUA/Jt7PJCK7TGOb7nA==" saltValue="sitZrdoq2Vx96rEsMnmnXg==" spinCount="100000" sheet="1" objects="1" scenarios="1"/>
  <sortState ref="A150:C177">
    <sortCondition descending="1" ref="A149"/>
  </sortState>
  <mergeCells count="34">
    <mergeCell ref="A228:V228"/>
    <mergeCell ref="A236:V236"/>
    <mergeCell ref="B240:V240"/>
    <mergeCell ref="A241:V241"/>
    <mergeCell ref="B205:V205"/>
    <mergeCell ref="A206:V206"/>
    <mergeCell ref="B220:V220"/>
    <mergeCell ref="A221:V221"/>
    <mergeCell ref="B227:U227"/>
    <mergeCell ref="B195:V195"/>
    <mergeCell ref="A196:V196"/>
    <mergeCell ref="B200:V200"/>
    <mergeCell ref="A201:V201"/>
    <mergeCell ref="A202:V202"/>
    <mergeCell ref="A134:V134"/>
    <mergeCell ref="B155:V155"/>
    <mergeCell ref="A156:V156"/>
    <mergeCell ref="B164:V164"/>
    <mergeCell ref="A165:V165"/>
    <mergeCell ref="A72:V72"/>
    <mergeCell ref="B113:V113"/>
    <mergeCell ref="A114:V114"/>
    <mergeCell ref="A115:V115"/>
    <mergeCell ref="B133:V133"/>
    <mergeCell ref="B4:V4"/>
    <mergeCell ref="A5:V5"/>
    <mergeCell ref="B26:V26"/>
    <mergeCell ref="A27:V27"/>
    <mergeCell ref="B71:V71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97 E97 E77 L49 E49 L34 E34 L139 E139" formula="1"/>
    <ignoredError sqref="S163 S25 S70 S112 S154 S194 S199 S225 S254 T237:T238 R50:T50 R139 R127:T127 R46:T4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zoomScaleNormal="100" workbookViewId="0">
      <selection activeCell="A2" sqref="A2"/>
    </sheetView>
  </sheetViews>
  <sheetFormatPr defaultColWidth="9" defaultRowHeight="14.4"/>
  <cols>
    <col min="1" max="1" width="34" customWidth="1"/>
    <col min="2" max="2" width="17.6640625" customWidth="1"/>
    <col min="3" max="3" width="16.109375" customWidth="1"/>
  </cols>
  <sheetData>
    <row r="1" spans="1:7">
      <c r="A1" s="183"/>
      <c r="B1" s="183"/>
      <c r="C1" s="183"/>
      <c r="D1" s="183"/>
      <c r="E1" s="15"/>
      <c r="F1" s="15"/>
      <c r="G1" s="15"/>
    </row>
    <row r="2" spans="1:7" ht="27.6">
      <c r="A2" s="184" t="s">
        <v>271</v>
      </c>
      <c r="B2" s="185" t="s">
        <v>324</v>
      </c>
      <c r="C2" s="185" t="s">
        <v>328</v>
      </c>
      <c r="D2" s="186"/>
      <c r="E2" s="15"/>
      <c r="F2" s="15"/>
      <c r="G2" s="15"/>
    </row>
    <row r="3" spans="1:7">
      <c r="A3" s="187" t="s">
        <v>15</v>
      </c>
      <c r="B3" s="188">
        <f t="shared" ref="B3:C10" si="0">B13</f>
        <v>69.131472753822507</v>
      </c>
      <c r="C3" s="188">
        <f t="shared" si="0"/>
        <v>67.012799943281706</v>
      </c>
      <c r="D3" s="186"/>
      <c r="E3" s="15"/>
      <c r="F3" s="15"/>
      <c r="G3" s="15"/>
    </row>
    <row r="4" spans="1:7" ht="15.6" customHeight="1">
      <c r="A4" s="184" t="s">
        <v>52</v>
      </c>
      <c r="B4" s="189">
        <f t="shared" si="0"/>
        <v>3840.9173367668377</v>
      </c>
      <c r="C4" s="189">
        <f t="shared" si="0"/>
        <v>3906.2854556151242</v>
      </c>
      <c r="D4" s="186"/>
      <c r="E4" s="15"/>
      <c r="F4" s="15"/>
      <c r="G4" s="15"/>
    </row>
    <row r="5" spans="1:7" ht="16.2" customHeight="1">
      <c r="A5" s="184" t="s">
        <v>272</v>
      </c>
      <c r="B5" s="188">
        <f t="shared" si="0"/>
        <v>230.56550475869139</v>
      </c>
      <c r="C5" s="188">
        <f t="shared" si="0"/>
        <v>231.41626279129923</v>
      </c>
      <c r="D5" s="186"/>
      <c r="E5" s="15"/>
      <c r="F5" s="15"/>
      <c r="G5" s="15"/>
    </row>
    <row r="6" spans="1:7">
      <c r="A6" s="184" t="s">
        <v>152</v>
      </c>
      <c r="B6" s="189">
        <f t="shared" si="0"/>
        <v>1964.8824081374414</v>
      </c>
      <c r="C6" s="189">
        <f t="shared" si="0"/>
        <v>1968.4847175597044</v>
      </c>
      <c r="D6" s="186"/>
      <c r="E6" s="15"/>
      <c r="F6" s="15"/>
      <c r="G6" s="15"/>
    </row>
    <row r="7" spans="1:7">
      <c r="A7" s="184" t="s">
        <v>273</v>
      </c>
      <c r="B7" s="188">
        <f t="shared" si="0"/>
        <v>365.11432843996323</v>
      </c>
      <c r="C7" s="188">
        <f t="shared" si="0"/>
        <v>366.11043500173014</v>
      </c>
      <c r="D7" s="186"/>
      <c r="E7" s="15"/>
      <c r="F7" s="15"/>
      <c r="G7" s="15"/>
    </row>
    <row r="8" spans="1:7">
      <c r="A8" s="184" t="s">
        <v>189</v>
      </c>
      <c r="B8" s="190">
        <f t="shared" si="0"/>
        <v>76.14788898844705</v>
      </c>
      <c r="C8" s="190">
        <f t="shared" si="0"/>
        <v>79.408928723084188</v>
      </c>
      <c r="D8" s="186"/>
      <c r="E8" s="15"/>
      <c r="F8" s="15"/>
      <c r="G8" s="15"/>
    </row>
    <row r="9" spans="1:7">
      <c r="A9" s="184" t="s">
        <v>219</v>
      </c>
      <c r="B9" s="188">
        <f t="shared" si="0"/>
        <v>8.1676093224600006</v>
      </c>
      <c r="C9" s="188">
        <f t="shared" si="0"/>
        <v>8.0778251310199991</v>
      </c>
      <c r="D9" s="186"/>
      <c r="E9" s="15"/>
      <c r="F9" s="15"/>
      <c r="G9" s="15"/>
    </row>
    <row r="10" spans="1:7">
      <c r="A10" s="184" t="s">
        <v>274</v>
      </c>
      <c r="B10" s="188">
        <f t="shared" si="0"/>
        <v>66.242061855439999</v>
      </c>
      <c r="C10" s="188">
        <f t="shared" si="0"/>
        <v>66.990830548069994</v>
      </c>
      <c r="D10" s="186"/>
      <c r="E10" s="15"/>
      <c r="F10" s="15"/>
      <c r="G10" s="15"/>
    </row>
    <row r="11" spans="1:7">
      <c r="A11" s="184"/>
      <c r="B11" s="188"/>
      <c r="C11" s="188"/>
      <c r="D11" s="186"/>
      <c r="E11" s="15"/>
      <c r="F11" s="15"/>
      <c r="G11" s="15"/>
    </row>
    <row r="12" spans="1:7">
      <c r="A12" s="183"/>
      <c r="B12" s="183"/>
      <c r="C12" s="183"/>
      <c r="D12" s="183"/>
      <c r="E12" s="15"/>
      <c r="F12" s="15"/>
      <c r="G12" s="15"/>
    </row>
    <row r="13" spans="1:7">
      <c r="A13" s="191" t="s">
        <v>15</v>
      </c>
      <c r="B13" s="192">
        <f>'Weekly Valuation'!D25/1000000000</f>
        <v>69.131472753822507</v>
      </c>
      <c r="C13" s="193">
        <f>'Weekly Valuation'!K25/1000000000</f>
        <v>67.012799943281706</v>
      </c>
      <c r="D13" s="183"/>
      <c r="E13" s="15"/>
      <c r="F13" s="15"/>
      <c r="G13" s="15"/>
    </row>
    <row r="14" spans="1:7">
      <c r="A14" s="194" t="s">
        <v>52</v>
      </c>
      <c r="B14" s="192">
        <f>'Weekly Valuation'!D70/1000000000</f>
        <v>3840.9173367668377</v>
      </c>
      <c r="C14" s="195">
        <f>'Weekly Valuation'!K70/1000000000</f>
        <v>3906.2854556151242</v>
      </c>
      <c r="D14" s="183"/>
      <c r="E14" s="15"/>
      <c r="F14" s="15"/>
      <c r="G14" s="15"/>
    </row>
    <row r="15" spans="1:7">
      <c r="A15" s="194" t="s">
        <v>272</v>
      </c>
      <c r="B15" s="192">
        <f>'Weekly Valuation'!D112/1000000000</f>
        <v>230.56550475869139</v>
      </c>
      <c r="C15" s="193">
        <f>'Weekly Valuation'!K112/1000000000</f>
        <v>231.41626279129923</v>
      </c>
      <c r="D15" s="183"/>
      <c r="E15" s="15"/>
      <c r="F15" s="15"/>
      <c r="G15" s="15"/>
    </row>
    <row r="16" spans="1:7">
      <c r="A16" s="194" t="s">
        <v>152</v>
      </c>
      <c r="B16" s="192">
        <f>'Weekly Valuation'!D154/1000000000</f>
        <v>1964.8824081374414</v>
      </c>
      <c r="C16" s="195">
        <f>'Weekly Valuation'!K154/1000000000</f>
        <v>1968.4847175597044</v>
      </c>
      <c r="D16" s="183"/>
      <c r="E16" s="15"/>
      <c r="F16" s="15"/>
      <c r="G16" s="15"/>
    </row>
    <row r="17" spans="1:7">
      <c r="A17" s="194" t="s">
        <v>273</v>
      </c>
      <c r="B17" s="192">
        <f>'Weekly Valuation'!D163/1000000000</f>
        <v>365.11432843996323</v>
      </c>
      <c r="C17" s="193">
        <f>'Weekly Valuation'!K163/1000000000</f>
        <v>366.11043500173014</v>
      </c>
      <c r="D17" s="183"/>
      <c r="E17" s="15"/>
      <c r="F17" s="15"/>
      <c r="G17" s="15"/>
    </row>
    <row r="18" spans="1:7">
      <c r="A18" s="194" t="s">
        <v>189</v>
      </c>
      <c r="B18" s="192">
        <f>'Weekly Valuation'!D194/1000000000</f>
        <v>76.14788898844705</v>
      </c>
      <c r="C18" s="196">
        <f>'Weekly Valuation'!K194/1000000000</f>
        <v>79.408928723084188</v>
      </c>
      <c r="D18" s="183"/>
      <c r="E18" s="15"/>
      <c r="F18" s="15"/>
      <c r="G18" s="15"/>
    </row>
    <row r="19" spans="1:7">
      <c r="A19" s="160" t="s">
        <v>219</v>
      </c>
      <c r="B19" s="158">
        <f>'Weekly Valuation'!D199/1000000000</f>
        <v>8.1676093224600006</v>
      </c>
      <c r="C19" s="159">
        <f>'Weekly Valuation'!K199/1000000000</f>
        <v>8.0778251310199991</v>
      </c>
      <c r="D19" s="139"/>
      <c r="E19" s="15"/>
      <c r="F19" s="15"/>
      <c r="G19" s="15"/>
    </row>
    <row r="20" spans="1:7">
      <c r="A20" s="160" t="s">
        <v>274</v>
      </c>
      <c r="B20" s="158">
        <f>'Weekly Valuation'!D225/1000000000</f>
        <v>66.242061855439999</v>
      </c>
      <c r="C20" s="159">
        <f>'Weekly Valuation'!K225/1000000000</f>
        <v>66.990830548069994</v>
      </c>
      <c r="D20" s="139"/>
      <c r="E20" s="15"/>
      <c r="F20" s="15"/>
      <c r="G20" s="15"/>
    </row>
    <row r="21" spans="1:7">
      <c r="A21" s="137"/>
      <c r="B21" s="139"/>
      <c r="C21" s="156"/>
      <c r="D21" s="139"/>
      <c r="E21" s="15"/>
      <c r="F21" s="15"/>
      <c r="G21" s="15"/>
    </row>
    <row r="22" spans="1:7">
      <c r="A22" s="137"/>
      <c r="B22" s="139"/>
      <c r="C22" s="138"/>
      <c r="D22" s="139"/>
      <c r="E22" s="19"/>
      <c r="F22" s="15"/>
      <c r="G22" s="15"/>
    </row>
    <row r="23" spans="1:7">
      <c r="A23" s="135"/>
      <c r="B23" s="136"/>
      <c r="C23" s="134"/>
      <c r="D23" s="19"/>
      <c r="E23" s="19"/>
      <c r="F23" s="15"/>
      <c r="G23" s="15"/>
    </row>
    <row r="24" spans="1:7">
      <c r="A24" s="135"/>
      <c r="B24" s="136"/>
      <c r="C24" s="136"/>
      <c r="D24" s="19"/>
      <c r="E24" s="15"/>
      <c r="F24" s="15"/>
      <c r="G24" s="15"/>
    </row>
    <row r="25" spans="1:7">
      <c r="A25" s="135"/>
      <c r="B25" s="136"/>
      <c r="C25" s="136"/>
      <c r="D25" s="19"/>
      <c r="E25" s="15"/>
      <c r="F25" s="15"/>
      <c r="G25" s="15"/>
    </row>
    <row r="26" spans="1:7">
      <c r="A26" s="135"/>
      <c r="B26" s="136"/>
      <c r="C26" s="136"/>
      <c r="D26" s="19"/>
      <c r="E26" s="19"/>
      <c r="F26" s="19"/>
      <c r="G26" s="15"/>
    </row>
    <row r="27" spans="1:7">
      <c r="A27" s="135"/>
      <c r="B27" s="136"/>
      <c r="C27" s="136"/>
      <c r="D27" s="19"/>
      <c r="E27" s="19"/>
      <c r="F27" s="19"/>
      <c r="G27" s="15"/>
    </row>
    <row r="28" spans="1:7">
      <c r="A28" s="19"/>
      <c r="B28" s="19"/>
      <c r="C28" s="19"/>
      <c r="D28" s="19"/>
      <c r="E28" s="15"/>
      <c r="F28" s="15"/>
      <c r="G28" s="15"/>
    </row>
    <row r="29" spans="1:7">
      <c r="A29" s="15"/>
      <c r="B29" s="15"/>
      <c r="C29" s="15"/>
      <c r="D29" s="15"/>
      <c r="E29" s="15"/>
      <c r="F29" s="15"/>
      <c r="G29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C12" sqref="C12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54" t="s">
        <v>271</v>
      </c>
      <c r="B1" s="155">
        <v>45919</v>
      </c>
      <c r="C1" s="19"/>
      <c r="D1" s="19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37" t="s">
        <v>219</v>
      </c>
      <c r="B2" s="138">
        <f>'Weekly Valuation'!K199</f>
        <v>8077825131.0199995</v>
      </c>
      <c r="C2" s="19"/>
      <c r="D2" s="19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37" t="s">
        <v>15</v>
      </c>
      <c r="B3" s="138">
        <f>'Weekly Valuation'!K25</f>
        <v>67012799943.281708</v>
      </c>
      <c r="C3" s="19"/>
      <c r="D3" s="19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37" t="s">
        <v>274</v>
      </c>
      <c r="B4" s="134">
        <f>'Weekly Valuation'!K225</f>
        <v>66990830548.07</v>
      </c>
      <c r="C4" s="19"/>
      <c r="D4" s="19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37" t="s">
        <v>189</v>
      </c>
      <c r="B5" s="138">
        <f>'Weekly Valuation'!K194</f>
        <v>79408928723.084183</v>
      </c>
      <c r="C5" s="19"/>
      <c r="D5" s="19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37" t="s">
        <v>273</v>
      </c>
      <c r="B6" s="138">
        <f>'Weekly Valuation'!K163</f>
        <v>366110435001.73016</v>
      </c>
      <c r="C6" s="19"/>
      <c r="D6" s="19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37" t="s">
        <v>272</v>
      </c>
      <c r="B7" s="138">
        <f>'Weekly Valuation'!K112</f>
        <v>231416262791.29922</v>
      </c>
      <c r="C7" s="19"/>
      <c r="D7" s="19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37" t="s">
        <v>152</v>
      </c>
      <c r="B8" s="156">
        <f>'Weekly Valuation'!K154</f>
        <v>1968484717559.7043</v>
      </c>
      <c r="C8" s="19"/>
      <c r="D8" s="19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37" t="s">
        <v>52</v>
      </c>
      <c r="B9" s="156">
        <f>'Weekly Valuation'!K70</f>
        <v>3906285455615.124</v>
      </c>
      <c r="C9" s="19"/>
      <c r="D9" s="19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39"/>
      <c r="B10" s="139"/>
      <c r="C10" s="19"/>
      <c r="D10" s="19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37"/>
      <c r="B11" s="157"/>
      <c r="C11" s="19"/>
      <c r="D11" s="19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37"/>
      <c r="B12" s="19"/>
      <c r="C12" s="19"/>
      <c r="D12" s="19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36"/>
      <c r="B13" s="136"/>
      <c r="C13" s="19"/>
      <c r="D13" s="19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48"/>
      <c r="B14" s="148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146"/>
      <c r="B15" s="14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148"/>
      <c r="B16" s="148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148"/>
      <c r="B17" s="148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131"/>
      <c r="B18" s="148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131"/>
      <c r="B19" s="131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131"/>
      <c r="B20" s="131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133"/>
      <c r="B21" s="131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5"/>
      <c r="B22" s="131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82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20"/>
    </row>
    <row r="33" spans="1:17" ht="15" customHeight="1">
      <c r="A33" s="182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20"/>
    </row>
  </sheetData>
  <sheetProtection algorithmName="SHA-512" hashValue="vEQa6HmH9CLi5xJspyC9/NRfPvknq3Qor6QzfG7EbN3Muj7EKnHfN22So+sJ9lcgPoc54e5RbRcLphZyWw5OTA==" saltValue="HWB02+Ji+S7dMwzIwAW2rA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7"/>
  <sheetViews>
    <sheetView zoomScale="110" zoomScaleNormal="110" workbookViewId="0">
      <selection activeCell="A7" sqref="A7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</row>
    <row r="2" spans="1:13">
      <c r="A2" s="149" t="s">
        <v>275</v>
      </c>
      <c r="B2" s="150">
        <v>45870</v>
      </c>
      <c r="C2" s="150">
        <v>45877</v>
      </c>
      <c r="D2" s="150">
        <v>45884</v>
      </c>
      <c r="E2" s="150">
        <v>45891</v>
      </c>
      <c r="F2" s="150">
        <v>45898</v>
      </c>
      <c r="G2" s="150">
        <v>45904</v>
      </c>
      <c r="H2" s="150">
        <v>45912</v>
      </c>
      <c r="I2" s="150">
        <v>45919</v>
      </c>
      <c r="J2" s="19"/>
      <c r="K2" s="15"/>
      <c r="L2" s="15"/>
      <c r="M2" s="15"/>
    </row>
    <row r="3" spans="1:13">
      <c r="A3" s="149" t="s">
        <v>276</v>
      </c>
      <c r="B3" s="151">
        <f t="shared" ref="B3:I3" si="0">B4</f>
        <v>6280.3086656737469</v>
      </c>
      <c r="C3" s="151">
        <f t="shared" si="0"/>
        <v>6385.4792470095699</v>
      </c>
      <c r="D3" s="151">
        <f t="shared" si="0"/>
        <v>6450.9481367566641</v>
      </c>
      <c r="E3" s="151">
        <f t="shared" si="0"/>
        <v>6503.8359094696516</v>
      </c>
      <c r="F3" s="151">
        <f t="shared" si="0"/>
        <v>6560.9507360896305</v>
      </c>
      <c r="G3" s="151">
        <f t="shared" si="0"/>
        <v>6542.8543765579298</v>
      </c>
      <c r="H3" s="151">
        <f t="shared" si="0"/>
        <v>6621.1686110231039</v>
      </c>
      <c r="I3" s="151">
        <f t="shared" si="0"/>
        <v>6693.7872553133138</v>
      </c>
      <c r="J3" s="19"/>
      <c r="K3" s="15"/>
      <c r="L3" s="15"/>
      <c r="M3" s="15"/>
    </row>
    <row r="4" spans="1:13">
      <c r="A4" s="19"/>
      <c r="B4" s="152">
        <f>'NAV Trend'!C10/1000000000</f>
        <v>6280.3086656737469</v>
      </c>
      <c r="C4" s="152">
        <f>'NAV Trend'!D10/1000000000</f>
        <v>6385.4792470095699</v>
      </c>
      <c r="D4" s="152">
        <f>'NAV Trend'!E10/1000000000</f>
        <v>6450.9481367566641</v>
      </c>
      <c r="E4" s="152">
        <f>'NAV Trend'!F10/1000000000</f>
        <v>6503.8359094696516</v>
      </c>
      <c r="F4" s="152">
        <f>'NAV Trend'!G10/1000000000</f>
        <v>6560.9507360896305</v>
      </c>
      <c r="G4" s="152">
        <f>'NAV Trend'!H10/1000000000</f>
        <v>6542.8543765579298</v>
      </c>
      <c r="H4" s="153">
        <f>'NAV Trend'!I10/1000000000</f>
        <v>6621.1686110231039</v>
      </c>
      <c r="I4" s="153">
        <f>'NAV Trend'!J10/1000000000</f>
        <v>6693.7872553133138</v>
      </c>
      <c r="J4" s="19"/>
      <c r="K4" s="15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</row>
    <row r="6" spans="1:1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</sheetData>
  <sheetProtection algorithmName="SHA-512" hashValue="uDvJX/jiRujfhhnJP3d2F0/LLRDYKec8qEEruywNLvXD9TpH/vw9MAhY+NGbrtL6ZetkivNBJr3fgaV+598UKg==" saltValue="DDcDitzT+F2KfqemK65T0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N17"/>
  <sheetViews>
    <sheetView workbookViewId="0">
      <selection activeCell="F7" sqref="F7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  <c r="N1" s="15"/>
    </row>
    <row r="2" spans="1:14">
      <c r="A2" s="149" t="s">
        <v>275</v>
      </c>
      <c r="B2" s="150">
        <v>45870</v>
      </c>
      <c r="C2" s="150">
        <v>45877</v>
      </c>
      <c r="D2" s="150">
        <v>45884</v>
      </c>
      <c r="E2" s="150">
        <v>45891</v>
      </c>
      <c r="F2" s="150">
        <v>45898</v>
      </c>
      <c r="G2" s="150">
        <v>45904</v>
      </c>
      <c r="H2" s="150">
        <v>45912</v>
      </c>
      <c r="I2" s="150">
        <v>45919</v>
      </c>
      <c r="J2" s="19"/>
      <c r="K2" s="15"/>
      <c r="L2" s="15"/>
      <c r="M2" s="15"/>
      <c r="N2" s="15"/>
    </row>
    <row r="3" spans="1:14">
      <c r="A3" s="149" t="s">
        <v>277</v>
      </c>
      <c r="B3" s="151">
        <f t="shared" ref="B3:I3" si="0">B4</f>
        <v>17.113558632019</v>
      </c>
      <c r="C3" s="151">
        <f t="shared" si="0"/>
        <v>17.395938297309996</v>
      </c>
      <c r="D3" s="151">
        <f t="shared" si="0"/>
        <v>17.188495940759999</v>
      </c>
      <c r="E3" s="151">
        <f t="shared" si="0"/>
        <v>16.805945304309997</v>
      </c>
      <c r="F3" s="151">
        <f t="shared" si="0"/>
        <v>16.769372316030001</v>
      </c>
      <c r="G3" s="151">
        <f t="shared" si="0"/>
        <v>16.688373226208999</v>
      </c>
      <c r="H3" s="151">
        <f t="shared" si="0"/>
        <v>16.922657208430998</v>
      </c>
      <c r="I3" s="151">
        <f t="shared" si="0"/>
        <v>16.933585980109999</v>
      </c>
      <c r="J3" s="19"/>
      <c r="K3" s="15"/>
      <c r="L3" s="15"/>
      <c r="M3" s="15"/>
      <c r="N3" s="15"/>
    </row>
    <row r="4" spans="1:14">
      <c r="A4" s="19"/>
      <c r="B4" s="152">
        <f>'NAV Trend'!C16/1000000000</f>
        <v>17.113558632019</v>
      </c>
      <c r="C4" s="152">
        <f>'NAV Trend'!D16/1000000000</f>
        <v>17.395938297309996</v>
      </c>
      <c r="D4" s="152">
        <f>'NAV Trend'!E16/1000000000</f>
        <v>17.188495940759999</v>
      </c>
      <c r="E4" s="152">
        <f>'NAV Trend'!F16/1000000000</f>
        <v>16.805945304309997</v>
      </c>
      <c r="F4" s="152">
        <f>'NAV Trend'!G16/1000000000</f>
        <v>16.769372316030001</v>
      </c>
      <c r="G4" s="152">
        <f>'NAV Trend'!H16/1000000000</f>
        <v>16.688373226208999</v>
      </c>
      <c r="H4" s="152">
        <f>'NAV Trend'!I16/1000000000</f>
        <v>16.922657208430998</v>
      </c>
      <c r="I4" s="153">
        <f>'NAV Trend'!J16/1000000000</f>
        <v>16.933585980109999</v>
      </c>
      <c r="J4" s="19"/>
      <c r="K4" s="15"/>
      <c r="L4" s="15"/>
      <c r="M4" s="15"/>
      <c r="N4" s="15"/>
    </row>
    <row r="5" spans="1:14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  <c r="N5" s="15"/>
    </row>
    <row r="6" spans="1:14">
      <c r="A6" s="19"/>
      <c r="B6" s="19"/>
      <c r="C6" s="19"/>
      <c r="D6" s="19"/>
      <c r="E6" s="19"/>
      <c r="F6" s="19"/>
      <c r="G6" s="19"/>
      <c r="H6" s="19"/>
      <c r="I6" s="19"/>
      <c r="J6" s="19"/>
      <c r="K6" s="15"/>
      <c r="L6" s="15"/>
      <c r="M6" s="15"/>
      <c r="N6" s="15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sheetProtection algorithmName="SHA-512" hashValue="8jHvvPGtchg0y3XEKJ0u+PEqcGF8lF+Jjf5oPnqmqHTjxOT5hga3/hdTqkviGTbIy5MNqipVsDdbHq0h5VcnSA==" saltValue="1IGQUG0Gwn8oAHnJYzKiXg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271</v>
      </c>
      <c r="B1" s="2">
        <v>45863</v>
      </c>
      <c r="C1" s="2">
        <v>45870</v>
      </c>
      <c r="D1" s="2">
        <v>45877</v>
      </c>
      <c r="E1" s="2">
        <v>45884</v>
      </c>
      <c r="F1" s="2">
        <v>45891</v>
      </c>
      <c r="G1" s="2">
        <v>45898</v>
      </c>
      <c r="H1" s="2">
        <v>45904</v>
      </c>
      <c r="I1" s="2">
        <v>45912</v>
      </c>
      <c r="J1" s="2">
        <v>45919</v>
      </c>
    </row>
    <row r="2" spans="1:11">
      <c r="A2" s="3" t="s">
        <v>15</v>
      </c>
      <c r="B2" s="4">
        <v>61687226257.696495</v>
      </c>
      <c r="C2" s="4">
        <v>67229657165.516502</v>
      </c>
      <c r="D2" s="4">
        <v>70540930810.876495</v>
      </c>
      <c r="E2" s="4">
        <v>69783062986.465698</v>
      </c>
      <c r="F2" s="4">
        <v>68712705350.806602</v>
      </c>
      <c r="G2" s="4">
        <v>68528972082.446609</v>
      </c>
      <c r="H2" s="4">
        <v>67808284732.281898</v>
      </c>
      <c r="I2" s="4">
        <v>69131472753.82251</v>
      </c>
      <c r="J2" s="4">
        <v>67012799943.281708</v>
      </c>
    </row>
    <row r="3" spans="1:11">
      <c r="A3" s="3" t="s">
        <v>52</v>
      </c>
      <c r="B3" s="4">
        <v>3426266000665.1895</v>
      </c>
      <c r="C3" s="4">
        <v>3516123821226.8936</v>
      </c>
      <c r="D3" s="4">
        <v>3593469633868.4741</v>
      </c>
      <c r="E3" s="4">
        <v>3655006028344.0098</v>
      </c>
      <c r="F3" s="4">
        <v>3698986228978.6582</v>
      </c>
      <c r="G3" s="4">
        <v>3754571698722.0146</v>
      </c>
      <c r="H3" s="4">
        <v>3787579756295.2603</v>
      </c>
      <c r="I3" s="4">
        <v>3840917336766.8379</v>
      </c>
      <c r="J3" s="4">
        <v>3906285455615.124</v>
      </c>
    </row>
    <row r="4" spans="1:11">
      <c r="A4" s="3" t="s">
        <v>272</v>
      </c>
      <c r="B4" s="5">
        <v>217689331860.23923</v>
      </c>
      <c r="C4" s="5">
        <v>220851958545.65424</v>
      </c>
      <c r="D4" s="5">
        <v>229152303163.27002</v>
      </c>
      <c r="E4" s="5">
        <v>231120196922.10995</v>
      </c>
      <c r="F4" s="5">
        <v>231150686743.54004</v>
      </c>
      <c r="G4" s="5">
        <v>230778446525.29001</v>
      </c>
      <c r="H4" s="5">
        <v>190623296428.20999</v>
      </c>
      <c r="I4" s="5">
        <v>230565504758.69138</v>
      </c>
      <c r="J4" s="5">
        <v>231416262791.29922</v>
      </c>
    </row>
    <row r="5" spans="1:11">
      <c r="A5" s="3" t="s">
        <v>152</v>
      </c>
      <c r="B5" s="4">
        <v>1950379079099.77</v>
      </c>
      <c r="C5" s="4">
        <v>1966523400379.8149</v>
      </c>
      <c r="D5" s="4">
        <v>1980083846272.4412</v>
      </c>
      <c r="E5" s="4">
        <v>1982590366346.2842</v>
      </c>
      <c r="F5" s="4">
        <v>1991922950833.4917</v>
      </c>
      <c r="G5" s="4">
        <v>1993255843040.2493</v>
      </c>
      <c r="H5" s="4">
        <v>1984005277310.9985</v>
      </c>
      <c r="I5" s="4">
        <v>1964882408137.4414</v>
      </c>
      <c r="J5" s="4">
        <v>1968484717559.7043</v>
      </c>
    </row>
    <row r="6" spans="1:11">
      <c r="A6" s="3" t="s">
        <v>273</v>
      </c>
      <c r="B6" s="6">
        <v>359289716719.88489</v>
      </c>
      <c r="C6" s="6">
        <v>360521402538.07672</v>
      </c>
      <c r="D6" s="6">
        <v>361415805737.66992</v>
      </c>
      <c r="E6" s="6">
        <v>362218270830.89001</v>
      </c>
      <c r="F6" s="6">
        <v>362866619476.15002</v>
      </c>
      <c r="G6" s="6">
        <v>363359218001.73004</v>
      </c>
      <c r="H6" s="6">
        <v>364054624035.51996</v>
      </c>
      <c r="I6" s="6">
        <v>365114328439.96326</v>
      </c>
      <c r="J6" s="6">
        <v>366110435001.73016</v>
      </c>
    </row>
    <row r="7" spans="1:11">
      <c r="A7" s="3" t="s">
        <v>189</v>
      </c>
      <c r="B7" s="7">
        <v>73150059573.293945</v>
      </c>
      <c r="C7" s="7">
        <v>75728715664.741028</v>
      </c>
      <c r="D7" s="7">
        <v>76852575641.817932</v>
      </c>
      <c r="E7" s="7">
        <v>76228983622.506104</v>
      </c>
      <c r="F7" s="7">
        <v>75659187090.104218</v>
      </c>
      <c r="G7" s="7">
        <v>75600278286.828735</v>
      </c>
      <c r="H7" s="7">
        <v>75412808907.360184</v>
      </c>
      <c r="I7" s="7">
        <v>76147888988.447052</v>
      </c>
      <c r="J7" s="7">
        <v>79408928723.084183</v>
      </c>
    </row>
    <row r="8" spans="1:11">
      <c r="A8" s="3" t="s">
        <v>219</v>
      </c>
      <c r="B8" s="6">
        <v>8047780571.3400002</v>
      </c>
      <c r="C8" s="6">
        <v>8530161255.6800003</v>
      </c>
      <c r="D8" s="6">
        <v>8604936686.8199997</v>
      </c>
      <c r="E8" s="6">
        <v>8463083509.1000004</v>
      </c>
      <c r="F8" s="6">
        <v>8340033217</v>
      </c>
      <c r="G8" s="6">
        <v>8199066547.75</v>
      </c>
      <c r="H8" s="6">
        <v>8021638129.3699999</v>
      </c>
      <c r="I8" s="6">
        <v>8167609322.46</v>
      </c>
      <c r="J8" s="6">
        <v>8077825131.0199995</v>
      </c>
    </row>
    <row r="9" spans="1:11">
      <c r="A9" s="3" t="s">
        <v>274</v>
      </c>
      <c r="B9" s="6">
        <v>63651984241.427292</v>
      </c>
      <c r="C9" s="6">
        <v>64799548897.370361</v>
      </c>
      <c r="D9" s="6">
        <v>65359214828.200005</v>
      </c>
      <c r="E9" s="6">
        <v>65538144195.299995</v>
      </c>
      <c r="F9" s="6">
        <v>66197497779.900002</v>
      </c>
      <c r="G9" s="6">
        <v>66657212883.32</v>
      </c>
      <c r="H9" s="6">
        <v>65348690718.929993</v>
      </c>
      <c r="I9" s="6">
        <v>66242061855.440002</v>
      </c>
      <c r="J9" s="6">
        <v>66990830548.07</v>
      </c>
    </row>
    <row r="10" spans="1:11" ht="15.6">
      <c r="A10" s="8" t="s">
        <v>278</v>
      </c>
      <c r="B10" s="9">
        <f t="shared" ref="B10:J10" si="0">SUM(B2:B9)</f>
        <v>6160161178988.8408</v>
      </c>
      <c r="C10" s="9">
        <f t="shared" si="0"/>
        <v>6280308665673.7471</v>
      </c>
      <c r="D10" s="9">
        <f t="shared" si="0"/>
        <v>6385479247009.5703</v>
      </c>
      <c r="E10" s="9">
        <f t="shared" si="0"/>
        <v>6450948136756.6641</v>
      </c>
      <c r="F10" s="9">
        <f t="shared" si="0"/>
        <v>6503835909469.6514</v>
      </c>
      <c r="G10" s="9">
        <f t="shared" si="0"/>
        <v>6560950736089.6309</v>
      </c>
      <c r="H10" s="9">
        <f t="shared" si="0"/>
        <v>6542854376557.9297</v>
      </c>
      <c r="I10" s="9">
        <f t="shared" si="0"/>
        <v>6621168611023.1035</v>
      </c>
      <c r="J10" s="9">
        <f t="shared" si="0"/>
        <v>6693787255313.3135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279</v>
      </c>
      <c r="B12" s="121" t="s">
        <v>280</v>
      </c>
      <c r="C12" s="13">
        <f>(B10+C10)/2</f>
        <v>6220234922331.2939</v>
      </c>
      <c r="D12" s="14">
        <f t="shared" ref="D12:J12" si="1">(C10+D10)/2</f>
        <v>6332893956341.6582</v>
      </c>
      <c r="E12" s="14">
        <f t="shared" si="1"/>
        <v>6418213691883.1172</v>
      </c>
      <c r="F12" s="14">
        <f t="shared" si="1"/>
        <v>6477392023113.1582</v>
      </c>
      <c r="G12" s="14">
        <f t="shared" si="1"/>
        <v>6532393322779.6406</v>
      </c>
      <c r="H12" s="14">
        <f t="shared" si="1"/>
        <v>6551902556323.7803</v>
      </c>
      <c r="I12" s="14">
        <f t="shared" si="1"/>
        <v>6582011493790.5166</v>
      </c>
      <c r="J12" s="14">
        <f t="shared" si="1"/>
        <v>6657477933168.209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45863</v>
      </c>
      <c r="C15" s="2">
        <v>45870</v>
      </c>
      <c r="D15" s="2">
        <v>45877</v>
      </c>
      <c r="E15" s="2">
        <v>45884</v>
      </c>
      <c r="F15" s="2">
        <v>45891</v>
      </c>
      <c r="G15" s="2">
        <v>45898</v>
      </c>
      <c r="H15" s="2">
        <v>45904</v>
      </c>
      <c r="I15" s="2">
        <v>45912</v>
      </c>
      <c r="J15" s="2">
        <v>45919</v>
      </c>
      <c r="K15" s="15"/>
    </row>
    <row r="16" spans="1:11">
      <c r="A16" s="16" t="s">
        <v>281</v>
      </c>
      <c r="B16" s="17">
        <v>16301542614.265999</v>
      </c>
      <c r="C16" s="17">
        <v>17113558632.019001</v>
      </c>
      <c r="D16" s="17">
        <v>17395938297.309998</v>
      </c>
      <c r="E16" s="17">
        <v>17188495940.759998</v>
      </c>
      <c r="F16" s="17">
        <v>16805945304.309998</v>
      </c>
      <c r="G16" s="17">
        <v>16769372316.030001</v>
      </c>
      <c r="H16" s="17">
        <v>16688373226.209</v>
      </c>
      <c r="I16" s="17">
        <v>16922657208.430998</v>
      </c>
      <c r="J16" s="17">
        <v>16933585980.109999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27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pCLSjj6FVcYCI9BMRLgrK5IzLd9zOg4USxzPge4koS24kcFc8/mkKt7Q/Tsb/cs3nVpjup4yr7wrgCcnhiFfmA==" saltValue="Ib+R+rUxFAhH3CnrQs9COA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2025-09-25T08:31:56Z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