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7476" windowHeight="27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Valuation'!$W$135</definedName>
    <definedName name="NFEM_RATE" localSheetId="0">'Weekly Valuation'!$W$135</definedName>
  </definedNames>
  <calcPr calcId="162913"/>
</workbook>
</file>

<file path=xl/calcChain.xml><?xml version="1.0" encoding="utf-8"?>
<calcChain xmlns="http://schemas.openxmlformats.org/spreadsheetml/2006/main">
  <c r="E137" i="1" l="1"/>
  <c r="N136" i="1" l="1"/>
  <c r="M136" i="1"/>
  <c r="K136" i="1"/>
  <c r="K137" i="1" l="1"/>
  <c r="N149" i="1"/>
  <c r="M149" i="1"/>
  <c r="K149" i="1"/>
  <c r="N153" i="1"/>
  <c r="M153" i="1"/>
  <c r="K153" i="1"/>
  <c r="N147" i="1"/>
  <c r="M147" i="1"/>
  <c r="K147" i="1"/>
  <c r="N123" i="1" l="1"/>
  <c r="M123" i="1"/>
  <c r="K123" i="1"/>
  <c r="N143" i="1"/>
  <c r="M143" i="1"/>
  <c r="K143" i="1"/>
  <c r="N144" i="1"/>
  <c r="M144" i="1"/>
  <c r="K144" i="1"/>
  <c r="N131" i="1" l="1"/>
  <c r="M131" i="1"/>
  <c r="K131" i="1"/>
  <c r="K127" i="1"/>
  <c r="M142" i="1"/>
  <c r="M121" i="1" l="1"/>
  <c r="K121" i="1"/>
  <c r="N120" i="1" l="1"/>
  <c r="M120" i="1"/>
  <c r="K120" i="1"/>
  <c r="N229" i="1"/>
  <c r="M229" i="1"/>
  <c r="K229" i="1"/>
  <c r="N119" i="1"/>
  <c r="M119" i="1"/>
  <c r="K119" i="1"/>
  <c r="N118" i="1"/>
  <c r="M118" i="1"/>
  <c r="K118" i="1"/>
  <c r="N152" i="1"/>
  <c r="M152" i="1"/>
  <c r="K152" i="1"/>
  <c r="N130" i="1" l="1"/>
  <c r="M130" i="1"/>
  <c r="K130" i="1"/>
  <c r="N116" i="1"/>
  <c r="M116" i="1"/>
  <c r="K116" i="1"/>
  <c r="K117" i="1" l="1"/>
  <c r="N122" i="1"/>
  <c r="M122" i="1"/>
  <c r="K122" i="1"/>
  <c r="K139" i="1"/>
  <c r="N139" i="1"/>
  <c r="M139" i="1"/>
  <c r="N151" i="1" l="1"/>
  <c r="M151" i="1"/>
  <c r="K151" i="1"/>
  <c r="M231" i="1" l="1"/>
  <c r="N231" i="1"/>
  <c r="K231" i="1"/>
  <c r="N126" i="1"/>
  <c r="M126" i="1"/>
  <c r="K126" i="1"/>
  <c r="N125" i="1"/>
  <c r="M125" i="1"/>
  <c r="K125" i="1"/>
  <c r="K129" i="1"/>
  <c r="N150" i="1"/>
  <c r="M150" i="1"/>
  <c r="K150" i="1"/>
  <c r="N132" i="1"/>
  <c r="M132" i="1"/>
  <c r="K132" i="1"/>
  <c r="N135" i="1" l="1"/>
  <c r="M135" i="1"/>
  <c r="K135" i="1"/>
  <c r="K141" i="1"/>
  <c r="N146" i="1" l="1"/>
  <c r="M146" i="1"/>
  <c r="K146" i="1"/>
  <c r="N128" i="1"/>
  <c r="M128" i="1"/>
  <c r="K128" i="1"/>
  <c r="T137" i="1" l="1"/>
  <c r="U137" i="1"/>
  <c r="V137" i="1"/>
  <c r="R79" i="1" l="1"/>
  <c r="S79" i="1"/>
  <c r="T79" i="1"/>
  <c r="V79" i="1" l="1"/>
  <c r="U79" i="1"/>
  <c r="N137" i="1"/>
  <c r="S137" i="1" s="1"/>
  <c r="M137" i="1"/>
  <c r="R40" i="1" l="1"/>
  <c r="V40" i="1"/>
  <c r="U40" i="1"/>
  <c r="T40" i="1"/>
  <c r="S40" i="1"/>
  <c r="V141" i="1" l="1"/>
  <c r="U141" i="1"/>
  <c r="T141" i="1"/>
  <c r="N141" i="1"/>
  <c r="S141" i="1" s="1"/>
  <c r="M141" i="1"/>
  <c r="R141" i="1"/>
  <c r="N145" i="1"/>
  <c r="M145" i="1"/>
  <c r="N121" i="1" l="1"/>
  <c r="N129" i="1" l="1"/>
  <c r="M129" i="1"/>
  <c r="N142" i="1" l="1"/>
  <c r="R183" i="1" l="1"/>
  <c r="R83" i="1" l="1"/>
  <c r="R84" i="1"/>
  <c r="R106" i="1" l="1"/>
  <c r="S106" i="1"/>
  <c r="T106" i="1"/>
  <c r="U106" i="1"/>
  <c r="V106" i="1"/>
  <c r="R15" i="1" l="1"/>
  <c r="V232" i="1" l="1"/>
  <c r="U232" i="1"/>
  <c r="T232" i="1"/>
  <c r="S232" i="1"/>
  <c r="R232" i="1"/>
  <c r="R238" i="1"/>
  <c r="R158" i="1" l="1"/>
  <c r="S158" i="1"/>
  <c r="T158" i="1"/>
  <c r="U158" i="1"/>
  <c r="V158" i="1"/>
  <c r="R128" i="1" l="1"/>
  <c r="R127" i="1"/>
  <c r="S135" i="1"/>
  <c r="R135" i="1"/>
  <c r="S153" i="1"/>
  <c r="R153" i="1"/>
  <c r="S123" i="1"/>
  <c r="S144" i="1"/>
  <c r="R144" i="1"/>
  <c r="R129" i="1"/>
  <c r="S149" i="1"/>
  <c r="R149" i="1"/>
  <c r="S139" i="1"/>
  <c r="R139" i="1"/>
  <c r="S122" i="1"/>
  <c r="R122" i="1"/>
  <c r="K163" i="1"/>
  <c r="L160" i="1" s="1"/>
  <c r="V222" i="1"/>
  <c r="U222" i="1"/>
  <c r="T222" i="1"/>
  <c r="S222" i="1"/>
  <c r="R222" i="1"/>
  <c r="K199" i="1"/>
  <c r="L222" i="1" s="1"/>
  <c r="D199" i="1"/>
  <c r="B19" i="2" s="1"/>
  <c r="B9" i="2" s="1"/>
  <c r="V223" i="1"/>
  <c r="U223" i="1"/>
  <c r="T223" i="1"/>
  <c r="S223" i="1"/>
  <c r="R223" i="1"/>
  <c r="K225" i="1"/>
  <c r="L212" i="1" s="1"/>
  <c r="D225" i="1"/>
  <c r="S136" i="1"/>
  <c r="S152" i="1"/>
  <c r="R117" i="1"/>
  <c r="S147" i="1"/>
  <c r="R147" i="1"/>
  <c r="R130" i="1"/>
  <c r="S116" i="1"/>
  <c r="V238" i="1"/>
  <c r="M127" i="1"/>
  <c r="N127" i="1"/>
  <c r="S127" i="1" s="1"/>
  <c r="V230" i="1"/>
  <c r="U230" i="1"/>
  <c r="T230" i="1"/>
  <c r="S230" i="1"/>
  <c r="R230" i="1"/>
  <c r="K234" i="1"/>
  <c r="S142" i="1"/>
  <c r="U146" i="1"/>
  <c r="V146" i="1"/>
  <c r="N117" i="1"/>
  <c r="S117" i="1" s="1"/>
  <c r="M117" i="1"/>
  <c r="R231" i="1"/>
  <c r="S231" i="1"/>
  <c r="T231" i="1"/>
  <c r="U231" i="1"/>
  <c r="V231" i="1"/>
  <c r="V53" i="1"/>
  <c r="U53" i="1"/>
  <c r="T53" i="1"/>
  <c r="S53" i="1"/>
  <c r="R53" i="1"/>
  <c r="R152" i="1"/>
  <c r="V152" i="1"/>
  <c r="U152" i="1"/>
  <c r="T152" i="1"/>
  <c r="R171" i="1"/>
  <c r="S171" i="1"/>
  <c r="T171" i="1"/>
  <c r="U171" i="1"/>
  <c r="V171" i="1"/>
  <c r="V147" i="1"/>
  <c r="U147" i="1"/>
  <c r="T147" i="1"/>
  <c r="R59" i="1"/>
  <c r="V59" i="1"/>
  <c r="U59" i="1"/>
  <c r="S59" i="1"/>
  <c r="T59" i="1"/>
  <c r="R32" i="1"/>
  <c r="V32" i="1"/>
  <c r="U32" i="1"/>
  <c r="T32" i="1"/>
  <c r="S32" i="1"/>
  <c r="T140" i="1"/>
  <c r="V127" i="1"/>
  <c r="U127" i="1"/>
  <c r="T127" i="1"/>
  <c r="R46" i="1"/>
  <c r="S46" i="1"/>
  <c r="T46" i="1"/>
  <c r="U46" i="1"/>
  <c r="V46" i="1"/>
  <c r="O234" i="1"/>
  <c r="H234" i="1"/>
  <c r="D234" i="1"/>
  <c r="V229" i="1"/>
  <c r="U229" i="1"/>
  <c r="T229" i="1"/>
  <c r="S229" i="1"/>
  <c r="R229" i="1"/>
  <c r="V139" i="1"/>
  <c r="U139" i="1"/>
  <c r="T139" i="1"/>
  <c r="V84" i="1"/>
  <c r="U84" i="1"/>
  <c r="T84" i="1"/>
  <c r="S84" i="1"/>
  <c r="R175" i="1"/>
  <c r="V23" i="1"/>
  <c r="U23" i="1"/>
  <c r="T23" i="1"/>
  <c r="S23" i="1"/>
  <c r="R23" i="1"/>
  <c r="O225" i="1"/>
  <c r="H225" i="1"/>
  <c r="V224" i="1"/>
  <c r="U224" i="1"/>
  <c r="T224" i="1"/>
  <c r="S224" i="1"/>
  <c r="R224" i="1"/>
  <c r="R31" i="1"/>
  <c r="R119" i="1"/>
  <c r="S119" i="1"/>
  <c r="T119" i="1"/>
  <c r="U119" i="1"/>
  <c r="V119" i="1"/>
  <c r="R54" i="1"/>
  <c r="R216" i="1"/>
  <c r="V208" i="1"/>
  <c r="U208" i="1"/>
  <c r="T208" i="1"/>
  <c r="S208" i="1"/>
  <c r="R208" i="1"/>
  <c r="T149" i="1"/>
  <c r="U149" i="1"/>
  <c r="V149" i="1"/>
  <c r="R6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R96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4" i="1"/>
  <c r="U254" i="1"/>
  <c r="S254" i="1"/>
  <c r="O254" i="1"/>
  <c r="K254" i="1"/>
  <c r="L251" i="1" s="1"/>
  <c r="H254" i="1"/>
  <c r="D254" i="1"/>
  <c r="E242" i="1" s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O239" i="1"/>
  <c r="K239" i="1"/>
  <c r="L237" i="1" s="1"/>
  <c r="H239" i="1"/>
  <c r="D239" i="1"/>
  <c r="E237" i="1" s="1"/>
  <c r="U238" i="1"/>
  <c r="T238" i="1"/>
  <c r="S238" i="1"/>
  <c r="V237" i="1"/>
  <c r="U237" i="1"/>
  <c r="T237" i="1"/>
  <c r="S237" i="1"/>
  <c r="R237" i="1"/>
  <c r="V233" i="1"/>
  <c r="U233" i="1"/>
  <c r="T233" i="1"/>
  <c r="S233" i="1"/>
  <c r="R233" i="1"/>
  <c r="V225" i="1"/>
  <c r="U225" i="1"/>
  <c r="S225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7" i="1"/>
  <c r="U207" i="1"/>
  <c r="T207" i="1"/>
  <c r="S207" i="1"/>
  <c r="R207" i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V198" i="1"/>
  <c r="U198" i="1"/>
  <c r="T198" i="1"/>
  <c r="S198" i="1"/>
  <c r="R198" i="1"/>
  <c r="V197" i="1"/>
  <c r="U197" i="1"/>
  <c r="T197" i="1"/>
  <c r="S197" i="1"/>
  <c r="R197" i="1"/>
  <c r="V194" i="1"/>
  <c r="U194" i="1"/>
  <c r="S194" i="1"/>
  <c r="O194" i="1"/>
  <c r="K194" i="1"/>
  <c r="L188" i="1" s="1"/>
  <c r="H194" i="1"/>
  <c r="D194" i="1"/>
  <c r="E171" i="1" s="1"/>
  <c r="V163" i="1"/>
  <c r="U163" i="1"/>
  <c r="S163" i="1"/>
  <c r="O163" i="1"/>
  <c r="H163" i="1"/>
  <c r="D163" i="1"/>
  <c r="E157" i="1" s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7" i="1"/>
  <c r="U157" i="1"/>
  <c r="T157" i="1"/>
  <c r="S157" i="1"/>
  <c r="R157" i="1"/>
  <c r="V154" i="1"/>
  <c r="U154" i="1"/>
  <c r="S154" i="1"/>
  <c r="O154" i="1"/>
  <c r="H154" i="1"/>
  <c r="V153" i="1"/>
  <c r="U153" i="1"/>
  <c r="T153" i="1"/>
  <c r="V151" i="1"/>
  <c r="U151" i="1"/>
  <c r="T151" i="1"/>
  <c r="S151" i="1"/>
  <c r="R151" i="1"/>
  <c r="V150" i="1"/>
  <c r="U150" i="1"/>
  <c r="T150" i="1"/>
  <c r="S150" i="1"/>
  <c r="V148" i="1"/>
  <c r="U148" i="1"/>
  <c r="T148" i="1"/>
  <c r="S148" i="1"/>
  <c r="R148" i="1"/>
  <c r="T146" i="1"/>
  <c r="S146" i="1"/>
  <c r="V145" i="1"/>
  <c r="U145" i="1"/>
  <c r="T145" i="1"/>
  <c r="R145" i="1"/>
  <c r="S145" i="1"/>
  <c r="V144" i="1"/>
  <c r="U144" i="1"/>
  <c r="T144" i="1"/>
  <c r="V143" i="1"/>
  <c r="U143" i="1"/>
  <c r="T143" i="1"/>
  <c r="S143" i="1"/>
  <c r="R143" i="1"/>
  <c r="V142" i="1"/>
  <c r="U142" i="1"/>
  <c r="T142" i="1"/>
  <c r="R142" i="1"/>
  <c r="V140" i="1"/>
  <c r="U140" i="1"/>
  <c r="S140" i="1"/>
  <c r="R140" i="1"/>
  <c r="V138" i="1"/>
  <c r="U138" i="1"/>
  <c r="T138" i="1"/>
  <c r="S138" i="1"/>
  <c r="R138" i="1"/>
  <c r="V136" i="1"/>
  <c r="U136" i="1"/>
  <c r="T136" i="1"/>
  <c r="V135" i="1"/>
  <c r="U135" i="1"/>
  <c r="T135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V122" i="1"/>
  <c r="U122" i="1"/>
  <c r="T122" i="1"/>
  <c r="V121" i="1"/>
  <c r="U121" i="1"/>
  <c r="T121" i="1"/>
  <c r="S121" i="1"/>
  <c r="V120" i="1"/>
  <c r="U120" i="1"/>
  <c r="T120" i="1"/>
  <c r="S120" i="1"/>
  <c r="V118" i="1"/>
  <c r="U118" i="1"/>
  <c r="T118" i="1"/>
  <c r="S118" i="1"/>
  <c r="V117" i="1"/>
  <c r="U117" i="1"/>
  <c r="T117" i="1"/>
  <c r="V116" i="1"/>
  <c r="U116" i="1"/>
  <c r="T116" i="1"/>
  <c r="R116" i="1"/>
  <c r="V112" i="1"/>
  <c r="U112" i="1"/>
  <c r="S112" i="1"/>
  <c r="O112" i="1"/>
  <c r="K112" i="1"/>
  <c r="L79" i="1" s="1"/>
  <c r="H112" i="1"/>
  <c r="D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3" i="1"/>
  <c r="U83" i="1"/>
  <c r="T83" i="1"/>
  <c r="S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U78" i="1"/>
  <c r="V78" i="1" s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L69" i="1" s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4" i="1"/>
  <c r="R118" i="1"/>
  <c r="R121" i="1"/>
  <c r="R132" i="1"/>
  <c r="R136" i="1"/>
  <c r="R146" i="1"/>
  <c r="R150" i="1"/>
  <c r="E12" i="4" l="1"/>
  <c r="L19" i="1"/>
  <c r="L9" i="1"/>
  <c r="L65" i="1"/>
  <c r="E98" i="1"/>
  <c r="E79" i="1"/>
  <c r="E141" i="1"/>
  <c r="E135" i="1"/>
  <c r="L89" i="1"/>
  <c r="L80" i="1"/>
  <c r="L183" i="1"/>
  <c r="L41" i="1"/>
  <c r="L40" i="1"/>
  <c r="E143" i="1"/>
  <c r="E151" i="1"/>
  <c r="E152" i="1"/>
  <c r="E153" i="1"/>
  <c r="L36" i="1"/>
  <c r="L209" i="1"/>
  <c r="T199" i="1"/>
  <c r="L106" i="1"/>
  <c r="D12" i="4"/>
  <c r="L207" i="1"/>
  <c r="F12" i="4"/>
  <c r="E90" i="1"/>
  <c r="E238" i="1"/>
  <c r="E100" i="1"/>
  <c r="E102" i="1"/>
  <c r="G12" i="4"/>
  <c r="E161" i="1"/>
  <c r="E4" i="5"/>
  <c r="E3" i="5" s="1"/>
  <c r="E93" i="1"/>
  <c r="E106" i="1"/>
  <c r="E80" i="1"/>
  <c r="L174" i="1"/>
  <c r="L192" i="1"/>
  <c r="L193" i="1"/>
  <c r="E105" i="1"/>
  <c r="E92" i="1"/>
  <c r="I12" i="4"/>
  <c r="H12" i="4"/>
  <c r="E46" i="1"/>
  <c r="E197" i="1"/>
  <c r="E198" i="1"/>
  <c r="E110" i="1"/>
  <c r="E13" i="1"/>
  <c r="E17" i="1"/>
  <c r="E15" i="1"/>
  <c r="E34" i="1"/>
  <c r="E14" i="1"/>
  <c r="C4" i="5"/>
  <c r="C3" i="5" s="1"/>
  <c r="C12" i="4"/>
  <c r="B4" i="5"/>
  <c r="B3" i="5" s="1"/>
  <c r="T163" i="1"/>
  <c r="E91" i="1"/>
  <c r="E108" i="1"/>
  <c r="E87" i="1"/>
  <c r="E81" i="1"/>
  <c r="E95" i="1"/>
  <c r="E252" i="1"/>
  <c r="E78" i="1"/>
  <c r="E75" i="1"/>
  <c r="E185" i="1"/>
  <c r="E111" i="1"/>
  <c r="E73" i="1"/>
  <c r="E189" i="1"/>
  <c r="E86" i="1"/>
  <c r="E83" i="1"/>
  <c r="T112" i="1"/>
  <c r="E82" i="1"/>
  <c r="E76" i="1"/>
  <c r="E144" i="1"/>
  <c r="E109" i="1"/>
  <c r="E99" i="1"/>
  <c r="B15" i="2"/>
  <c r="B5" i="2" s="1"/>
  <c r="E88" i="1"/>
  <c r="B16" i="2"/>
  <c r="B6" i="2" s="1"/>
  <c r="E84" i="1"/>
  <c r="E107" i="1"/>
  <c r="E104" i="1"/>
  <c r="E103" i="1"/>
  <c r="E16" i="1"/>
  <c r="E9" i="1"/>
  <c r="E20" i="1"/>
  <c r="E247" i="1"/>
  <c r="E18" i="1"/>
  <c r="B13" i="2"/>
  <c r="B3" i="2" s="1"/>
  <c r="E6" i="1"/>
  <c r="E10" i="1"/>
  <c r="E24" i="1"/>
  <c r="E11" i="1"/>
  <c r="E208" i="1"/>
  <c r="E232" i="1"/>
  <c r="E12" i="1"/>
  <c r="E21" i="1"/>
  <c r="E7" i="1"/>
  <c r="E22" i="1"/>
  <c r="E8" i="1"/>
  <c r="E128" i="1"/>
  <c r="E19" i="1"/>
  <c r="L238" i="1"/>
  <c r="R239" i="1"/>
  <c r="L103" i="1"/>
  <c r="L231" i="1"/>
  <c r="L232" i="1"/>
  <c r="L230" i="1"/>
  <c r="R234" i="1"/>
  <c r="E209" i="1"/>
  <c r="B20" i="2"/>
  <c r="B10" i="2" s="1"/>
  <c r="E207" i="1"/>
  <c r="E214" i="1"/>
  <c r="E212" i="1"/>
  <c r="E230" i="1"/>
  <c r="E229" i="1"/>
  <c r="E217" i="1"/>
  <c r="E224" i="1"/>
  <c r="E215" i="1"/>
  <c r="E222" i="1"/>
  <c r="E184" i="1"/>
  <c r="E192" i="1"/>
  <c r="E173" i="1"/>
  <c r="E167" i="1"/>
  <c r="E179" i="1"/>
  <c r="E188" i="1"/>
  <c r="E49" i="1"/>
  <c r="E170" i="1"/>
  <c r="E190" i="1"/>
  <c r="E181" i="1"/>
  <c r="E172" i="1"/>
  <c r="E193" i="1"/>
  <c r="E183" i="1"/>
  <c r="E168" i="1"/>
  <c r="E180" i="1"/>
  <c r="E174" i="1"/>
  <c r="E186" i="1"/>
  <c r="E175" i="1"/>
  <c r="E187" i="1"/>
  <c r="E166" i="1"/>
  <c r="E191" i="1"/>
  <c r="E178" i="1"/>
  <c r="E169" i="1"/>
  <c r="E182" i="1"/>
  <c r="E176" i="1"/>
  <c r="B18" i="2"/>
  <c r="B8" i="2" s="1"/>
  <c r="E177" i="1"/>
  <c r="E160" i="1"/>
  <c r="E162" i="1"/>
  <c r="E147" i="1"/>
  <c r="E118" i="1"/>
  <c r="E149" i="1"/>
  <c r="E127" i="1"/>
  <c r="E119" i="1"/>
  <c r="E145" i="1"/>
  <c r="E120" i="1"/>
  <c r="E139" i="1"/>
  <c r="L229" i="1"/>
  <c r="L162" i="1"/>
  <c r="L157" i="1"/>
  <c r="B6" i="3"/>
  <c r="L233" i="1"/>
  <c r="T225" i="1"/>
  <c r="L159" i="1"/>
  <c r="L158" i="1"/>
  <c r="L161" i="1"/>
  <c r="C17" i="2"/>
  <c r="C7" i="2" s="1"/>
  <c r="E251" i="1"/>
  <c r="E249" i="1"/>
  <c r="L243" i="1"/>
  <c r="R199" i="1"/>
  <c r="L198" i="1"/>
  <c r="L197" i="1"/>
  <c r="B2" i="3"/>
  <c r="C19" i="2"/>
  <c r="C9" i="2" s="1"/>
  <c r="L214" i="1"/>
  <c r="L204" i="1"/>
  <c r="L215" i="1"/>
  <c r="L217" i="1"/>
  <c r="C20" i="2"/>
  <c r="C10" i="2" s="1"/>
  <c r="L203" i="1"/>
  <c r="L219" i="1"/>
  <c r="L213" i="1"/>
  <c r="L210" i="1"/>
  <c r="B4" i="3"/>
  <c r="L208" i="1"/>
  <c r="L218" i="1"/>
  <c r="L216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10" i="1"/>
  <c r="L34" i="1"/>
  <c r="L8" i="1"/>
  <c r="L6" i="1"/>
  <c r="L24" i="1"/>
  <c r="C13" i="2"/>
  <c r="C3" i="2" s="1"/>
  <c r="L21" i="1"/>
  <c r="R25" i="1"/>
  <c r="L15" i="1"/>
  <c r="L96" i="1"/>
  <c r="L92" i="1"/>
  <c r="L252" i="1"/>
  <c r="L247" i="1"/>
  <c r="L249" i="1"/>
  <c r="L245" i="1"/>
  <c r="L211" i="1"/>
  <c r="L223" i="1"/>
  <c r="L224" i="1"/>
  <c r="E30" i="1"/>
  <c r="T254" i="1"/>
  <c r="L250" i="1"/>
  <c r="L253" i="1"/>
  <c r="L248" i="1"/>
  <c r="L246" i="1"/>
  <c r="L244" i="1"/>
  <c r="L242" i="1"/>
  <c r="K154" i="1"/>
  <c r="R120" i="1"/>
  <c r="R123" i="1"/>
  <c r="T70" i="1"/>
  <c r="L32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L29" i="1"/>
  <c r="E48" i="1"/>
  <c r="E31" i="1"/>
  <c r="E67" i="1"/>
  <c r="E97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E43" i="1"/>
  <c r="L28" i="1"/>
  <c r="E61" i="1"/>
  <c r="B9" i="3"/>
  <c r="E57" i="1"/>
  <c r="E39" i="1"/>
  <c r="L42" i="1"/>
  <c r="E58" i="1"/>
  <c r="L97" i="1"/>
  <c r="L56" i="1"/>
  <c r="E41" i="1"/>
  <c r="L52" i="1"/>
  <c r="L50" i="1"/>
  <c r="L53" i="1"/>
  <c r="E68" i="1"/>
  <c r="E55" i="1"/>
  <c r="E38" i="1"/>
  <c r="L39" i="1"/>
  <c r="L55" i="1"/>
  <c r="E50" i="1"/>
  <c r="L46" i="1"/>
  <c r="E53" i="1"/>
  <c r="C14" i="2"/>
  <c r="C4" i="2" s="1"/>
  <c r="L67" i="1"/>
  <c r="L54" i="1"/>
  <c r="L37" i="1"/>
  <c r="L66" i="1"/>
  <c r="L35" i="1"/>
  <c r="L59" i="1"/>
  <c r="E66" i="1"/>
  <c r="E52" i="1"/>
  <c r="E36" i="1"/>
  <c r="L38" i="1"/>
  <c r="E51" i="1"/>
  <c r="L57" i="1"/>
  <c r="E32" i="1"/>
  <c r="L51" i="1"/>
  <c r="E33" i="1"/>
  <c r="E37" i="1"/>
  <c r="E54" i="1"/>
  <c r="L60" i="1"/>
  <c r="L62" i="1"/>
  <c r="R70" i="1"/>
  <c r="E245" i="1"/>
  <c r="E243" i="1"/>
  <c r="E246" i="1"/>
  <c r="E248" i="1"/>
  <c r="E250" i="1"/>
  <c r="E253" i="1"/>
  <c r="E244" i="1"/>
  <c r="R254" i="1"/>
  <c r="E223" i="1"/>
  <c r="E210" i="1"/>
  <c r="E203" i="1"/>
  <c r="E204" i="1"/>
  <c r="E219" i="1"/>
  <c r="E213" i="1"/>
  <c r="E231" i="1"/>
  <c r="E233" i="1"/>
  <c r="E218" i="1"/>
  <c r="R225" i="1"/>
  <c r="E216" i="1"/>
  <c r="T194" i="1"/>
  <c r="H226" i="1"/>
  <c r="H255" i="1" s="1"/>
  <c r="B17" i="2"/>
  <c r="B7" i="2" s="1"/>
  <c r="E159" i="1"/>
  <c r="R163" i="1"/>
  <c r="T154" i="1"/>
  <c r="E124" i="1"/>
  <c r="E138" i="1"/>
  <c r="E125" i="1"/>
  <c r="E150" i="1"/>
  <c r="E130" i="1"/>
  <c r="E129" i="1"/>
  <c r="E142" i="1"/>
  <c r="E146" i="1"/>
  <c r="E132" i="1"/>
  <c r="E148" i="1"/>
  <c r="E136" i="1"/>
  <c r="E126" i="1"/>
  <c r="E121" i="1"/>
  <c r="E116" i="1"/>
  <c r="E140" i="1"/>
  <c r="E131" i="1"/>
  <c r="E117" i="1"/>
  <c r="E123" i="1"/>
  <c r="E85" i="1"/>
  <c r="E101" i="1"/>
  <c r="E96" i="1"/>
  <c r="E74" i="1"/>
  <c r="E89" i="1"/>
  <c r="E94" i="1"/>
  <c r="D226" i="1"/>
  <c r="E25" i="1" s="1"/>
  <c r="J12" i="4"/>
  <c r="O226" i="1"/>
  <c r="O255" i="1" s="1"/>
  <c r="L175" i="1"/>
  <c r="L186" i="1"/>
  <c r="R194" i="1"/>
  <c r="B5" i="3"/>
  <c r="L166" i="1"/>
  <c r="L187" i="1"/>
  <c r="L49" i="1"/>
  <c r="L178" i="1"/>
  <c r="L177" i="1"/>
  <c r="L190" i="1"/>
  <c r="L176" i="1"/>
  <c r="L169" i="1"/>
  <c r="L170" i="1"/>
  <c r="L185" i="1"/>
  <c r="L182" i="1"/>
  <c r="C18" i="2"/>
  <c r="C8" i="2" s="1"/>
  <c r="L181" i="1"/>
  <c r="L189" i="1"/>
  <c r="L171" i="1"/>
  <c r="L167" i="1"/>
  <c r="L173" i="1"/>
  <c r="L168" i="1"/>
  <c r="L179" i="1"/>
  <c r="L180" i="1"/>
  <c r="L191" i="1"/>
  <c r="L184" i="1"/>
  <c r="L172" i="1"/>
  <c r="L73" i="1"/>
  <c r="L100" i="1"/>
  <c r="L76" i="1"/>
  <c r="L98" i="1"/>
  <c r="L101" i="1"/>
  <c r="L108" i="1"/>
  <c r="L94" i="1"/>
  <c r="L74" i="1"/>
  <c r="L84" i="1"/>
  <c r="L139" i="1"/>
  <c r="L85" i="1"/>
  <c r="E77" i="1"/>
  <c r="L90" i="1"/>
  <c r="R112" i="1"/>
  <c r="L93" i="1"/>
  <c r="L88" i="1"/>
  <c r="L82" i="1"/>
  <c r="L86" i="1"/>
  <c r="C15" i="2"/>
  <c r="C5" i="2" s="1"/>
  <c r="L91" i="1"/>
  <c r="L99" i="1"/>
  <c r="L107" i="1"/>
  <c r="L83" i="1"/>
  <c r="B7" i="3"/>
  <c r="L81" i="1"/>
  <c r="L109" i="1"/>
  <c r="L78" i="1"/>
  <c r="L104" i="1"/>
  <c r="L77" i="1"/>
  <c r="L95" i="1"/>
  <c r="L105" i="1"/>
  <c r="L111" i="1"/>
  <c r="L102" i="1"/>
  <c r="L75" i="1"/>
  <c r="L87" i="1"/>
  <c r="L110" i="1"/>
  <c r="L141" i="1" l="1"/>
  <c r="L137" i="1"/>
  <c r="L136" i="1"/>
  <c r="L151" i="1"/>
  <c r="L120" i="1"/>
  <c r="L138" i="1"/>
  <c r="L146" i="1"/>
  <c r="B8" i="3"/>
  <c r="L140" i="1"/>
  <c r="L130" i="1"/>
  <c r="L150" i="1"/>
  <c r="L147" i="1"/>
  <c r="L125" i="1"/>
  <c r="L144" i="1"/>
  <c r="L131" i="1"/>
  <c r="L126" i="1"/>
  <c r="R154" i="1"/>
  <c r="L123" i="1"/>
  <c r="L122" i="1"/>
  <c r="C16" i="2"/>
  <c r="C6" i="2" s="1"/>
  <c r="L149" i="1"/>
  <c r="K226" i="1"/>
  <c r="L154" i="1" s="1"/>
  <c r="L119" i="1"/>
  <c r="L118" i="1"/>
  <c r="L132" i="1"/>
  <c r="L152" i="1"/>
  <c r="L121" i="1"/>
  <c r="L116" i="1"/>
  <c r="L145" i="1"/>
  <c r="L143" i="1"/>
  <c r="L124" i="1"/>
  <c r="L142" i="1"/>
  <c r="L127" i="1"/>
  <c r="L148" i="1"/>
  <c r="L128" i="1"/>
  <c r="L135" i="1"/>
  <c r="L117" i="1"/>
  <c r="L129" i="1"/>
  <c r="L153" i="1"/>
  <c r="E225" i="1"/>
  <c r="D255" i="1"/>
  <c r="E163" i="1"/>
  <c r="E199" i="1"/>
  <c r="E112" i="1"/>
  <c r="E194" i="1"/>
  <c r="E154" i="1"/>
  <c r="E70" i="1"/>
  <c r="L25" i="1" l="1"/>
  <c r="L70" i="1"/>
  <c r="L163" i="1"/>
  <c r="R226" i="1"/>
  <c r="L199" i="1"/>
  <c r="L194" i="1"/>
  <c r="K255" i="1"/>
  <c r="L225" i="1"/>
  <c r="L112" i="1"/>
</calcChain>
</file>

<file path=xl/sharedStrings.xml><?xml version="1.0" encoding="utf-8"?>
<sst xmlns="http://schemas.openxmlformats.org/spreadsheetml/2006/main" count="521" uniqueCount="329">
  <si>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</si>
  <si>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</si>
  <si>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</si>
  <si>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</si>
  <si>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</si>
  <si>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</si>
  <si>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</si>
  <si>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</si>
  <si>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</si>
  <si>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</si>
  <si>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</si>
  <si>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</si>
  <si>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</si>
  <si>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</si>
  <si>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</si>
  <si>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</si>
  <si>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</si>
  <si>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</si>
  <si>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</si>
  <si>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</si>
  <si>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</si>
  <si>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</si>
  <si>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</si>
  <si>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</si>
  <si>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</si>
  <si>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</si>
  <si>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</si>
  <si>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</si>
  <si>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</si>
  <si>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</si>
  <si>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</si>
  <si>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</si>
  <si>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</si>
  <si>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</si>
  <si>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</si>
  <si>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</si>
  <si>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</si>
  <si>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</si>
  <si>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</si>
  <si>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</si>
  <si>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</si>
  <si>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</si>
  <si>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</si>
  <si>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</si>
  <si>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</si>
  <si>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</si>
  <si>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</si>
  <si>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</si>
  <si>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</si>
  <si>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</si>
  <si>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</si>
  <si>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</si>
  <si>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</si>
  <si>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</si>
  <si>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</si>
  <si>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</si>
  <si>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</si>
  <si>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</si>
  <si>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</si>
  <si>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</si>
  <si>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</si>
  <si>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</si>
  <si>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</si>
  <si>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</si>
  <si>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</si>
  <si>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</si>
  <si>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</si>
  <si>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</si>
  <si>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</si>
  <si>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</si>
  <si>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</si>
  <si>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</si>
  <si>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</si>
  <si>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</si>
  <si>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</si>
  <si>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</si>
  <si>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</si>
  <si>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</si>
  <si>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</si>
  <si>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</si>
  <si>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</si>
  <si>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</si>
  <si>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</si>
  <si>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</si>
  <si>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</si>
  <si>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</si>
  <si>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</si>
  <si>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</si>
  <si>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</si>
  <si>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</si>
  <si>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</si>
  <si>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</si>
  <si>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</si>
  <si>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</si>
  <si>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</si>
  <si>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</si>
  <si>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</si>
  <si>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</si>
  <si>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</si>
  <si>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</si>
  <si>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</si>
  <si>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</si>
  <si>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</si>
  <si>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</si>
  <si>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</si>
  <si>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</si>
  <si>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</si>
  <si>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</si>
  <si>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</si>
  <si>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</si>
  <si>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</si>
  <si>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</si>
  <si>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</si>
  <si>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</si>
  <si>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</si>
  <si>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</si>
  <si>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</si>
  <si>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</si>
  <si>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</si>
  <si>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</si>
  <si>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</si>
  <si>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</si>
  <si>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</si>
  <si>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</si>
  <si>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</si>
  <si>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</si>
  <si>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</si>
  <si>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</si>
  <si>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</si>
  <si>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</si>
  <si>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</si>
  <si>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</si>
  <si>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</si>
  <si>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</si>
  <si>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</si>
  <si>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</si>
  <si>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</si>
  <si>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</si>
  <si>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</si>
  <si>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</si>
  <si>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</si>
  <si>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</si>
  <si>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</si>
  <si>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</si>
  <si>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</si>
  <si>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</si>
  <si>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</si>
  <si>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</si>
  <si>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</si>
  <si>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</si>
  <si>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</si>
  <si>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</si>
  <si>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</si>
  <si>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</si>
  <si>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</si>
  <si>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</si>
  <si>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</si>
  <si>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</si>
  <si>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</si>
  <si>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</si>
  <si>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</si>
  <si>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</si>
  <si>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</si>
  <si>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</si>
  <si>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</si>
  <si>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</si>
  <si>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</si>
  <si>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</si>
  <si>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</si>
  <si>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</si>
  <si>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</si>
  <si>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</si>
  <si>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</si>
  <si>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</si>
  <si>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</si>
  <si>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</si>
  <si>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</si>
  <si>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</si>
  <si>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</si>
  <si>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</si>
  <si>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</si>
  <si>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</si>
  <si>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</si>
  <si>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</si>
  <si>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</si>
  <si>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</si>
  <si>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</si>
  <si>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</si>
  <si>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</si>
  <si>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</si>
  <si>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</si>
  <si>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</si>
  <si>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</si>
  <si>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</si>
  <si>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</si>
  <si>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</si>
  <si>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</si>
  <si>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</si>
  <si>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</si>
  <si>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</si>
  <si>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</si>
  <si>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</si>
  <si>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</si>
  <si>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</si>
  <si>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</si>
  <si>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</si>
  <si>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</si>
  <si>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</si>
  <si>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</si>
  <si>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</si>
  <si>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</si>
  <si>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</si>
  <si>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</si>
  <si>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</si>
  <si>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</si>
  <si>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</si>
  <si>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</si>
  <si>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</si>
  <si>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</si>
  <si>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</si>
  <si>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</si>
  <si>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</si>
  <si>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</si>
  <si>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</si>
  <si>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</si>
  <si>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</si>
  <si>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</si>
  <si>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</si>
  <si>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</si>
  <si>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</si>
  <si>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</si>
  <si>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</si>
  <si>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</si>
  <si>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</si>
  <si>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</si>
  <si>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</si>
  <si>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</si>
  <si>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</si>
  <si>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</si>
  <si>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</si>
  <si>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</si>
  <si>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</si>
  <si>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</si>
  <si>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</si>
  <si>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</si>
  <si>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</si>
  <si>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</si>
  <si>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</si>
  <si>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</si>
  <si>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</si>
  <si>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</si>
  <si>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</si>
  <si>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</si>
  <si>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</si>
  <si>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</si>
  <si>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</si>
  <si>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</si>
  <si>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</si>
  <si>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</si>
  <si>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</si>
  <si>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</si>
  <si>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</si>
  <si>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</si>
  <si>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</si>
  <si>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</si>
  <si>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</si>
  <si>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</si>
  <si>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</si>
  <si>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</si>
  <si>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</si>
  <si>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</si>
  <si>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</si>
  <si>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</si>
  <si>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</si>
  <si>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</si>
  <si>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</si>
  <si>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</si>
  <si>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</si>
  <si>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</si>
  <si>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</si>
  <si>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</si>
  <si>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</si>
  <si>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</si>
  <si>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</si>
  <si>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</si>
  <si>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</si>
  <si>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</si>
  <si>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</si>
  <si>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</si>
  <si>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</si>
  <si>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</si>
  <si>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</si>
  <si>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</si>
  <si>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</si>
  <si>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</si>
  <si>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</si>
  <si>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</si>
  <si>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</si>
  <si>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</si>
  <si>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</si>
  <si>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</si>
  <si>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</si>
  <si>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</si>
  <si>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</si>
  <si>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</si>
  <si>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</si>
  <si>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</si>
  <si>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</si>
  <si>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</si>
  <si>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</si>
  <si>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</si>
  <si>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</si>
  <si>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</si>
  <si>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</si>
  <si>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</si>
  <si>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</si>
  <si>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% Change (Current from Previous)</t>
  </si>
  <si>
    <t>Difference</t>
  </si>
  <si>
    <t>NAV, Unit Price and Yield as at Week Ended August 15, 2025</t>
  </si>
  <si>
    <t>Greenwich Fixed Income Dollar Fund</t>
  </si>
  <si>
    <t>DLM Money Market Fund</t>
  </si>
  <si>
    <t>CFG Asset Management Limited</t>
  </si>
  <si>
    <t>CFG AM Fixed Income Dollar Fund</t>
  </si>
  <si>
    <t>CFG AM Fixed Income Naira Fund</t>
  </si>
  <si>
    <t>Week Ended August 15, 2025</t>
  </si>
  <si>
    <t>WEEKLY VALUATION REPORT OF COLLECTIVE INVESTMENT SCHEMES AS AT WEEK ENDED FRIDAY, AUGUST 22, 2025</t>
  </si>
  <si>
    <t>NAV, Unit Price and Yield as at Week Ended August 22, 2025</t>
  </si>
  <si>
    <t>NFEM RATE NG₦/US$ as at 22nd August, 2025 = N1535.0379</t>
  </si>
  <si>
    <t>Week Ended August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</si>
</sst>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rgb="FF000000"/>
      <name val="Arial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21" borderId="0" applyNumberFormat="0" applyBorder="0" applyAlignment="0" applyProtection="0"/>
    <xf numFmtId="0" fontId="35" fillId="0" borderId="0"/>
    <xf numFmtId="0" fontId="38" fillId="0" borderId="0"/>
    <xf numFmtId="0" fontId="36" fillId="0" borderId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5" fillId="0" borderId="1" xfId="0" applyFont="1" applyBorder="1" applyAlignment="1">
      <alignment horizontal="right"/>
    </xf>
    <xf numFmtId="16" fontId="6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164" fontId="7" fillId="2" borderId="1" xfId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/>
    </xf>
    <xf numFmtId="43" fontId="9" fillId="3" borderId="1" xfId="0" applyNumberFormat="1" applyFont="1" applyFill="1" applyBorder="1"/>
    <xf numFmtId="0" fontId="8" fillId="0" borderId="0" xfId="0" applyFont="1"/>
    <xf numFmtId="164" fontId="8" fillId="0" borderId="0" xfId="1" applyFont="1"/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164" fontId="5" fillId="4" borderId="1" xfId="1" applyFont="1" applyFill="1" applyBorder="1"/>
    <xf numFmtId="0" fontId="10" fillId="0" borderId="0" xfId="0" applyFont="1"/>
    <xf numFmtId="0" fontId="11" fillId="0" borderId="1" xfId="0" applyFont="1" applyBorder="1" applyAlignment="1">
      <alignment horizontal="right"/>
    </xf>
    <xf numFmtId="164" fontId="7" fillId="0" borderId="1" xfId="1" applyFont="1" applyBorder="1"/>
    <xf numFmtId="164" fontId="10" fillId="0" borderId="0" xfId="1" applyFont="1"/>
    <xf numFmtId="0" fontId="12" fillId="0" borderId="0" xfId="0" applyFont="1"/>
    <xf numFmtId="0" fontId="8" fillId="2" borderId="0" xfId="0" applyFont="1" applyFill="1" applyAlignment="1">
      <alignment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8" fillId="16" borderId="1" xfId="1" applyFont="1" applyFill="1" applyBorder="1" applyAlignment="1">
      <alignment horizontal="right" vertical="top" wrapText="1"/>
    </xf>
    <xf numFmtId="4" fontId="28" fillId="16" borderId="1" xfId="0" applyNumberFormat="1" applyFont="1" applyFill="1" applyBorder="1" applyAlignment="1">
      <alignment horizontal="right"/>
    </xf>
    <xf numFmtId="0" fontId="29" fillId="6" borderId="1" xfId="0" applyFont="1" applyFill="1" applyBorder="1" applyAlignment="1">
      <alignment horizontal="right" vertical="center"/>
    </xf>
    <xf numFmtId="0" fontId="12" fillId="6" borderId="1" xfId="0" applyFont="1" applyFill="1" applyBorder="1"/>
    <xf numFmtId="0" fontId="30" fillId="0" borderId="0" xfId="0" applyFont="1"/>
    <xf numFmtId="43" fontId="0" fillId="0" borderId="0" xfId="0" applyNumberFormat="1"/>
    <xf numFmtId="0" fontId="31" fillId="0" borderId="0" xfId="0" applyFont="1"/>
    <xf numFmtId="0" fontId="26" fillId="2" borderId="0" xfId="0" applyFont="1" applyFill="1" applyAlignment="1">
      <alignment wrapText="1"/>
    </xf>
    <xf numFmtId="43" fontId="31" fillId="0" borderId="0" xfId="11" applyFont="1" applyBorder="1"/>
    <xf numFmtId="2" fontId="31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8" fillId="16" borderId="1" xfId="2" applyFont="1" applyFill="1" applyBorder="1" applyAlignment="1">
      <alignment horizontal="center"/>
    </xf>
    <xf numFmtId="4" fontId="28" fillId="16" borderId="1" xfId="0" applyNumberFormat="1" applyFont="1" applyFill="1" applyBorder="1" applyAlignment="1">
      <alignment horizontal="center"/>
    </xf>
    <xf numFmtId="10" fontId="31" fillId="0" borderId="0" xfId="2" applyNumberFormat="1" applyFont="1" applyBorder="1"/>
    <xf numFmtId="10" fontId="32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8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5" fillId="4" borderId="1" xfId="0" quotePrefix="1" applyNumberFormat="1" applyFont="1" applyFill="1" applyBorder="1" applyAlignment="1">
      <alignment horizontal="center"/>
    </xf>
    <xf numFmtId="0" fontId="40" fillId="0" borderId="0" xfId="0" applyFont="1"/>
    <xf numFmtId="0" fontId="29" fillId="6" borderId="1" xfId="0" applyFont="1" applyFill="1" applyBorder="1" applyAlignment="1">
      <alignment horizontal="left" vertic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43" fontId="10" fillId="0" borderId="0" xfId="0" applyNumberFormat="1" applyFont="1"/>
    <xf numFmtId="164" fontId="17" fillId="2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wrapText="1"/>
    </xf>
    <xf numFmtId="0" fontId="8" fillId="0" borderId="1" xfId="0" applyFont="1" applyBorder="1"/>
    <xf numFmtId="4" fontId="7" fillId="2" borderId="0" xfId="0" applyNumberFormat="1" applyFont="1" applyFill="1" applyAlignment="1">
      <alignment horizontal="right"/>
    </xf>
    <xf numFmtId="167" fontId="41" fillId="0" borderId="0" xfId="1" applyNumberFormat="1" applyFont="1"/>
    <xf numFmtId="4" fontId="7" fillId="2" borderId="0" xfId="0" applyNumberFormat="1" applyFont="1" applyFill="1"/>
    <xf numFmtId="0" fontId="11" fillId="0" borderId="0" xfId="0" applyFont="1" applyAlignment="1">
      <alignment horizontal="right"/>
    </xf>
    <xf numFmtId="164" fontId="43" fillId="2" borderId="0" xfId="1" applyFont="1" applyFill="1" applyBorder="1" applyAlignment="1">
      <alignment horizontal="right" vertical="top" wrapText="1"/>
    </xf>
    <xf numFmtId="0" fontId="42" fillId="0" borderId="0" xfId="0" applyFont="1" applyAlignment="1">
      <alignment horizontal="right"/>
    </xf>
    <xf numFmtId="4" fontId="43" fillId="2" borderId="0" xfId="0" applyNumberFormat="1" applyFont="1" applyFill="1"/>
    <xf numFmtId="0" fontId="44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47" fillId="0" borderId="0" xfId="0" applyFont="1" applyBorder="1" applyAlignment="1">
      <alignment horizontal="right"/>
    </xf>
    <xf numFmtId="16" fontId="42" fillId="2" borderId="0" xfId="0" applyNumberFormat="1" applyFont="1" applyFill="1" applyBorder="1"/>
    <xf numFmtId="0" fontId="42" fillId="0" borderId="0" xfId="0" applyFont="1" applyBorder="1" applyAlignment="1">
      <alignment horizontal="right"/>
    </xf>
    <xf numFmtId="4" fontId="43" fillId="2" borderId="0" xfId="0" applyNumberFormat="1" applyFont="1" applyFill="1" applyBorder="1"/>
    <xf numFmtId="4" fontId="43" fillId="2" borderId="0" xfId="0" applyNumberFormat="1" applyFont="1" applyFill="1" applyBorder="1" applyAlignment="1">
      <alignment horizontal="right"/>
    </xf>
    <xf numFmtId="0" fontId="12" fillId="0" borderId="0" xfId="0" applyFont="1" applyBorder="1"/>
    <xf numFmtId="164" fontId="12" fillId="0" borderId="0" xfId="1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4" fontId="52" fillId="0" borderId="0" xfId="0" applyNumberFormat="1" applyFont="1"/>
    <xf numFmtId="0" fontId="8" fillId="7" borderId="1" xfId="0" applyFont="1" applyFill="1" applyBorder="1"/>
    <xf numFmtId="0" fontId="13" fillId="8" borderId="1" xfId="0" applyFont="1" applyFill="1" applyBorder="1"/>
    <xf numFmtId="0" fontId="54" fillId="8" borderId="1" xfId="0" applyFont="1" applyFill="1" applyBorder="1"/>
    <xf numFmtId="0" fontId="21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/>
    </xf>
    <xf numFmtId="10" fontId="17" fillId="3" borderId="1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9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53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wrapText="1"/>
    </xf>
  </cellXfs>
  <cellStyles count="42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7" xfId="37"/>
    <cellStyle name="Comma 8" xfId="19"/>
    <cellStyle name="Comma 9" xfId="40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4" xfId="36"/>
    <cellStyle name="Normal 5" xfId="39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3" xfId="38"/>
    <cellStyle name="Percent 4" xfId="41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15,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69.783062986465694</c:v>
                </c:pt>
                <c:pt idx="1">
                  <c:v>3655.0060283440098</c:v>
                </c:pt>
                <c:pt idx="2">
                  <c:v>231.12019692210995</c:v>
                </c:pt>
                <c:pt idx="3">
                  <c:v>1982.5903663462841</c:v>
                </c:pt>
                <c:pt idx="4">
                  <c:v>362.21827083088999</c:v>
                </c:pt>
                <c:pt idx="5" formatCode="_-* #,##0.00_-;\-* #,##0.00_-;_-* &quot;-&quot;??_-;_-@_-">
                  <c:v>76.228983622506107</c:v>
                </c:pt>
                <c:pt idx="6">
                  <c:v>8.4630835091000005</c:v>
                </c:pt>
                <c:pt idx="7">
                  <c:v>65.538144195299992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22,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68.712705350806601</c:v>
                </c:pt>
                <c:pt idx="1">
                  <c:v>3698.9862289786583</c:v>
                </c:pt>
                <c:pt idx="2">
                  <c:v>231.15068674354004</c:v>
                </c:pt>
                <c:pt idx="3">
                  <c:v>1991.9229508334918</c:v>
                </c:pt>
                <c:pt idx="4">
                  <c:v>362.86661947615005</c:v>
                </c:pt>
                <c:pt idx="5" formatCode="_-* #,##0.00_-;\-* #,##0.00_-;_-* &quot;-&quot;??_-;_-@_-">
                  <c:v>75.659187090104211</c:v>
                </c:pt>
                <c:pt idx="6">
                  <c:v>8.3400332170000002</c:v>
                </c:pt>
                <c:pt idx="7">
                  <c:v>66.197497779900004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5371048"/>
        <c:axId val="255371832"/>
      </c:barChart>
      <c:catAx>
        <c:axId val="25537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371832"/>
        <c:crosses val="autoZero"/>
        <c:auto val="1"/>
        <c:lblAlgn val="ctr"/>
        <c:lblOffset val="100"/>
        <c:noMultiLvlLbl val="0"/>
      </c:catAx>
      <c:valAx>
        <c:axId val="25537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37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22ND AUGUST,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22-Aug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8340033217</c:v>
                </c:pt>
                <c:pt idx="1">
                  <c:v>68712705350.806602</c:v>
                </c:pt>
                <c:pt idx="2" formatCode="_-* #,##0.00_-;\-* #,##0.00_-;_-* &quot;-&quot;??_-;_-@_-">
                  <c:v>66197497779.900002</c:v>
                </c:pt>
                <c:pt idx="3">
                  <c:v>75659187090.104218</c:v>
                </c:pt>
                <c:pt idx="4">
                  <c:v>362866619476.15002</c:v>
                </c:pt>
                <c:pt idx="5">
                  <c:v>231150686743.54004</c:v>
                </c:pt>
                <c:pt idx="6">
                  <c:v>1991922950833.4917</c:v>
                </c:pt>
                <c:pt idx="7">
                  <c:v>3698986228978.6582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  <c:pt idx="7">
                  <c:v>45891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5912.1449998326807</c:v>
                </c:pt>
                <c:pt idx="1">
                  <c:v>6009.0237740152752</c:v>
                </c:pt>
                <c:pt idx="2">
                  <c:v>6080.0352810801669</c:v>
                </c:pt>
                <c:pt idx="3">
                  <c:v>6160.1611789888411</c:v>
                </c:pt>
                <c:pt idx="4">
                  <c:v>6280.3086656737469</c:v>
                </c:pt>
                <c:pt idx="5">
                  <c:v>6385.4792470095699</c:v>
                </c:pt>
                <c:pt idx="6">
                  <c:v>6450.9481367566641</c:v>
                </c:pt>
                <c:pt idx="7">
                  <c:v>6503.8359094696516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9662792"/>
        <c:axId val="339658088"/>
      </c:lineChart>
      <c:dateAx>
        <c:axId val="3396627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58088"/>
        <c:crosses val="autoZero"/>
        <c:auto val="1"/>
        <c:lblOffset val="100"/>
        <c:baseTimeUnit val="days"/>
      </c:dateAx>
      <c:valAx>
        <c:axId val="339658088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6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  <c:pt idx="7">
                  <c:v>45891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14.538175757549999</c:v>
                </c:pt>
                <c:pt idx="1">
                  <c:v>15.344019261460002</c:v>
                </c:pt>
                <c:pt idx="2">
                  <c:v>16.012018416058002</c:v>
                </c:pt>
                <c:pt idx="3">
                  <c:v>16.301542614265998</c:v>
                </c:pt>
                <c:pt idx="4">
                  <c:v>17.113558632019</c:v>
                </c:pt>
                <c:pt idx="5">
                  <c:v>17.395938297309996</c:v>
                </c:pt>
                <c:pt idx="6">
                  <c:v>17.188495940759999</c:v>
                </c:pt>
                <c:pt idx="7">
                  <c:v>16.805945304309997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9657304"/>
        <c:axId val="339664360"/>
      </c:lineChart>
      <c:dateAx>
        <c:axId val="3396573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64360"/>
        <c:crosses val="autoZero"/>
        <c:auto val="1"/>
        <c:lblOffset val="100"/>
        <c:baseTimeUnit val="days"/>
      </c:dateAx>
      <c:valAx>
        <c:axId val="33966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5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2"/>
  <sheetViews>
    <sheetView tabSelected="1" zoomScale="130" zoomScaleNormal="13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8" t="s">
        <v>325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5" ht="14.4" customHeight="1">
      <c r="A2" s="164"/>
      <c r="B2" s="165"/>
      <c r="C2" s="166"/>
      <c r="D2" s="189" t="s">
        <v>318</v>
      </c>
      <c r="E2" s="189"/>
      <c r="F2" s="189"/>
      <c r="G2" s="189"/>
      <c r="H2" s="189"/>
      <c r="I2" s="189"/>
      <c r="J2" s="189"/>
      <c r="K2" s="189" t="s">
        <v>326</v>
      </c>
      <c r="L2" s="189"/>
      <c r="M2" s="189"/>
      <c r="N2" s="189"/>
      <c r="O2" s="189"/>
      <c r="P2" s="189"/>
      <c r="Q2" s="189"/>
      <c r="R2" s="189" t="s">
        <v>316</v>
      </c>
      <c r="S2" s="189"/>
      <c r="T2" s="189"/>
      <c r="U2" s="189" t="s">
        <v>317</v>
      </c>
      <c r="V2" s="189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30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</row>
    <row r="5" spans="1:25" ht="15" customHeight="1">
      <c r="A5" s="186" t="s">
        <v>15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5">
      <c r="A6" s="169">
        <v>1</v>
      </c>
      <c r="B6" s="170" t="s">
        <v>16</v>
      </c>
      <c r="C6" s="171" t="s">
        <v>17</v>
      </c>
      <c r="D6" s="30">
        <v>3731630690.25</v>
      </c>
      <c r="E6" s="27">
        <f t="shared" ref="E6:E22" si="0">(D6/$D$25)</f>
        <v>5.3474733417387302E-2</v>
      </c>
      <c r="F6" s="30">
        <v>585.89049999999997</v>
      </c>
      <c r="G6" s="30">
        <v>587.85739999999998</v>
      </c>
      <c r="H6" s="29">
        <v>1693</v>
      </c>
      <c r="I6" s="47">
        <v>-4.7999999999999996E-3</v>
      </c>
      <c r="J6" s="47">
        <v>0.47389999999999999</v>
      </c>
      <c r="K6" s="30">
        <v>3504335768.9000001</v>
      </c>
      <c r="L6" s="27">
        <f t="shared" ref="L6:L22" si="1">(K6/$K$25)</f>
        <v>5.0999822391054543E-2</v>
      </c>
      <c r="M6" s="30">
        <v>580.31100000000004</v>
      </c>
      <c r="N6" s="30">
        <v>582.6173</v>
      </c>
      <c r="O6" s="29">
        <v>1693</v>
      </c>
      <c r="P6" s="47">
        <v>-9.4999999999999998E-3</v>
      </c>
      <c r="Q6" s="47">
        <v>0.45989999999999998</v>
      </c>
      <c r="R6" s="53">
        <f>((K6-D6)/D6)</f>
        <v>-6.0910347303090785E-2</v>
      </c>
      <c r="S6" s="53">
        <f>((N6-G6)/G6)</f>
        <v>-8.9138964653672544E-3</v>
      </c>
      <c r="T6" s="53">
        <f>((O6-H6)/H6)</f>
        <v>0</v>
      </c>
      <c r="U6" s="54">
        <f>P6-I6</f>
        <v>-4.7000000000000002E-3</v>
      </c>
      <c r="V6" s="55">
        <f>Q6-J6</f>
        <v>-1.4000000000000012E-2</v>
      </c>
    </row>
    <row r="7" spans="1:25">
      <c r="A7" s="169">
        <v>2</v>
      </c>
      <c r="B7" s="170" t="s">
        <v>18</v>
      </c>
      <c r="C7" s="171" t="s">
        <v>19</v>
      </c>
      <c r="D7" s="30">
        <v>1064866826.41</v>
      </c>
      <c r="E7" s="27">
        <f t="shared" si="0"/>
        <v>1.5259674494605217E-2</v>
      </c>
      <c r="F7" s="30">
        <v>403.80040000000002</v>
      </c>
      <c r="G7" s="30">
        <v>409.53149999999999</v>
      </c>
      <c r="H7" s="29">
        <v>558</v>
      </c>
      <c r="I7" s="47">
        <v>4.1199999999999999E-4</v>
      </c>
      <c r="J7" s="47">
        <v>0.56810000000000005</v>
      </c>
      <c r="K7" s="30">
        <v>1011481968.97</v>
      </c>
      <c r="L7" s="27">
        <f t="shared" si="1"/>
        <v>1.472045037094623E-2</v>
      </c>
      <c r="M7" s="30">
        <v>403.67660000000001</v>
      </c>
      <c r="N7" s="30">
        <v>409.4504</v>
      </c>
      <c r="O7" s="29">
        <v>567</v>
      </c>
      <c r="P7" s="47">
        <v>6.8640000000000003E-3</v>
      </c>
      <c r="Q7" s="47">
        <v>0.56759999999999999</v>
      </c>
      <c r="R7" s="53">
        <f t="shared" ref="R7:R25" si="2">((K7-D7)/D7)</f>
        <v>-5.0132895603459668E-2</v>
      </c>
      <c r="S7" s="53">
        <f t="shared" ref="S7:S25" si="3">((N7-G7)/G7)</f>
        <v>-1.9803116487984972E-4</v>
      </c>
      <c r="T7" s="53">
        <f t="shared" ref="T7:T25" si="4">((O7-H7)/H7)</f>
        <v>1.6129032258064516E-2</v>
      </c>
      <c r="U7" s="54">
        <f t="shared" ref="U7:U25" si="5">P7-I7</f>
        <v>6.4520000000000003E-3</v>
      </c>
      <c r="V7" s="55">
        <f t="shared" ref="V7:V25" si="6">Q7-J7</f>
        <v>-5.0000000000005596E-4</v>
      </c>
    </row>
    <row r="8" spans="1:25">
      <c r="A8" s="169">
        <v>3</v>
      </c>
      <c r="B8" s="170" t="s">
        <v>20</v>
      </c>
      <c r="C8" s="171" t="s">
        <v>21</v>
      </c>
      <c r="D8" s="30">
        <v>6065784074.4399996</v>
      </c>
      <c r="E8" s="27">
        <f t="shared" si="0"/>
        <v>8.6923442664252892E-2</v>
      </c>
      <c r="F8" s="30">
        <v>48.244799999999998</v>
      </c>
      <c r="G8" s="167">
        <v>49.699399999999997</v>
      </c>
      <c r="H8" s="31">
        <v>7192</v>
      </c>
      <c r="I8" s="48">
        <v>-0.24660000000000001</v>
      </c>
      <c r="J8" s="48">
        <v>0.57999999999999996</v>
      </c>
      <c r="K8" s="30">
        <v>5948871056.5900002</v>
      </c>
      <c r="L8" s="27">
        <f t="shared" si="1"/>
        <v>8.6575998226508008E-2</v>
      </c>
      <c r="M8" s="30">
        <v>47.487400000000001</v>
      </c>
      <c r="N8" s="167">
        <v>48.919199999999996</v>
      </c>
      <c r="O8" s="31">
        <v>7237</v>
      </c>
      <c r="P8" s="48">
        <v>-0.81859999999999999</v>
      </c>
      <c r="Q8" s="48">
        <v>0.52939999999999998</v>
      </c>
      <c r="R8" s="53">
        <f t="shared" si="2"/>
        <v>-1.9274180619558729E-2</v>
      </c>
      <c r="S8" s="53">
        <f t="shared" si="3"/>
        <v>-1.5698378652458597E-2</v>
      </c>
      <c r="T8" s="53">
        <f t="shared" si="4"/>
        <v>6.2569521690767523E-3</v>
      </c>
      <c r="U8" s="54">
        <f t="shared" si="5"/>
        <v>-0.57199999999999995</v>
      </c>
      <c r="V8" s="55">
        <f t="shared" si="6"/>
        <v>-5.0599999999999978E-2</v>
      </c>
      <c r="X8" s="56"/>
      <c r="Y8" s="56"/>
    </row>
    <row r="9" spans="1:25">
      <c r="A9" s="169">
        <v>4</v>
      </c>
      <c r="B9" s="170" t="s">
        <v>22</v>
      </c>
      <c r="C9" s="171" t="s">
        <v>23</v>
      </c>
      <c r="D9" s="30">
        <v>1164207489.3199999</v>
      </c>
      <c r="E9" s="27">
        <f t="shared" si="0"/>
        <v>1.6683238589653135E-2</v>
      </c>
      <c r="F9" s="30">
        <v>254.86240000000001</v>
      </c>
      <c r="G9" s="30">
        <v>254.86240000000001</v>
      </c>
      <c r="H9" s="29">
        <v>2119</v>
      </c>
      <c r="I9" s="47">
        <v>-4.8899999999999999E-2</v>
      </c>
      <c r="J9" s="47">
        <v>0.31830000000000003</v>
      </c>
      <c r="K9" s="30">
        <v>1113035559.46</v>
      </c>
      <c r="L9" s="27">
        <f t="shared" si="1"/>
        <v>1.6198395242590088E-2</v>
      </c>
      <c r="M9" s="30">
        <v>248.5488</v>
      </c>
      <c r="N9" s="30">
        <v>248.5488</v>
      </c>
      <c r="O9" s="29">
        <v>2144</v>
      </c>
      <c r="P9" s="47">
        <v>-2.4799999999999999E-2</v>
      </c>
      <c r="Q9" s="47">
        <v>0.28949999999999998</v>
      </c>
      <c r="R9" s="53">
        <f t="shared" si="2"/>
        <v>-4.395430396164933E-2</v>
      </c>
      <c r="S9" s="53">
        <f t="shared" si="3"/>
        <v>-2.4772583166445924E-2</v>
      </c>
      <c r="T9" s="53">
        <f t="shared" si="4"/>
        <v>1.1798017932987258E-2</v>
      </c>
      <c r="U9" s="54">
        <f t="shared" si="5"/>
        <v>2.41E-2</v>
      </c>
      <c r="V9" s="55">
        <f t="shared" si="6"/>
        <v>-2.8800000000000048E-2</v>
      </c>
    </row>
    <row r="10" spans="1:25">
      <c r="A10" s="169">
        <v>5</v>
      </c>
      <c r="B10" s="170" t="s">
        <v>24</v>
      </c>
      <c r="C10" s="171" t="s">
        <v>25</v>
      </c>
      <c r="D10" s="30">
        <v>1750788493.95</v>
      </c>
      <c r="E10" s="27">
        <f t="shared" si="0"/>
        <v>2.5089017578514179E-2</v>
      </c>
      <c r="F10" s="30">
        <v>1.6096999999999999</v>
      </c>
      <c r="G10" s="30">
        <v>1.6268</v>
      </c>
      <c r="H10" s="29">
        <v>679</v>
      </c>
      <c r="I10" s="47">
        <v>-1.0500000000000001E-2</v>
      </c>
      <c r="J10" s="47">
        <v>0.36470000000000002</v>
      </c>
      <c r="K10" s="30">
        <v>1762864898.3599999</v>
      </c>
      <c r="L10" s="27">
        <f t="shared" si="1"/>
        <v>2.5655588575065558E-2</v>
      </c>
      <c r="M10" s="30">
        <v>1.5898000000000001</v>
      </c>
      <c r="N10" s="30">
        <v>1.6064000000000001</v>
      </c>
      <c r="O10" s="29">
        <v>679</v>
      </c>
      <c r="P10" s="47">
        <v>-1.2500000000000001E-2</v>
      </c>
      <c r="Q10" s="47">
        <v>0.34849999999999998</v>
      </c>
      <c r="R10" s="53">
        <f t="shared" si="2"/>
        <v>6.8976946397185605E-3</v>
      </c>
      <c r="S10" s="53">
        <f t="shared" si="3"/>
        <v>-1.2539955741332662E-2</v>
      </c>
      <c r="T10" s="53">
        <f t="shared" si="4"/>
        <v>0</v>
      </c>
      <c r="U10" s="54">
        <f t="shared" si="5"/>
        <v>-2E-3</v>
      </c>
      <c r="V10" s="55">
        <f t="shared" si="6"/>
        <v>-1.6200000000000048E-2</v>
      </c>
    </row>
    <row r="11" spans="1:25">
      <c r="A11" s="169">
        <v>6</v>
      </c>
      <c r="B11" s="170" t="s">
        <v>26</v>
      </c>
      <c r="C11" s="171" t="s">
        <v>27</v>
      </c>
      <c r="D11" s="32">
        <v>202904627.13</v>
      </c>
      <c r="E11" s="27">
        <f t="shared" si="0"/>
        <v>2.9076486248440113E-3</v>
      </c>
      <c r="F11" s="30">
        <v>206.22309999999999</v>
      </c>
      <c r="G11" s="30">
        <v>207.60900000000001</v>
      </c>
      <c r="H11" s="31">
        <v>86</v>
      </c>
      <c r="I11" s="48">
        <v>-4.4850000000000001E-4</v>
      </c>
      <c r="J11" s="48">
        <v>0.20979999999999999</v>
      </c>
      <c r="K11" s="32">
        <v>198714342.68000001</v>
      </c>
      <c r="L11" s="27">
        <f t="shared" si="1"/>
        <v>2.8919592332376032E-3</v>
      </c>
      <c r="M11" s="30">
        <v>201.75909999999999</v>
      </c>
      <c r="N11" s="30">
        <v>203.11320000000001</v>
      </c>
      <c r="O11" s="31">
        <v>88</v>
      </c>
      <c r="P11" s="48">
        <v>-2.545E-3</v>
      </c>
      <c r="Q11" s="48">
        <v>0.20080000000000001</v>
      </c>
      <c r="R11" s="53">
        <f t="shared" si="2"/>
        <v>-2.0651497746846815E-2</v>
      </c>
      <c r="S11" s="53">
        <f t="shared" si="3"/>
        <v>-2.1655130557923803E-2</v>
      </c>
      <c r="T11" s="53">
        <f t="shared" si="4"/>
        <v>2.3255813953488372E-2</v>
      </c>
      <c r="U11" s="54">
        <f t="shared" si="5"/>
        <v>-2.0964999999999998E-3</v>
      </c>
      <c r="V11" s="55">
        <f t="shared" si="6"/>
        <v>-8.9999999999999802E-3</v>
      </c>
    </row>
    <row r="12" spans="1:25">
      <c r="A12" s="169">
        <v>7</v>
      </c>
      <c r="B12" s="170" t="s">
        <v>28</v>
      </c>
      <c r="C12" s="171" t="s">
        <v>29</v>
      </c>
      <c r="D12" s="30">
        <v>2478586874.6399999</v>
      </c>
      <c r="E12" s="27">
        <f t="shared" si="0"/>
        <v>3.5518459187162899E-2</v>
      </c>
      <c r="F12" s="30">
        <v>493.44</v>
      </c>
      <c r="G12" s="30">
        <v>499.9</v>
      </c>
      <c r="H12" s="31">
        <v>1742</v>
      </c>
      <c r="I12" s="48">
        <v>-4.4000000000000003E-3</v>
      </c>
      <c r="J12" s="48">
        <v>0.52380000000000004</v>
      </c>
      <c r="K12" s="30">
        <v>2488585092.9200001</v>
      </c>
      <c r="L12" s="27">
        <f t="shared" si="1"/>
        <v>3.6217248036076448E-2</v>
      </c>
      <c r="M12" s="30">
        <v>491.98</v>
      </c>
      <c r="N12" s="30">
        <v>498.73</v>
      </c>
      <c r="O12" s="31">
        <v>1751</v>
      </c>
      <c r="P12" s="48">
        <v>-2.5999999999999999E-3</v>
      </c>
      <c r="Q12" s="48">
        <v>0.51929999999999998</v>
      </c>
      <c r="R12" s="53">
        <f t="shared" si="2"/>
        <v>4.0338381447502791E-3</v>
      </c>
      <c r="S12" s="53">
        <f t="shared" si="3"/>
        <v>-2.340468093618642E-3</v>
      </c>
      <c r="T12" s="53">
        <f t="shared" si="4"/>
        <v>5.1664753157290473E-3</v>
      </c>
      <c r="U12" s="54">
        <f t="shared" si="5"/>
        <v>1.8000000000000004E-3</v>
      </c>
      <c r="V12" s="55">
        <f t="shared" si="6"/>
        <v>-4.5000000000000595E-3</v>
      </c>
    </row>
    <row r="13" spans="1:25">
      <c r="A13" s="169">
        <v>8</v>
      </c>
      <c r="B13" s="170" t="s">
        <v>30</v>
      </c>
      <c r="C13" s="171" t="s">
        <v>31</v>
      </c>
      <c r="D13" s="26">
        <v>525150931.81</v>
      </c>
      <c r="E13" s="27">
        <f t="shared" si="0"/>
        <v>7.5254783802174473E-3</v>
      </c>
      <c r="F13" s="30">
        <v>252.8</v>
      </c>
      <c r="G13" s="30">
        <v>265.37</v>
      </c>
      <c r="H13" s="29">
        <v>2469</v>
      </c>
      <c r="I13" s="47">
        <v>-1.9900000000000001E-2</v>
      </c>
      <c r="J13" s="47">
        <v>0.19370000000000001</v>
      </c>
      <c r="K13" s="26">
        <v>499892035.52999997</v>
      </c>
      <c r="L13" s="27">
        <f t="shared" si="1"/>
        <v>7.2751033884904644E-3</v>
      </c>
      <c r="M13" s="30">
        <v>249.12</v>
      </c>
      <c r="N13" s="30">
        <v>261.43</v>
      </c>
      <c r="O13" s="29">
        <v>2469</v>
      </c>
      <c r="P13" s="47">
        <v>-1.46E-2</v>
      </c>
      <c r="Q13" s="47">
        <v>0.17630000000000001</v>
      </c>
      <c r="R13" s="53">
        <f t="shared" si="2"/>
        <v>-4.8098355634525886E-2</v>
      </c>
      <c r="S13" s="53">
        <f t="shared" si="3"/>
        <v>-1.4847194483174427E-2</v>
      </c>
      <c r="T13" s="53">
        <f t="shared" si="4"/>
        <v>0</v>
      </c>
      <c r="U13" s="54">
        <f t="shared" si="5"/>
        <v>5.3000000000000009E-3</v>
      </c>
      <c r="V13" s="55">
        <f t="shared" si="6"/>
        <v>-1.7399999999999999E-2</v>
      </c>
    </row>
    <row r="14" spans="1:25">
      <c r="A14" s="169">
        <v>9</v>
      </c>
      <c r="B14" s="170" t="s">
        <v>32</v>
      </c>
      <c r="C14" s="171" t="s">
        <v>33</v>
      </c>
      <c r="D14" s="32">
        <v>87034716.305700004</v>
      </c>
      <c r="E14" s="27">
        <f t="shared" si="0"/>
        <v>1.2472183446946179E-3</v>
      </c>
      <c r="F14" s="30">
        <v>315.12</v>
      </c>
      <c r="G14" s="30">
        <v>316.66000000000003</v>
      </c>
      <c r="H14" s="29">
        <v>18</v>
      </c>
      <c r="I14" s="47">
        <v>0</v>
      </c>
      <c r="J14" s="47">
        <v>0.40600000000000003</v>
      </c>
      <c r="K14" s="32">
        <v>87052176.586600006</v>
      </c>
      <c r="L14" s="27">
        <f t="shared" si="1"/>
        <v>1.2669007302530569E-3</v>
      </c>
      <c r="M14" s="30">
        <v>315.19</v>
      </c>
      <c r="N14" s="30">
        <v>316.72000000000003</v>
      </c>
      <c r="O14" s="29">
        <v>18</v>
      </c>
      <c r="P14" s="47">
        <v>2.0000000000000001E-4</v>
      </c>
      <c r="Q14" s="47">
        <v>0.40629999999999999</v>
      </c>
      <c r="R14" s="53">
        <f t="shared" si="2"/>
        <v>2.0061283176559319E-4</v>
      </c>
      <c r="S14" s="53">
        <f t="shared" si="3"/>
        <v>1.8947767321418008E-4</v>
      </c>
      <c r="T14" s="53">
        <f t="shared" si="4"/>
        <v>0</v>
      </c>
      <c r="U14" s="54">
        <f t="shared" si="5"/>
        <v>2.0000000000000001E-4</v>
      </c>
      <c r="V14" s="55">
        <f t="shared" si="6"/>
        <v>2.9999999999996696E-4</v>
      </c>
    </row>
    <row r="15" spans="1:25" ht="14.25" customHeight="1">
      <c r="A15" s="169">
        <v>10</v>
      </c>
      <c r="B15" s="170" t="s">
        <v>34</v>
      </c>
      <c r="C15" s="171" t="s">
        <v>35</v>
      </c>
      <c r="D15" s="26">
        <v>1807435298.55</v>
      </c>
      <c r="E15" s="27">
        <f t="shared" si="0"/>
        <v>2.5900773356717643E-2</v>
      </c>
      <c r="F15" s="30">
        <v>3.6449419999999999</v>
      </c>
      <c r="G15" s="30">
        <v>3.6695069999999999</v>
      </c>
      <c r="H15" s="29">
        <v>989</v>
      </c>
      <c r="I15" s="47">
        <v>-2.7000000000000001E-3</v>
      </c>
      <c r="J15" s="47">
        <v>0.74009999999999998</v>
      </c>
      <c r="K15" s="26">
        <v>1855483307.9100001</v>
      </c>
      <c r="L15" s="27">
        <f t="shared" si="1"/>
        <v>2.7003496637732355E-2</v>
      </c>
      <c r="M15" s="30">
        <v>3.6336729999999999</v>
      </c>
      <c r="N15" s="30">
        <v>3.6635149999999999</v>
      </c>
      <c r="O15" s="29">
        <v>1019</v>
      </c>
      <c r="P15" s="47">
        <v>-3.0999999999999999E-3</v>
      </c>
      <c r="Q15" s="47">
        <v>0.73470000000000002</v>
      </c>
      <c r="R15" s="53">
        <f t="shared" si="2"/>
        <v>2.6583529379196176E-2</v>
      </c>
      <c r="S15" s="53">
        <f t="shared" si="3"/>
        <v>-1.6329169013712189E-3</v>
      </c>
      <c r="T15" s="53">
        <f t="shared" si="4"/>
        <v>3.0333670374115267E-2</v>
      </c>
      <c r="U15" s="54">
        <f t="shared" si="5"/>
        <v>-3.9999999999999975E-4</v>
      </c>
      <c r="V15" s="55">
        <f t="shared" si="6"/>
        <v>-5.3999999999999604E-3</v>
      </c>
    </row>
    <row r="16" spans="1:25" ht="14.25" customHeight="1">
      <c r="A16" s="175">
        <v>11</v>
      </c>
      <c r="B16" s="170" t="s">
        <v>36</v>
      </c>
      <c r="C16" s="171" t="s">
        <v>37</v>
      </c>
      <c r="D16" s="26">
        <v>64762039.490000002</v>
      </c>
      <c r="E16" s="27">
        <f t="shared" si="0"/>
        <v>9.2804810678144762E-4</v>
      </c>
      <c r="F16" s="30">
        <v>23.29</v>
      </c>
      <c r="G16" s="30">
        <v>23.72</v>
      </c>
      <c r="H16" s="29">
        <v>48</v>
      </c>
      <c r="I16" s="47">
        <v>2.0000000000000001E-4</v>
      </c>
      <c r="J16" s="47">
        <v>1.3299999999999999E-2</v>
      </c>
      <c r="K16" s="26">
        <v>68081058.310000002</v>
      </c>
      <c r="L16" s="27">
        <f t="shared" si="1"/>
        <v>9.9080742000214115E-4</v>
      </c>
      <c r="M16" s="30">
        <v>22.5</v>
      </c>
      <c r="N16" s="30">
        <v>22.88</v>
      </c>
      <c r="O16" s="29">
        <v>48</v>
      </c>
      <c r="P16" s="47">
        <v>-3.3099999999999997E-2</v>
      </c>
      <c r="Q16" s="47">
        <v>0.125</v>
      </c>
      <c r="R16" s="53">
        <f t="shared" ref="R16" si="7">((K16-D16)/D16)</f>
        <v>5.1249448691505377E-2</v>
      </c>
      <c r="S16" s="53">
        <f t="shared" ref="S16" si="8">((N16-G16)/G16)</f>
        <v>-3.541315345699831E-2</v>
      </c>
      <c r="T16" s="53">
        <f t="shared" ref="T16" si="9">((O16-H16)/H16)</f>
        <v>0</v>
      </c>
      <c r="U16" s="54">
        <f t="shared" ref="U16" si="10">P16-I16</f>
        <v>-3.3299999999999996E-2</v>
      </c>
      <c r="V16" s="55">
        <f t="shared" ref="V16" si="11">Q16-J16</f>
        <v>0.11169999999999999</v>
      </c>
    </row>
    <row r="17" spans="1:22">
      <c r="A17" s="169">
        <v>12</v>
      </c>
      <c r="B17" s="170" t="s">
        <v>38</v>
      </c>
      <c r="C17" s="171" t="s">
        <v>39</v>
      </c>
      <c r="D17" s="124">
        <v>2649288332.4200001</v>
      </c>
      <c r="E17" s="27">
        <f t="shared" si="0"/>
        <v>3.7964632376968392E-2</v>
      </c>
      <c r="F17" s="30">
        <v>5.36</v>
      </c>
      <c r="G17" s="30">
        <v>5.47</v>
      </c>
      <c r="H17" s="29">
        <v>3654</v>
      </c>
      <c r="I17" s="47">
        <v>-2.7099999999999999E-2</v>
      </c>
      <c r="J17" s="47">
        <v>0.47260000000000002</v>
      </c>
      <c r="K17" s="124">
        <v>2589485656.98</v>
      </c>
      <c r="L17" s="27">
        <f t="shared" si="1"/>
        <v>3.7685689186004415E-2</v>
      </c>
      <c r="M17" s="30">
        <v>5.23</v>
      </c>
      <c r="N17" s="30">
        <v>5.35</v>
      </c>
      <c r="O17" s="29">
        <v>3656</v>
      </c>
      <c r="P17" s="47">
        <v>-3.3099999999999997E-2</v>
      </c>
      <c r="Q17" s="47">
        <v>0.43909999999999999</v>
      </c>
      <c r="R17" s="53">
        <f t="shared" si="2"/>
        <v>-2.257310943024957E-2</v>
      </c>
      <c r="S17" s="53">
        <f t="shared" si="3"/>
        <v>-2.1937842778793439E-2</v>
      </c>
      <c r="T17" s="53">
        <f t="shared" si="4"/>
        <v>5.4734537493158185E-4</v>
      </c>
      <c r="U17" s="54">
        <f t="shared" si="5"/>
        <v>-5.9999999999999984E-3</v>
      </c>
      <c r="V17" s="55">
        <f t="shared" si="6"/>
        <v>-3.350000000000003E-2</v>
      </c>
    </row>
    <row r="18" spans="1:22">
      <c r="A18" s="169">
        <v>13</v>
      </c>
      <c r="B18" s="170" t="s">
        <v>40</v>
      </c>
      <c r="C18" s="171" t="s">
        <v>41</v>
      </c>
      <c r="D18" s="30">
        <v>1835510372.1199999</v>
      </c>
      <c r="E18" s="27">
        <f t="shared" si="0"/>
        <v>2.6303092664132468E-2</v>
      </c>
      <c r="F18" s="30">
        <v>32.47</v>
      </c>
      <c r="G18" s="30">
        <v>32.56</v>
      </c>
      <c r="H18" s="29">
        <v>687</v>
      </c>
      <c r="I18" s="47">
        <v>1.43E-2</v>
      </c>
      <c r="J18" s="47">
        <v>0.38190000000000002</v>
      </c>
      <c r="K18" s="30">
        <v>1800243790.1099999</v>
      </c>
      <c r="L18" s="27">
        <f t="shared" si="1"/>
        <v>2.6199576641889086E-2</v>
      </c>
      <c r="M18" s="30">
        <v>31.54</v>
      </c>
      <c r="N18" s="30">
        <v>31.64</v>
      </c>
      <c r="O18" s="29">
        <v>707</v>
      </c>
      <c r="P18" s="47">
        <v>-2.86E-2</v>
      </c>
      <c r="Q18" s="47">
        <v>0.34370000000000001</v>
      </c>
      <c r="R18" s="53">
        <f t="shared" si="2"/>
        <v>-1.9213501893354801E-2</v>
      </c>
      <c r="S18" s="53">
        <f t="shared" si="3"/>
        <v>-2.8255528255528305E-2</v>
      </c>
      <c r="T18" s="53">
        <f t="shared" si="4"/>
        <v>2.9112081513828238E-2</v>
      </c>
      <c r="U18" s="54">
        <f t="shared" si="5"/>
        <v>-4.2900000000000001E-2</v>
      </c>
      <c r="V18" s="55">
        <f t="shared" si="6"/>
        <v>-3.8200000000000012E-2</v>
      </c>
    </row>
    <row r="19" spans="1:22">
      <c r="A19" s="169">
        <v>14</v>
      </c>
      <c r="B19" s="170" t="s">
        <v>42</v>
      </c>
      <c r="C19" s="171" t="s">
        <v>43</v>
      </c>
      <c r="D19" s="30">
        <v>180914826.75999999</v>
      </c>
      <c r="E19" s="27">
        <f t="shared" si="0"/>
        <v>2.5925320416945313E-3</v>
      </c>
      <c r="F19" s="30">
        <v>1.957662</v>
      </c>
      <c r="G19" s="30">
        <v>2.0256470000000002</v>
      </c>
      <c r="H19" s="29">
        <v>22</v>
      </c>
      <c r="I19" s="47">
        <v>0.04</v>
      </c>
      <c r="J19" s="47">
        <v>0.40200000000000002</v>
      </c>
      <c r="K19" s="30">
        <v>182914826.75999999</v>
      </c>
      <c r="L19" s="27">
        <f t="shared" si="1"/>
        <v>2.6620233598159846E-3</v>
      </c>
      <c r="M19" s="30">
        <v>1.96</v>
      </c>
      <c r="N19" s="30">
        <v>2.0256470000000002</v>
      </c>
      <c r="O19" s="29">
        <v>22</v>
      </c>
      <c r="P19" s="47">
        <v>2.9999999999999997E-4</v>
      </c>
      <c r="Q19" s="47">
        <v>0.40229999999999999</v>
      </c>
      <c r="R19" s="53">
        <f t="shared" si="2"/>
        <v>1.105492587765171E-2</v>
      </c>
      <c r="S19" s="53">
        <f t="shared" si="3"/>
        <v>0</v>
      </c>
      <c r="T19" s="53">
        <f t="shared" si="4"/>
        <v>0</v>
      </c>
      <c r="U19" s="54">
        <f t="shared" si="5"/>
        <v>-3.9699999999999999E-2</v>
      </c>
      <c r="V19" s="55">
        <f t="shared" si="6"/>
        <v>2.9999999999996696E-4</v>
      </c>
    </row>
    <row r="20" spans="1:22">
      <c r="A20" s="169">
        <v>15</v>
      </c>
      <c r="B20" s="170" t="s">
        <v>44</v>
      </c>
      <c r="C20" s="171" t="s">
        <v>45</v>
      </c>
      <c r="D20" s="26">
        <v>8350526342.3999996</v>
      </c>
      <c r="E20" s="27">
        <f t="shared" si="0"/>
        <v>0.1196640844501132</v>
      </c>
      <c r="F20" s="30">
        <v>49.83</v>
      </c>
      <c r="G20" s="30">
        <v>50.28</v>
      </c>
      <c r="H20" s="29">
        <v>10024</v>
      </c>
      <c r="I20" s="47">
        <v>-1.23E-2</v>
      </c>
      <c r="J20" s="47">
        <v>0.63629999999999998</v>
      </c>
      <c r="K20" s="26">
        <v>8011135242.1499996</v>
      </c>
      <c r="L20" s="27">
        <f t="shared" si="1"/>
        <v>0.11658884919826489</v>
      </c>
      <c r="M20" s="30">
        <v>49.83</v>
      </c>
      <c r="N20" s="30">
        <v>49.08</v>
      </c>
      <c r="O20" s="29">
        <v>10024</v>
      </c>
      <c r="P20" s="47">
        <v>-1.7600000000000001E-2</v>
      </c>
      <c r="Q20" s="47">
        <v>0.60750000000000004</v>
      </c>
      <c r="R20" s="53">
        <f t="shared" si="2"/>
        <v>-4.0643078811300012E-2</v>
      </c>
      <c r="S20" s="53">
        <f t="shared" si="3"/>
        <v>-2.3866348448687406E-2</v>
      </c>
      <c r="T20" s="53">
        <f t="shared" si="4"/>
        <v>0</v>
      </c>
      <c r="U20" s="54">
        <f t="shared" si="5"/>
        <v>-5.3000000000000009E-3</v>
      </c>
      <c r="V20" s="55">
        <f t="shared" si="6"/>
        <v>-2.8799999999999937E-2</v>
      </c>
    </row>
    <row r="21" spans="1:22" ht="12.75" customHeight="1">
      <c r="A21" s="169">
        <v>16</v>
      </c>
      <c r="B21" s="170" t="s">
        <v>46</v>
      </c>
      <c r="C21" s="171" t="s">
        <v>47</v>
      </c>
      <c r="D21" s="30">
        <v>1633795621.49</v>
      </c>
      <c r="E21" s="27">
        <f t="shared" si="0"/>
        <v>2.3412495118004088E-2</v>
      </c>
      <c r="F21" s="30">
        <v>12360.12</v>
      </c>
      <c r="G21" s="30">
        <v>12520.33</v>
      </c>
      <c r="H21" s="29">
        <v>25</v>
      </c>
      <c r="I21" s="47">
        <v>-2.5999999999999999E-2</v>
      </c>
      <c r="J21" s="47">
        <v>0.54359999999999997</v>
      </c>
      <c r="K21" s="30">
        <v>1538257942.97</v>
      </c>
      <c r="L21" s="27">
        <f t="shared" si="1"/>
        <v>2.2386805105643285E-2</v>
      </c>
      <c r="M21" s="30">
        <v>12396.85</v>
      </c>
      <c r="N21" s="30">
        <v>12567.7</v>
      </c>
      <c r="O21" s="29">
        <v>25</v>
      </c>
      <c r="P21" s="47">
        <v>3.8E-3</v>
      </c>
      <c r="Q21" s="47">
        <v>0.54949999999999999</v>
      </c>
      <c r="R21" s="53">
        <f t="shared" si="2"/>
        <v>-5.847590559269028E-2</v>
      </c>
      <c r="S21" s="53">
        <f t="shared" si="3"/>
        <v>3.783446602445846E-3</v>
      </c>
      <c r="T21" s="53">
        <f t="shared" si="4"/>
        <v>0</v>
      </c>
      <c r="U21" s="54">
        <f t="shared" si="5"/>
        <v>2.98E-2</v>
      </c>
      <c r="V21" s="55">
        <f t="shared" si="6"/>
        <v>5.9000000000000163E-3</v>
      </c>
    </row>
    <row r="22" spans="1:22">
      <c r="A22" s="169">
        <v>17</v>
      </c>
      <c r="B22" s="170" t="s">
        <v>48</v>
      </c>
      <c r="C22" s="171" t="s">
        <v>47</v>
      </c>
      <c r="D22" s="30">
        <v>23570154861.860001</v>
      </c>
      <c r="E22" s="27">
        <f t="shared" si="0"/>
        <v>0.33776326021159875</v>
      </c>
      <c r="F22" s="30">
        <v>41378.31</v>
      </c>
      <c r="G22" s="30">
        <v>41977.05</v>
      </c>
      <c r="H22" s="29">
        <v>18653</v>
      </c>
      <c r="I22" s="47">
        <v>-1.83E-2</v>
      </c>
      <c r="J22" s="47">
        <v>0.63329999999999997</v>
      </c>
      <c r="K22" s="30">
        <v>23430076755.299999</v>
      </c>
      <c r="L22" s="27">
        <f t="shared" si="1"/>
        <v>0.34098609035519456</v>
      </c>
      <c r="M22" s="30">
        <v>41004.949999999997</v>
      </c>
      <c r="N22" s="30">
        <v>41602.74</v>
      </c>
      <c r="O22" s="29">
        <v>18750</v>
      </c>
      <c r="P22" s="47">
        <v>-8.8999999999999999E-3</v>
      </c>
      <c r="Q22" s="47">
        <v>0.61870000000000003</v>
      </c>
      <c r="R22" s="53">
        <f t="shared" si="2"/>
        <v>-5.9430286895004025E-3</v>
      </c>
      <c r="S22" s="53">
        <f t="shared" si="3"/>
        <v>-8.9170153691125256E-3</v>
      </c>
      <c r="T22" s="53">
        <f t="shared" si="4"/>
        <v>5.2002358869886883E-3</v>
      </c>
      <c r="U22" s="54">
        <f t="shared" si="5"/>
        <v>9.4000000000000004E-3</v>
      </c>
      <c r="V22" s="55">
        <f t="shared" si="6"/>
        <v>-1.4599999999999946E-2</v>
      </c>
    </row>
    <row r="23" spans="1:22">
      <c r="A23" s="169">
        <v>18</v>
      </c>
      <c r="B23" s="171" t="s">
        <v>49</v>
      </c>
      <c r="C23" s="171" t="s">
        <v>50</v>
      </c>
      <c r="D23" s="30">
        <v>5989591597.6000004</v>
      </c>
      <c r="E23" s="27">
        <f t="shared" ref="E23" si="12">(D23/$D$25)</f>
        <v>8.5831594963976729E-2</v>
      </c>
      <c r="F23" s="30">
        <v>1.8388</v>
      </c>
      <c r="G23" s="28">
        <v>1.8574999999999999</v>
      </c>
      <c r="H23" s="29">
        <v>5533</v>
      </c>
      <c r="I23" s="47">
        <v>-1.6500000000000001E-2</v>
      </c>
      <c r="J23" s="47">
        <v>0.41789999999999999</v>
      </c>
      <c r="K23" s="30">
        <v>5948265876.3699999</v>
      </c>
      <c r="L23" s="27">
        <f t="shared" ref="L23" si="13">(K23/$K$25)</f>
        <v>8.656719082739732E-2</v>
      </c>
      <c r="M23" s="30">
        <v>1.8173999999999999</v>
      </c>
      <c r="N23" s="28">
        <v>1.8360000000000001</v>
      </c>
      <c r="O23" s="29">
        <v>5697</v>
      </c>
      <c r="P23" s="47">
        <v>-1.4E-2</v>
      </c>
      <c r="Q23" s="47">
        <v>0.40050000000000002</v>
      </c>
      <c r="R23" s="53">
        <f t="shared" ref="R23" si="14">((K23-D23)/D23)</f>
        <v>-6.8995891550534946E-3</v>
      </c>
      <c r="S23" s="53">
        <f t="shared" ref="S23" si="15">((N23-G23)/G23)</f>
        <v>-1.1574697173620379E-2</v>
      </c>
      <c r="T23" s="53">
        <f t="shared" ref="T23" si="16">((O23-H23)/H23)</f>
        <v>2.9640339779504789E-2</v>
      </c>
      <c r="U23" s="54">
        <f t="shared" ref="U23" si="17">P23-I23</f>
        <v>2.5000000000000005E-3</v>
      </c>
      <c r="V23" s="55">
        <f t="shared" ref="V23" si="18">Q23-J23</f>
        <v>-1.7399999999999971E-2</v>
      </c>
    </row>
    <row r="24" spans="1:22">
      <c r="A24" s="169">
        <v>19</v>
      </c>
      <c r="B24" s="171" t="s">
        <v>290</v>
      </c>
      <c r="C24" s="171" t="s">
        <v>291</v>
      </c>
      <c r="D24" s="30">
        <v>6630128969.5200005</v>
      </c>
      <c r="E24" s="27">
        <f>(D24/$D$25)</f>
        <v>9.5010575428681063E-2</v>
      </c>
      <c r="F24" s="30">
        <v>209.13</v>
      </c>
      <c r="G24" s="28">
        <v>212.79</v>
      </c>
      <c r="H24" s="29">
        <v>53</v>
      </c>
      <c r="I24" s="47">
        <v>-3.4000000000000002E-2</v>
      </c>
      <c r="J24" s="47">
        <v>0.71889999999999998</v>
      </c>
      <c r="K24" s="30">
        <v>6673927993.9499998</v>
      </c>
      <c r="L24" s="27">
        <f>(K24/$K$25)</f>
        <v>9.7128005073833928E-2</v>
      </c>
      <c r="M24" s="30">
        <v>206.09</v>
      </c>
      <c r="N24" s="28">
        <v>209.62</v>
      </c>
      <c r="O24" s="29">
        <v>55</v>
      </c>
      <c r="P24" s="47">
        <v>-1.47E-2</v>
      </c>
      <c r="Q24" s="47">
        <v>0.69359999999999999</v>
      </c>
      <c r="R24" s="53">
        <f t="shared" si="2"/>
        <v>6.6060591930190244E-3</v>
      </c>
      <c r="S24" s="53">
        <f t="shared" si="3"/>
        <v>-1.4897316603223777E-2</v>
      </c>
      <c r="T24" s="53">
        <f t="shared" si="4"/>
        <v>3.7735849056603772E-2</v>
      </c>
      <c r="U24" s="54">
        <f t="shared" si="5"/>
        <v>1.9300000000000005E-2</v>
      </c>
      <c r="V24" s="55">
        <f t="shared" si="6"/>
        <v>-2.5299999999999989E-2</v>
      </c>
    </row>
    <row r="25" spans="1:22">
      <c r="A25" s="33"/>
      <c r="B25" s="34"/>
      <c r="C25" s="35" t="s">
        <v>51</v>
      </c>
      <c r="D25" s="36">
        <f>SUM(D6:D24)</f>
        <v>69783062986.465698</v>
      </c>
      <c r="E25" s="37">
        <f>(D25/$D$226)</f>
        <v>1.0817489384056722E-2</v>
      </c>
      <c r="F25" s="38"/>
      <c r="G25" s="39"/>
      <c r="H25" s="40">
        <f>SUM(H6:H24)</f>
        <v>56244</v>
      </c>
      <c r="I25" s="49"/>
      <c r="J25" s="29">
        <v>0</v>
      </c>
      <c r="K25" s="36">
        <f>SUM(K6:K24)</f>
        <v>68712705350.806602</v>
      </c>
      <c r="L25" s="37">
        <f>(K25/$K$226)</f>
        <v>1.0564950639477266E-2</v>
      </c>
      <c r="M25" s="38"/>
      <c r="N25" s="39"/>
      <c r="O25" s="40">
        <f>SUM(O6:O24)</f>
        <v>56649</v>
      </c>
      <c r="P25" s="49"/>
      <c r="Q25" s="40"/>
      <c r="R25" s="53">
        <f t="shared" si="2"/>
        <v>-1.5338358476277972E-2</v>
      </c>
      <c r="S25" s="53" t="e">
        <f t="shared" si="3"/>
        <v>#DIV/0!</v>
      </c>
      <c r="T25" s="53">
        <f t="shared" si="4"/>
        <v>7.2007680819287387E-3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</row>
    <row r="27" spans="1:22" ht="15" customHeight="1">
      <c r="A27" s="186" t="s">
        <v>52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</row>
    <row r="28" spans="1:22">
      <c r="A28" s="172">
        <v>20</v>
      </c>
      <c r="B28" s="170" t="s">
        <v>53</v>
      </c>
      <c r="C28" s="171" t="s">
        <v>17</v>
      </c>
      <c r="D28" s="41">
        <v>4345015511.29</v>
      </c>
      <c r="E28" s="27">
        <f t="shared" ref="E28:E33" si="19">(D28/$K$70)</f>
        <v>1.1746503615639899E-3</v>
      </c>
      <c r="F28" s="28">
        <v>100</v>
      </c>
      <c r="G28" s="28">
        <v>100</v>
      </c>
      <c r="H28" s="29">
        <v>868</v>
      </c>
      <c r="I28" s="47">
        <v>0.1749</v>
      </c>
      <c r="J28" s="47">
        <v>0.1749</v>
      </c>
      <c r="K28" s="41">
        <v>4364178409.46</v>
      </c>
      <c r="L28" s="27">
        <f t="shared" ref="L28:L33" si="20">(K28/$K$70)</f>
        <v>1.1798309426702058E-3</v>
      </c>
      <c r="M28" s="28">
        <v>100</v>
      </c>
      <c r="N28" s="28">
        <v>100</v>
      </c>
      <c r="O28" s="29">
        <v>868</v>
      </c>
      <c r="P28" s="47">
        <v>0.17849999999999999</v>
      </c>
      <c r="Q28" s="47">
        <v>0.17849999999999999</v>
      </c>
      <c r="R28" s="53">
        <f>((K28-D28)/D28)</f>
        <v>4.4103175512740034E-3</v>
      </c>
      <c r="S28" s="53">
        <f>((N28-G28)/G28)</f>
        <v>0</v>
      </c>
      <c r="T28" s="53">
        <f>((O28-H28)/H28)</f>
        <v>0</v>
      </c>
      <c r="U28" s="54">
        <f>P28-I28</f>
        <v>3.5999999999999921E-3</v>
      </c>
      <c r="V28" s="55">
        <f>Q28-J28</f>
        <v>3.5999999999999921E-3</v>
      </c>
    </row>
    <row r="29" spans="1:22">
      <c r="A29" s="172">
        <v>21</v>
      </c>
      <c r="B29" s="170" t="s">
        <v>54</v>
      </c>
      <c r="C29" s="171" t="s">
        <v>55</v>
      </c>
      <c r="D29" s="41">
        <v>23952931975.98</v>
      </c>
      <c r="E29" s="27">
        <f t="shared" si="19"/>
        <v>6.4755396460596552E-3</v>
      </c>
      <c r="F29" s="28">
        <v>100</v>
      </c>
      <c r="G29" s="28">
        <v>100</v>
      </c>
      <c r="H29" s="29">
        <v>3172</v>
      </c>
      <c r="I29" s="47">
        <v>0.203068</v>
      </c>
      <c r="J29" s="47">
        <v>0.203068</v>
      </c>
      <c r="K29" s="41">
        <v>24205804953.75</v>
      </c>
      <c r="L29" s="27">
        <f t="shared" si="20"/>
        <v>6.5439024249716012E-3</v>
      </c>
      <c r="M29" s="28">
        <v>100</v>
      </c>
      <c r="N29" s="28">
        <v>100</v>
      </c>
      <c r="O29" s="29">
        <v>3206</v>
      </c>
      <c r="P29" s="47">
        <v>0.20265</v>
      </c>
      <c r="Q29" s="47">
        <v>0.20265</v>
      </c>
      <c r="R29" s="53">
        <f t="shared" ref="R29:R70" si="21">((K29-D29)/D29)</f>
        <v>1.0557078274324892E-2</v>
      </c>
      <c r="S29" s="53">
        <f t="shared" ref="S29:S70" si="22">((N29-G29)/G29)</f>
        <v>0</v>
      </c>
      <c r="T29" s="53">
        <f t="shared" ref="T29:T70" si="23">((O29-H29)/H29)</f>
        <v>1.0718789407313998E-2</v>
      </c>
      <c r="U29" s="54">
        <f t="shared" ref="U29:U70" si="24">P29-I29</f>
        <v>-4.180000000000017E-4</v>
      </c>
      <c r="V29" s="55">
        <f t="shared" ref="V29:V70" si="25">Q29-J29</f>
        <v>-4.180000000000017E-4</v>
      </c>
    </row>
    <row r="30" spans="1:22">
      <c r="A30" s="173">
        <v>22</v>
      </c>
      <c r="B30" s="170" t="s">
        <v>56</v>
      </c>
      <c r="C30" s="171" t="s">
        <v>19</v>
      </c>
      <c r="D30" s="41">
        <v>2373738869.8099999</v>
      </c>
      <c r="E30" s="27">
        <f t="shared" si="19"/>
        <v>6.4172687403202971E-4</v>
      </c>
      <c r="F30" s="28">
        <v>100</v>
      </c>
      <c r="G30" s="28">
        <v>100</v>
      </c>
      <c r="H30" s="29">
        <v>2107</v>
      </c>
      <c r="I30" s="47">
        <v>0.1956</v>
      </c>
      <c r="J30" s="47">
        <v>0.1956</v>
      </c>
      <c r="K30" s="41">
        <v>2095043545.01</v>
      </c>
      <c r="L30" s="27">
        <f t="shared" si="20"/>
        <v>5.6638316969038051E-4</v>
      </c>
      <c r="M30" s="28">
        <v>100</v>
      </c>
      <c r="N30" s="28">
        <v>100</v>
      </c>
      <c r="O30" s="29">
        <v>2129</v>
      </c>
      <c r="P30" s="47">
        <v>0.1956</v>
      </c>
      <c r="Q30" s="47">
        <v>0.1956</v>
      </c>
      <c r="R30" s="53">
        <f t="shared" si="21"/>
        <v>-0.11740774368425261</v>
      </c>
      <c r="S30" s="53">
        <f t="shared" si="22"/>
        <v>0</v>
      </c>
      <c r="T30" s="53">
        <f t="shared" si="23"/>
        <v>1.0441385856668249E-2</v>
      </c>
      <c r="U30" s="54">
        <f t="shared" si="24"/>
        <v>0</v>
      </c>
      <c r="V30" s="55">
        <f t="shared" si="25"/>
        <v>0</v>
      </c>
    </row>
    <row r="31" spans="1:22">
      <c r="A31" s="172">
        <v>23</v>
      </c>
      <c r="B31" s="170" t="s">
        <v>57</v>
      </c>
      <c r="C31" s="171" t="s">
        <v>21</v>
      </c>
      <c r="D31" s="41">
        <v>249098936505.85001</v>
      </c>
      <c r="E31" s="27">
        <f t="shared" si="19"/>
        <v>6.7342488207810844E-2</v>
      </c>
      <c r="F31" s="28">
        <v>1</v>
      </c>
      <c r="G31" s="28">
        <v>1</v>
      </c>
      <c r="H31" s="29">
        <v>73278</v>
      </c>
      <c r="I31" s="47">
        <v>0.20899999999999999</v>
      </c>
      <c r="J31" s="47">
        <v>0.20899999999999999</v>
      </c>
      <c r="K31" s="41">
        <v>251075029845.34</v>
      </c>
      <c r="L31" s="27">
        <f t="shared" si="20"/>
        <v>6.7876713862399352E-2</v>
      </c>
      <c r="M31" s="28">
        <v>1</v>
      </c>
      <c r="N31" s="28">
        <v>1</v>
      </c>
      <c r="O31" s="29">
        <v>73494</v>
      </c>
      <c r="P31" s="47">
        <v>0.20760000000000001</v>
      </c>
      <c r="Q31" s="47">
        <v>0.20760000000000001</v>
      </c>
      <c r="R31" s="53">
        <f t="shared" si="21"/>
        <v>7.9329657814238893E-3</v>
      </c>
      <c r="S31" s="53">
        <f t="shared" si="22"/>
        <v>0</v>
      </c>
      <c r="T31" s="53">
        <f t="shared" si="23"/>
        <v>2.9476787030213707E-3</v>
      </c>
      <c r="U31" s="54">
        <f t="shared" si="24"/>
        <v>-1.3999999999999846E-3</v>
      </c>
      <c r="V31" s="55">
        <f t="shared" si="25"/>
        <v>-1.3999999999999846E-3</v>
      </c>
    </row>
    <row r="32" spans="1:22">
      <c r="A32" s="172">
        <v>24</v>
      </c>
      <c r="B32" s="170" t="s">
        <v>299</v>
      </c>
      <c r="C32" s="171" t="s">
        <v>113</v>
      </c>
      <c r="D32" s="41">
        <v>1145929976</v>
      </c>
      <c r="E32" s="27">
        <f t="shared" si="19"/>
        <v>3.0979568591592386E-4</v>
      </c>
      <c r="F32" s="28">
        <v>1</v>
      </c>
      <c r="G32" s="28">
        <v>1</v>
      </c>
      <c r="H32" s="29">
        <v>300</v>
      </c>
      <c r="I32" s="47">
        <v>0.19</v>
      </c>
      <c r="J32" s="47">
        <v>0.19</v>
      </c>
      <c r="K32" s="41">
        <v>1180018228</v>
      </c>
      <c r="L32" s="27">
        <f t="shared" si="20"/>
        <v>3.1901125198993224E-4</v>
      </c>
      <c r="M32" s="28">
        <v>1</v>
      </c>
      <c r="N32" s="28">
        <v>1</v>
      </c>
      <c r="O32" s="29">
        <v>310</v>
      </c>
      <c r="P32" s="47">
        <v>0.19</v>
      </c>
      <c r="Q32" s="47">
        <v>0.19</v>
      </c>
      <c r="R32" s="53">
        <f t="shared" si="21"/>
        <v>2.9747238237879902E-2</v>
      </c>
      <c r="S32" s="53">
        <f t="shared" si="22"/>
        <v>0</v>
      </c>
      <c r="T32" s="53">
        <f t="shared" si="23"/>
        <v>3.3333333333333333E-2</v>
      </c>
      <c r="U32" s="54">
        <f t="shared" si="24"/>
        <v>0</v>
      </c>
      <c r="V32" s="55">
        <f t="shared" si="25"/>
        <v>0</v>
      </c>
    </row>
    <row r="33" spans="1:22">
      <c r="A33" s="172">
        <v>25</v>
      </c>
      <c r="B33" s="170" t="s">
        <v>58</v>
      </c>
      <c r="C33" s="171" t="s">
        <v>23</v>
      </c>
      <c r="D33" s="41">
        <v>138348209922.14999</v>
      </c>
      <c r="E33" s="27">
        <f t="shared" si="19"/>
        <v>3.7401655847837494E-2</v>
      </c>
      <c r="F33" s="28">
        <v>1</v>
      </c>
      <c r="G33" s="28">
        <v>1</v>
      </c>
      <c r="H33" s="29">
        <v>35110</v>
      </c>
      <c r="I33" s="47">
        <v>0.19689999999999999</v>
      </c>
      <c r="J33" s="47">
        <v>0.19689999999999999</v>
      </c>
      <c r="K33" s="41">
        <v>139246584114.35999</v>
      </c>
      <c r="L33" s="27">
        <f t="shared" si="20"/>
        <v>3.7644526228151953E-2</v>
      </c>
      <c r="M33" s="28">
        <v>1</v>
      </c>
      <c r="N33" s="28">
        <v>1</v>
      </c>
      <c r="O33" s="29">
        <v>35262</v>
      </c>
      <c r="P33" s="47">
        <v>0.19359999999999999</v>
      </c>
      <c r="Q33" s="47">
        <v>0.19359999999999999</v>
      </c>
      <c r="R33" s="53">
        <f t="shared" si="21"/>
        <v>6.4935729397258999E-3</v>
      </c>
      <c r="S33" s="53">
        <f t="shared" si="22"/>
        <v>0</v>
      </c>
      <c r="T33" s="53">
        <f t="shared" si="23"/>
        <v>4.3292509256622046E-3</v>
      </c>
      <c r="U33" s="54">
        <f t="shared" si="24"/>
        <v>-3.2999999999999974E-3</v>
      </c>
      <c r="V33" s="55">
        <f t="shared" si="25"/>
        <v>-3.2999999999999974E-3</v>
      </c>
    </row>
    <row r="34" spans="1:22">
      <c r="A34" s="172">
        <v>26</v>
      </c>
      <c r="B34" s="170" t="s">
        <v>284</v>
      </c>
      <c r="C34" s="171" t="s">
        <v>25</v>
      </c>
      <c r="D34" s="30">
        <v>10422867012.360001</v>
      </c>
      <c r="E34" s="27">
        <f t="shared" ref="E34" si="26">(D34/$D$25)</f>
        <v>0.14936098483354759</v>
      </c>
      <c r="F34" s="30">
        <v>1</v>
      </c>
      <c r="G34" s="30">
        <v>1</v>
      </c>
      <c r="H34" s="29">
        <v>1060</v>
      </c>
      <c r="I34" s="47">
        <v>0.2024</v>
      </c>
      <c r="J34" s="47">
        <v>0.2024</v>
      </c>
      <c r="K34" s="30">
        <v>10872086335.360001</v>
      </c>
      <c r="L34" s="27">
        <f t="shared" ref="L34" si="27">(K34/$K$25)</f>
        <v>0.15822526969144252</v>
      </c>
      <c r="M34" s="30">
        <v>1</v>
      </c>
      <c r="N34" s="30">
        <v>1</v>
      </c>
      <c r="O34" s="29">
        <v>1068</v>
      </c>
      <c r="P34" s="47">
        <v>0.2092</v>
      </c>
      <c r="Q34" s="47">
        <v>0.2092</v>
      </c>
      <c r="R34" s="53">
        <f t="shared" si="21"/>
        <v>4.3099400814314466E-2</v>
      </c>
      <c r="S34" s="53">
        <f t="shared" si="22"/>
        <v>0</v>
      </c>
      <c r="T34" s="53">
        <f t="shared" si="23"/>
        <v>7.5471698113207548E-3</v>
      </c>
      <c r="U34" s="54">
        <f t="shared" si="24"/>
        <v>6.8000000000000005E-3</v>
      </c>
      <c r="V34" s="55">
        <f t="shared" si="25"/>
        <v>6.8000000000000005E-3</v>
      </c>
    </row>
    <row r="35" spans="1:22" ht="15" customHeight="1">
      <c r="A35" s="172">
        <v>27</v>
      </c>
      <c r="B35" s="170" t="s">
        <v>59</v>
      </c>
      <c r="C35" s="171" t="s">
        <v>45</v>
      </c>
      <c r="D35" s="41">
        <v>31828504518.470001</v>
      </c>
      <c r="E35" s="27">
        <f t="shared" ref="E35:E48" si="28">(D35/$K$70)</f>
        <v>8.6046561268919072E-3</v>
      </c>
      <c r="F35" s="28">
        <v>100</v>
      </c>
      <c r="G35" s="28">
        <v>100</v>
      </c>
      <c r="H35" s="29">
        <v>2083</v>
      </c>
      <c r="I35" s="47">
        <v>0.2117</v>
      </c>
      <c r="J35" s="47">
        <v>0.2117</v>
      </c>
      <c r="K35" s="41">
        <v>32574124596.740002</v>
      </c>
      <c r="L35" s="27">
        <f t="shared" ref="L35:L48" si="29">(K35/$K$70)</f>
        <v>8.8062302967086663E-3</v>
      </c>
      <c r="M35" s="28">
        <v>100</v>
      </c>
      <c r="N35" s="28">
        <v>100</v>
      </c>
      <c r="O35" s="29">
        <v>2083</v>
      </c>
      <c r="P35" s="47">
        <v>0.2079</v>
      </c>
      <c r="Q35" s="47">
        <v>0.2079</v>
      </c>
      <c r="R35" s="53">
        <f t="shared" si="21"/>
        <v>2.3426173788256968E-2</v>
      </c>
      <c r="S35" s="53">
        <f t="shared" si="22"/>
        <v>0</v>
      </c>
      <c r="T35" s="53">
        <f t="shared" si="23"/>
        <v>0</v>
      </c>
      <c r="U35" s="54">
        <f t="shared" si="24"/>
        <v>-3.7999999999999978E-3</v>
      </c>
      <c r="V35" s="55">
        <f t="shared" si="25"/>
        <v>-3.7999999999999978E-3</v>
      </c>
    </row>
    <row r="36" spans="1:22" ht="15" customHeight="1">
      <c r="A36" s="172">
        <v>28</v>
      </c>
      <c r="B36" s="170" t="s">
        <v>60</v>
      </c>
      <c r="C36" s="171" t="s">
        <v>61</v>
      </c>
      <c r="D36" s="41">
        <v>1641249449.05</v>
      </c>
      <c r="E36" s="27">
        <f t="shared" si="28"/>
        <v>4.4370250318643976E-4</v>
      </c>
      <c r="F36" s="28">
        <v>1</v>
      </c>
      <c r="G36" s="28">
        <v>1</v>
      </c>
      <c r="H36" s="29">
        <v>503</v>
      </c>
      <c r="I36" s="47">
        <v>0.19600000000000001</v>
      </c>
      <c r="J36" s="47">
        <v>0.19600000000000001</v>
      </c>
      <c r="K36" s="41">
        <v>1304931552.3599999</v>
      </c>
      <c r="L36" s="27">
        <f t="shared" si="29"/>
        <v>3.5278086253387047E-4</v>
      </c>
      <c r="M36" s="28">
        <v>1</v>
      </c>
      <c r="N36" s="28">
        <v>1</v>
      </c>
      <c r="O36" s="29">
        <v>513</v>
      </c>
      <c r="P36" s="47">
        <v>0.19900000000000001</v>
      </c>
      <c r="Q36" s="47">
        <v>0.19900000000000001</v>
      </c>
      <c r="R36" s="53">
        <f t="shared" si="21"/>
        <v>-0.20491577126479465</v>
      </c>
      <c r="S36" s="53">
        <f t="shared" si="22"/>
        <v>0</v>
      </c>
      <c r="T36" s="53">
        <f t="shared" si="23"/>
        <v>1.9880715705765408E-2</v>
      </c>
      <c r="U36" s="54">
        <f t="shared" si="24"/>
        <v>3.0000000000000027E-3</v>
      </c>
      <c r="V36" s="55">
        <f t="shared" si="25"/>
        <v>3.0000000000000027E-3</v>
      </c>
    </row>
    <row r="37" spans="1:22">
      <c r="A37" s="172">
        <v>29</v>
      </c>
      <c r="B37" s="170" t="s">
        <v>62</v>
      </c>
      <c r="C37" s="171" t="s">
        <v>63</v>
      </c>
      <c r="D37" s="41">
        <v>66780005259.010002</v>
      </c>
      <c r="E37" s="27">
        <f t="shared" si="28"/>
        <v>1.8053596614077932E-2</v>
      </c>
      <c r="F37" s="28">
        <v>100</v>
      </c>
      <c r="G37" s="28">
        <v>100</v>
      </c>
      <c r="H37" s="29">
        <v>4865</v>
      </c>
      <c r="I37" s="47">
        <v>0.2009</v>
      </c>
      <c r="J37" s="47">
        <v>0.2009</v>
      </c>
      <c r="K37" s="41">
        <v>67395306249.940002</v>
      </c>
      <c r="L37" s="27">
        <f t="shared" si="29"/>
        <v>1.8219939755912198E-2</v>
      </c>
      <c r="M37" s="28">
        <v>100</v>
      </c>
      <c r="N37" s="28">
        <v>100</v>
      </c>
      <c r="O37" s="29">
        <v>4908</v>
      </c>
      <c r="P37" s="47">
        <v>0.20169999999999999</v>
      </c>
      <c r="Q37" s="47">
        <v>0.20169999999999999</v>
      </c>
      <c r="R37" s="53">
        <f t="shared" si="21"/>
        <v>9.213850591109133E-3</v>
      </c>
      <c r="S37" s="53">
        <f t="shared" si="22"/>
        <v>0</v>
      </c>
      <c r="T37" s="53">
        <f t="shared" si="23"/>
        <v>8.8386433710174721E-3</v>
      </c>
      <c r="U37" s="54">
        <f t="shared" si="24"/>
        <v>7.9999999999999516E-4</v>
      </c>
      <c r="V37" s="55">
        <f t="shared" si="25"/>
        <v>7.9999999999999516E-4</v>
      </c>
    </row>
    <row r="38" spans="1:22">
      <c r="A38" s="172">
        <v>30</v>
      </c>
      <c r="B38" s="170" t="s">
        <v>64</v>
      </c>
      <c r="C38" s="171" t="s">
        <v>65</v>
      </c>
      <c r="D38" s="41">
        <v>25893548081.380001</v>
      </c>
      <c r="E38" s="27">
        <f t="shared" si="28"/>
        <v>7.000174231124286E-3</v>
      </c>
      <c r="F38" s="28">
        <v>100</v>
      </c>
      <c r="G38" s="28">
        <v>100</v>
      </c>
      <c r="H38" s="29">
        <v>5188</v>
      </c>
      <c r="I38" s="47">
        <v>0.2029</v>
      </c>
      <c r="J38" s="47">
        <v>0.2029</v>
      </c>
      <c r="K38" s="41">
        <v>25831799141.82</v>
      </c>
      <c r="L38" s="27">
        <f t="shared" si="29"/>
        <v>6.9834807546586952E-3</v>
      </c>
      <c r="M38" s="28">
        <v>100</v>
      </c>
      <c r="N38" s="28">
        <v>100</v>
      </c>
      <c r="O38" s="29">
        <v>5193</v>
      </c>
      <c r="P38" s="47">
        <v>0.20699999999999999</v>
      </c>
      <c r="Q38" s="47">
        <v>0.20699999999999999</v>
      </c>
      <c r="R38" s="53">
        <f t="shared" si="21"/>
        <v>-2.3847229960889337E-3</v>
      </c>
      <c r="S38" s="53">
        <f t="shared" si="22"/>
        <v>0</v>
      </c>
      <c r="T38" s="53">
        <f t="shared" si="23"/>
        <v>9.6376252891287591E-4</v>
      </c>
      <c r="U38" s="54">
        <f t="shared" si="24"/>
        <v>4.0999999999999925E-3</v>
      </c>
      <c r="V38" s="55">
        <f t="shared" si="25"/>
        <v>4.0999999999999925E-3</v>
      </c>
    </row>
    <row r="39" spans="1:22">
      <c r="A39" s="172">
        <v>31</v>
      </c>
      <c r="B39" s="170" t="s">
        <v>66</v>
      </c>
      <c r="C39" s="171" t="s">
        <v>294</v>
      </c>
      <c r="D39" s="41">
        <v>35470394561.82</v>
      </c>
      <c r="E39" s="27">
        <f t="shared" si="28"/>
        <v>9.5892204961287118E-3</v>
      </c>
      <c r="F39" s="28">
        <v>1</v>
      </c>
      <c r="G39" s="28">
        <v>1</v>
      </c>
      <c r="H39" s="29">
        <v>8399</v>
      </c>
      <c r="I39" s="47">
        <v>0.20710000000000001</v>
      </c>
      <c r="J39" s="47">
        <v>0.20710000000000001</v>
      </c>
      <c r="K39" s="41">
        <v>36620605461.480003</v>
      </c>
      <c r="L39" s="27">
        <f t="shared" si="29"/>
        <v>9.9001735055368034E-3</v>
      </c>
      <c r="M39" s="28">
        <v>1</v>
      </c>
      <c r="N39" s="28">
        <v>1</v>
      </c>
      <c r="O39" s="29">
        <v>8691</v>
      </c>
      <c r="P39" s="47">
        <v>0.20027952230861801</v>
      </c>
      <c r="Q39" s="47">
        <v>0.20027952230861801</v>
      </c>
      <c r="R39" s="53">
        <f t="shared" si="21"/>
        <v>3.2427350015950485E-2</v>
      </c>
      <c r="S39" s="53">
        <f t="shared" si="22"/>
        <v>0</v>
      </c>
      <c r="T39" s="53">
        <f t="shared" si="23"/>
        <v>3.4766043576616265E-2</v>
      </c>
      <c r="U39" s="54">
        <f t="shared" si="24"/>
        <v>-6.8204776913819987E-3</v>
      </c>
      <c r="V39" s="55">
        <f t="shared" si="25"/>
        <v>-6.8204776913819987E-3</v>
      </c>
    </row>
    <row r="40" spans="1:22">
      <c r="A40" s="172">
        <v>32</v>
      </c>
      <c r="B40" s="170" t="s">
        <v>320</v>
      </c>
      <c r="C40" s="171" t="s">
        <v>94</v>
      </c>
      <c r="D40" s="41">
        <v>347335242.56</v>
      </c>
      <c r="E40" s="27">
        <v>0</v>
      </c>
      <c r="F40" s="28">
        <v>1000</v>
      </c>
      <c r="G40" s="28">
        <v>1000</v>
      </c>
      <c r="H40" s="29">
        <v>17</v>
      </c>
      <c r="I40" s="47">
        <v>-3.9899999999999998E-2</v>
      </c>
      <c r="J40" s="47">
        <v>0.1847</v>
      </c>
      <c r="K40" s="41">
        <v>392138913.56999999</v>
      </c>
      <c r="L40" s="27">
        <f t="shared" si="29"/>
        <v>1.0601253675882838E-4</v>
      </c>
      <c r="M40" s="28">
        <v>1000</v>
      </c>
      <c r="N40" s="28">
        <v>1000</v>
      </c>
      <c r="O40" s="29">
        <v>17</v>
      </c>
      <c r="P40" s="47">
        <v>0.17829999999999999</v>
      </c>
      <c r="Q40" s="47">
        <v>0.17829999999999999</v>
      </c>
      <c r="R40" s="53">
        <f t="shared" si="21"/>
        <v>0.12899258560628335</v>
      </c>
      <c r="S40" s="53">
        <f t="shared" si="22"/>
        <v>0</v>
      </c>
      <c r="T40" s="53">
        <f t="shared" si="23"/>
        <v>0</v>
      </c>
      <c r="U40" s="54">
        <f t="shared" si="24"/>
        <v>0.21819999999999998</v>
      </c>
      <c r="V40" s="55">
        <f t="shared" si="25"/>
        <v>-6.4000000000000168E-3</v>
      </c>
    </row>
    <row r="41" spans="1:22">
      <c r="A41" s="172">
        <v>33</v>
      </c>
      <c r="B41" s="170" t="s">
        <v>67</v>
      </c>
      <c r="C41" s="171" t="s">
        <v>68</v>
      </c>
      <c r="D41" s="41">
        <v>77293311828.630005</v>
      </c>
      <c r="E41" s="27">
        <f t="shared" si="28"/>
        <v>2.0895809566171802E-2</v>
      </c>
      <c r="F41" s="42">
        <v>100</v>
      </c>
      <c r="G41" s="42">
        <v>100</v>
      </c>
      <c r="H41" s="29">
        <v>4168</v>
      </c>
      <c r="I41" s="47">
        <v>0.19040000000000001</v>
      </c>
      <c r="J41" s="47">
        <v>0.19040000000000001</v>
      </c>
      <c r="K41" s="41">
        <v>78324266361.199997</v>
      </c>
      <c r="L41" s="27">
        <f t="shared" si="29"/>
        <v>2.1174522291429677E-2</v>
      </c>
      <c r="M41" s="42">
        <v>100</v>
      </c>
      <c r="N41" s="42">
        <v>100</v>
      </c>
      <c r="O41" s="29">
        <v>4168</v>
      </c>
      <c r="P41" s="47">
        <v>0.1951</v>
      </c>
      <c r="Q41" s="47">
        <v>0.1951</v>
      </c>
      <c r="R41" s="53">
        <f t="shared" si="21"/>
        <v>1.3338211394742165E-2</v>
      </c>
      <c r="S41" s="53">
        <f t="shared" si="22"/>
        <v>0</v>
      </c>
      <c r="T41" s="53">
        <f t="shared" si="23"/>
        <v>0</v>
      </c>
      <c r="U41" s="54">
        <f t="shared" si="24"/>
        <v>4.699999999999982E-3</v>
      </c>
      <c r="V41" s="55">
        <f t="shared" si="25"/>
        <v>4.699999999999982E-3</v>
      </c>
    </row>
    <row r="42" spans="1:22">
      <c r="A42" s="172">
        <v>34</v>
      </c>
      <c r="B42" s="170" t="s">
        <v>69</v>
      </c>
      <c r="C42" s="171" t="s">
        <v>68</v>
      </c>
      <c r="D42" s="41">
        <v>10400562710.190001</v>
      </c>
      <c r="E42" s="27">
        <f t="shared" si="28"/>
        <v>2.8117332875450423E-3</v>
      </c>
      <c r="F42" s="42">
        <v>1000000</v>
      </c>
      <c r="G42" s="42">
        <v>1000000</v>
      </c>
      <c r="H42" s="29">
        <v>40</v>
      </c>
      <c r="I42" s="47">
        <v>0.20150000000000001</v>
      </c>
      <c r="J42" s="47">
        <v>0.20150000000000001</v>
      </c>
      <c r="K42" s="41">
        <v>10440503445.379999</v>
      </c>
      <c r="L42" s="27">
        <f t="shared" si="29"/>
        <v>2.822531039339059E-3</v>
      </c>
      <c r="M42" s="42">
        <v>1000000</v>
      </c>
      <c r="N42" s="42">
        <v>1000000</v>
      </c>
      <c r="O42" s="29">
        <v>40</v>
      </c>
      <c r="P42" s="47">
        <v>3.8999999999999998E-3</v>
      </c>
      <c r="Q42" s="47">
        <v>0.1353</v>
      </c>
      <c r="R42" s="53">
        <f t="shared" si="21"/>
        <v>3.8402475234216417E-3</v>
      </c>
      <c r="S42" s="53">
        <f t="shared" si="22"/>
        <v>0</v>
      </c>
      <c r="T42" s="53">
        <f t="shared" si="23"/>
        <v>0</v>
      </c>
      <c r="U42" s="54">
        <f t="shared" si="24"/>
        <v>-0.19760000000000003</v>
      </c>
      <c r="V42" s="55">
        <f t="shared" si="25"/>
        <v>-6.6200000000000009E-2</v>
      </c>
    </row>
    <row r="43" spans="1:22">
      <c r="A43" s="172">
        <v>35</v>
      </c>
      <c r="B43" s="170" t="s">
        <v>70</v>
      </c>
      <c r="C43" s="171" t="s">
        <v>71</v>
      </c>
      <c r="D43" s="41">
        <v>6518590830.1000004</v>
      </c>
      <c r="E43" s="27">
        <f t="shared" si="28"/>
        <v>1.7622641520079068E-3</v>
      </c>
      <c r="F43" s="28">
        <v>1</v>
      </c>
      <c r="G43" s="28">
        <v>1</v>
      </c>
      <c r="H43" s="29">
        <v>1009</v>
      </c>
      <c r="I43" s="47">
        <v>0.20399999999999999</v>
      </c>
      <c r="J43" s="47">
        <v>0.20399999999999999</v>
      </c>
      <c r="K43" s="41">
        <v>6742710412.96</v>
      </c>
      <c r="L43" s="27">
        <f t="shared" si="29"/>
        <v>1.8228536132781864E-3</v>
      </c>
      <c r="M43" s="28">
        <v>1</v>
      </c>
      <c r="N43" s="28">
        <v>1</v>
      </c>
      <c r="O43" s="29">
        <v>1011</v>
      </c>
      <c r="P43" s="47">
        <v>0.20649999999999999</v>
      </c>
      <c r="Q43" s="47">
        <v>0.20649999999999999</v>
      </c>
      <c r="R43" s="53">
        <f t="shared" si="21"/>
        <v>3.4381600057655635E-2</v>
      </c>
      <c r="S43" s="53">
        <f t="shared" si="22"/>
        <v>0</v>
      </c>
      <c r="T43" s="53">
        <f t="shared" si="23"/>
        <v>1.9821605550049554E-3</v>
      </c>
      <c r="U43" s="54">
        <f t="shared" si="24"/>
        <v>2.5000000000000022E-3</v>
      </c>
      <c r="V43" s="55">
        <f t="shared" si="25"/>
        <v>2.5000000000000022E-3</v>
      </c>
    </row>
    <row r="44" spans="1:22">
      <c r="A44" s="172">
        <v>36</v>
      </c>
      <c r="B44" s="170" t="s">
        <v>72</v>
      </c>
      <c r="C44" s="171" t="s">
        <v>315</v>
      </c>
      <c r="D44" s="41">
        <v>588624556618.43005</v>
      </c>
      <c r="E44" s="27">
        <f t="shared" si="28"/>
        <v>0.15913131873998826</v>
      </c>
      <c r="F44" s="28">
        <v>100</v>
      </c>
      <c r="G44" s="28">
        <v>100</v>
      </c>
      <c r="H44" s="29">
        <v>15461</v>
      </c>
      <c r="I44" s="47">
        <v>0.20039999999999999</v>
      </c>
      <c r="J44" s="47">
        <v>0.20039999999999999</v>
      </c>
      <c r="K44" s="41">
        <v>592083326139.41003</v>
      </c>
      <c r="L44" s="27">
        <f t="shared" si="29"/>
        <v>0.16006637751200617</v>
      </c>
      <c r="M44" s="28">
        <v>100</v>
      </c>
      <c r="N44" s="28">
        <v>100</v>
      </c>
      <c r="O44" s="29">
        <v>15482</v>
      </c>
      <c r="P44" s="47">
        <v>-1.6400000000000001E-2</v>
      </c>
      <c r="Q44" s="47">
        <v>0.1971</v>
      </c>
      <c r="R44" s="53">
        <f t="shared" si="21"/>
        <v>5.8760197516225833E-3</v>
      </c>
      <c r="S44" s="53">
        <f t="shared" si="22"/>
        <v>0</v>
      </c>
      <c r="T44" s="53">
        <f t="shared" si="23"/>
        <v>1.3582562576806157E-3</v>
      </c>
      <c r="U44" s="54">
        <f t="shared" si="24"/>
        <v>-0.21679999999999999</v>
      </c>
      <c r="V44" s="55">
        <f t="shared" si="25"/>
        <v>-3.2999999999999974E-3</v>
      </c>
    </row>
    <row r="45" spans="1:22">
      <c r="A45" s="172">
        <v>37</v>
      </c>
      <c r="B45" s="170" t="s">
        <v>73</v>
      </c>
      <c r="C45" s="171" t="s">
        <v>74</v>
      </c>
      <c r="D45" s="41">
        <v>2449029945.04</v>
      </c>
      <c r="E45" s="27">
        <f t="shared" si="28"/>
        <v>6.620813902614099E-4</v>
      </c>
      <c r="F45" s="28">
        <v>1</v>
      </c>
      <c r="G45" s="28">
        <v>1</v>
      </c>
      <c r="H45" s="43">
        <v>1449</v>
      </c>
      <c r="I45" s="50">
        <v>0.20610000000000001</v>
      </c>
      <c r="J45" s="50">
        <v>0.20610000000000001</v>
      </c>
      <c r="K45" s="41">
        <v>2454501567.7800002</v>
      </c>
      <c r="L45" s="27">
        <f t="shared" si="29"/>
        <v>6.6356061251347841E-4</v>
      </c>
      <c r="M45" s="28">
        <v>1</v>
      </c>
      <c r="N45" s="28">
        <v>1</v>
      </c>
      <c r="O45" s="43">
        <v>1465</v>
      </c>
      <c r="P45" s="50">
        <v>0.18659999999999999</v>
      </c>
      <c r="Q45" s="50">
        <v>0.18659999999999999</v>
      </c>
      <c r="R45" s="53">
        <f t="shared" si="21"/>
        <v>2.2342000150230423E-3</v>
      </c>
      <c r="S45" s="53">
        <f t="shared" si="22"/>
        <v>0</v>
      </c>
      <c r="T45" s="53">
        <f t="shared" si="23"/>
        <v>1.1042097998619738E-2</v>
      </c>
      <c r="U45" s="54">
        <f t="shared" si="24"/>
        <v>-1.9500000000000017E-2</v>
      </c>
      <c r="V45" s="55">
        <f t="shared" si="25"/>
        <v>-1.9500000000000017E-2</v>
      </c>
    </row>
    <row r="46" spans="1:22">
      <c r="A46" s="172">
        <v>38</v>
      </c>
      <c r="B46" s="170" t="s">
        <v>296</v>
      </c>
      <c r="C46" s="171" t="s">
        <v>297</v>
      </c>
      <c r="D46" s="41">
        <v>1988733504.6500001</v>
      </c>
      <c r="E46" s="27">
        <f t="shared" si="28"/>
        <v>5.3764285172781443E-4</v>
      </c>
      <c r="F46" s="28">
        <v>1</v>
      </c>
      <c r="G46" s="28">
        <v>1</v>
      </c>
      <c r="H46" s="43">
        <v>322</v>
      </c>
      <c r="I46" s="50">
        <v>0.18490000000000001</v>
      </c>
      <c r="J46" s="50">
        <v>0.18490000000000001</v>
      </c>
      <c r="K46" s="41">
        <v>2010304389.23</v>
      </c>
      <c r="L46" s="27">
        <f t="shared" si="29"/>
        <v>5.4347441833679745E-4</v>
      </c>
      <c r="M46" s="28">
        <v>1</v>
      </c>
      <c r="N46" s="28">
        <v>1</v>
      </c>
      <c r="O46" s="43">
        <v>325</v>
      </c>
      <c r="P46" s="50">
        <v>0.1918</v>
      </c>
      <c r="Q46" s="50">
        <v>0.1918</v>
      </c>
      <c r="R46" s="53">
        <f t="shared" si="21"/>
        <v>1.0846543556270107E-2</v>
      </c>
      <c r="S46" s="53">
        <f t="shared" si="22"/>
        <v>0</v>
      </c>
      <c r="T46" s="53">
        <f t="shared" si="23"/>
        <v>9.316770186335404E-3</v>
      </c>
      <c r="U46" s="54">
        <f t="shared" si="24"/>
        <v>6.8999999999999895E-3</v>
      </c>
      <c r="V46" s="55">
        <f t="shared" si="25"/>
        <v>6.8999999999999895E-3</v>
      </c>
    </row>
    <row r="47" spans="1:22">
      <c r="A47" s="172">
        <v>39</v>
      </c>
      <c r="B47" s="170" t="s">
        <v>75</v>
      </c>
      <c r="C47" s="171" t="s">
        <v>76</v>
      </c>
      <c r="D47" s="41">
        <v>1262249159.8800001</v>
      </c>
      <c r="E47" s="27">
        <f t="shared" si="28"/>
        <v>3.4124191920242017E-4</v>
      </c>
      <c r="F47" s="28">
        <v>10</v>
      </c>
      <c r="G47" s="28">
        <v>10</v>
      </c>
      <c r="H47" s="29">
        <v>478</v>
      </c>
      <c r="I47" s="47">
        <v>0.18379999999999999</v>
      </c>
      <c r="J47" s="47">
        <v>0.18379999999999999</v>
      </c>
      <c r="K47" s="41">
        <v>1250318080.4200001</v>
      </c>
      <c r="L47" s="27">
        <f t="shared" si="29"/>
        <v>3.3801641937045824E-4</v>
      </c>
      <c r="M47" s="28">
        <v>10</v>
      </c>
      <c r="N47" s="28">
        <v>10</v>
      </c>
      <c r="O47" s="29">
        <v>482</v>
      </c>
      <c r="P47" s="47">
        <v>0.18110000000000001</v>
      </c>
      <c r="Q47" s="47">
        <v>0.18110000000000001</v>
      </c>
      <c r="R47" s="53">
        <f t="shared" si="21"/>
        <v>-9.4522379885238397E-3</v>
      </c>
      <c r="S47" s="53">
        <f t="shared" si="22"/>
        <v>0</v>
      </c>
      <c r="T47" s="53">
        <f t="shared" si="23"/>
        <v>8.368200836820083E-3</v>
      </c>
      <c r="U47" s="54">
        <f t="shared" si="24"/>
        <v>-2.6999999999999802E-3</v>
      </c>
      <c r="V47" s="55">
        <f t="shared" si="25"/>
        <v>-2.6999999999999802E-3</v>
      </c>
    </row>
    <row r="48" spans="1:22">
      <c r="A48" s="172">
        <v>40</v>
      </c>
      <c r="B48" s="170" t="s">
        <v>77</v>
      </c>
      <c r="C48" s="171" t="s">
        <v>78</v>
      </c>
      <c r="D48" s="41">
        <v>7903531314.4899998</v>
      </c>
      <c r="E48" s="27">
        <f t="shared" si="28"/>
        <v>2.1366749766657755E-3</v>
      </c>
      <c r="F48" s="28">
        <v>100</v>
      </c>
      <c r="G48" s="28">
        <v>100</v>
      </c>
      <c r="H48" s="29">
        <v>943</v>
      </c>
      <c r="I48" s="47">
        <v>0.2029</v>
      </c>
      <c r="J48" s="47">
        <v>0.2029</v>
      </c>
      <c r="K48" s="41">
        <v>8004948553.8800001</v>
      </c>
      <c r="L48" s="27">
        <f t="shared" si="29"/>
        <v>2.1640925535671104E-3</v>
      </c>
      <c r="M48" s="28">
        <v>100</v>
      </c>
      <c r="N48" s="28">
        <v>100</v>
      </c>
      <c r="O48" s="29">
        <v>950</v>
      </c>
      <c r="P48" s="47">
        <v>0.18609999999999999</v>
      </c>
      <c r="Q48" s="47">
        <v>0.18609999999999999</v>
      </c>
      <c r="R48" s="53">
        <f t="shared" si="21"/>
        <v>1.2831889361160153E-2</v>
      </c>
      <c r="S48" s="53">
        <f t="shared" si="22"/>
        <v>0</v>
      </c>
      <c r="T48" s="53">
        <f t="shared" si="23"/>
        <v>7.423117709437964E-3</v>
      </c>
      <c r="U48" s="54">
        <f t="shared" si="24"/>
        <v>-1.6800000000000009E-2</v>
      </c>
      <c r="V48" s="55">
        <f t="shared" si="25"/>
        <v>-1.6800000000000009E-2</v>
      </c>
    </row>
    <row r="49" spans="1:22">
      <c r="A49" s="172">
        <v>41</v>
      </c>
      <c r="B49" s="170" t="s">
        <v>79</v>
      </c>
      <c r="C49" s="170" t="s">
        <v>80</v>
      </c>
      <c r="D49" s="128">
        <v>110126778.73999999</v>
      </c>
      <c r="E49" s="27">
        <f>(D49/$D$194)</f>
        <v>1.4446838132508668E-3</v>
      </c>
      <c r="F49" s="30">
        <v>1</v>
      </c>
      <c r="G49" s="30">
        <v>1</v>
      </c>
      <c r="H49" s="29">
        <v>112</v>
      </c>
      <c r="I49" s="47">
        <v>3.3700000000000001E-2</v>
      </c>
      <c r="J49" s="47">
        <v>0.1739</v>
      </c>
      <c r="K49" s="128">
        <v>110126778.73999999</v>
      </c>
      <c r="L49" s="51">
        <f>(K49/$K$194)</f>
        <v>1.4555638644233324E-3</v>
      </c>
      <c r="M49" s="30">
        <v>1</v>
      </c>
      <c r="N49" s="30">
        <v>1</v>
      </c>
      <c r="O49" s="29">
        <v>112</v>
      </c>
      <c r="P49" s="47">
        <v>2.3099999999999999E-2</v>
      </c>
      <c r="Q49" s="47">
        <v>0.17219999999999999</v>
      </c>
      <c r="R49" s="54">
        <f t="shared" si="21"/>
        <v>0</v>
      </c>
      <c r="S49" s="54">
        <f t="shared" si="22"/>
        <v>0</v>
      </c>
      <c r="T49" s="54">
        <f t="shared" si="23"/>
        <v>0</v>
      </c>
      <c r="U49" s="54">
        <f t="shared" si="24"/>
        <v>-1.0600000000000002E-2</v>
      </c>
      <c r="V49" s="55">
        <f t="shared" si="25"/>
        <v>-1.7000000000000071E-3</v>
      </c>
    </row>
    <row r="50" spans="1:22">
      <c r="A50" s="172">
        <v>42</v>
      </c>
      <c r="B50" s="170" t="s">
        <v>283</v>
      </c>
      <c r="C50" s="171" t="s">
        <v>35</v>
      </c>
      <c r="D50" s="41">
        <v>606153957.90999997</v>
      </c>
      <c r="E50" s="27">
        <f t="shared" ref="E50" si="30">(D50/$K$70)</f>
        <v>1.6387029320662477E-4</v>
      </c>
      <c r="F50" s="28">
        <v>100</v>
      </c>
      <c r="G50" s="28">
        <v>100</v>
      </c>
      <c r="H50" s="29">
        <v>3853</v>
      </c>
      <c r="I50" s="47">
        <v>0.186</v>
      </c>
      <c r="J50" s="47">
        <v>0.18740000000000001</v>
      </c>
      <c r="K50" s="41">
        <v>601359394.74000001</v>
      </c>
      <c r="L50" s="27">
        <f t="shared" ref="L50" si="31">(K50/$K$70)</f>
        <v>1.6257411017884317E-4</v>
      </c>
      <c r="M50" s="28">
        <v>100</v>
      </c>
      <c r="N50" s="28">
        <v>100</v>
      </c>
      <c r="O50" s="29">
        <v>4017</v>
      </c>
      <c r="P50" s="47">
        <v>0.19320000000000001</v>
      </c>
      <c r="Q50" s="47">
        <v>0.18759999999999999</v>
      </c>
      <c r="R50" s="53">
        <f t="shared" ref="R50" si="32">((K50-D50)/D50)</f>
        <v>-7.9098108779681355E-3</v>
      </c>
      <c r="S50" s="53">
        <f t="shared" ref="S50" si="33">((N50-G50)/G50)</f>
        <v>0</v>
      </c>
      <c r="T50" s="53">
        <f t="shared" ref="T50" si="34">((O50-H50)/H50)</f>
        <v>4.2564235660524266E-2</v>
      </c>
      <c r="U50" s="54">
        <f t="shared" ref="U50" si="35">P50-I50</f>
        <v>7.2000000000000119E-3</v>
      </c>
      <c r="V50" s="55">
        <f t="shared" ref="V50" si="36">Q50-J50</f>
        <v>1.9999999999997797E-4</v>
      </c>
    </row>
    <row r="51" spans="1:22">
      <c r="A51" s="172">
        <v>43</v>
      </c>
      <c r="B51" s="170" t="s">
        <v>81</v>
      </c>
      <c r="C51" s="171" t="s">
        <v>35</v>
      </c>
      <c r="D51" s="41">
        <v>128795748936.94</v>
      </c>
      <c r="E51" s="27">
        <f t="shared" ref="E51:E69" si="37">(D51/$K$70)</f>
        <v>3.481920206350763E-2</v>
      </c>
      <c r="F51" s="28">
        <v>100</v>
      </c>
      <c r="G51" s="28">
        <v>100</v>
      </c>
      <c r="H51" s="29">
        <v>14774</v>
      </c>
      <c r="I51" s="47">
        <v>0.19960865</v>
      </c>
      <c r="J51" s="47">
        <v>0.19960865</v>
      </c>
      <c r="K51" s="41">
        <v>134697425590.02</v>
      </c>
      <c r="L51" s="27">
        <f t="shared" ref="L51:L69" si="38">(K51/$K$70)</f>
        <v>3.6414686957948431E-2</v>
      </c>
      <c r="M51" s="28">
        <v>100</v>
      </c>
      <c r="N51" s="28">
        <v>100</v>
      </c>
      <c r="O51" s="29">
        <v>15018</v>
      </c>
      <c r="P51" s="47">
        <v>0.20449999999999999</v>
      </c>
      <c r="Q51" s="47">
        <v>0.20449999999999999</v>
      </c>
      <c r="R51" s="53">
        <f t="shared" si="21"/>
        <v>4.5821983270344861E-2</v>
      </c>
      <c r="S51" s="53">
        <f t="shared" si="22"/>
        <v>0</v>
      </c>
      <c r="T51" s="53">
        <f t="shared" si="23"/>
        <v>1.6515500203059429E-2</v>
      </c>
      <c r="U51" s="54">
        <f t="shared" si="24"/>
        <v>4.8913499999999888E-3</v>
      </c>
      <c r="V51" s="55">
        <f t="shared" si="25"/>
        <v>4.8913499999999888E-3</v>
      </c>
    </row>
    <row r="52" spans="1:22">
      <c r="A52" s="172">
        <v>44</v>
      </c>
      <c r="B52" s="170" t="s">
        <v>82</v>
      </c>
      <c r="C52" s="171" t="s">
        <v>39</v>
      </c>
      <c r="D52" s="41">
        <v>29046104323.009998</v>
      </c>
      <c r="E52" s="27">
        <f t="shared" si="37"/>
        <v>7.8524499754707208E-3</v>
      </c>
      <c r="F52" s="28">
        <v>1</v>
      </c>
      <c r="G52" s="28">
        <v>1</v>
      </c>
      <c r="H52" s="29">
        <v>2127</v>
      </c>
      <c r="I52" s="47">
        <v>0.19900000000000001</v>
      </c>
      <c r="J52" s="47">
        <v>0.19900000000000001</v>
      </c>
      <c r="K52" s="41">
        <v>29988951171.049999</v>
      </c>
      <c r="L52" s="27">
        <f t="shared" si="38"/>
        <v>8.1073432866848941E-3</v>
      </c>
      <c r="M52" s="28">
        <v>1</v>
      </c>
      <c r="N52" s="28">
        <v>1</v>
      </c>
      <c r="O52" s="29">
        <v>2168</v>
      </c>
      <c r="P52" s="47">
        <v>0.19889999999999999</v>
      </c>
      <c r="Q52" s="47">
        <v>0.19889999999999999</v>
      </c>
      <c r="R52" s="53">
        <f t="shared" si="21"/>
        <v>3.2460354667702827E-2</v>
      </c>
      <c r="S52" s="53">
        <f t="shared" si="22"/>
        <v>0</v>
      </c>
      <c r="T52" s="53">
        <f t="shared" si="23"/>
        <v>1.9275975552421252E-2</v>
      </c>
      <c r="U52" s="54">
        <f t="shared" si="24"/>
        <v>-1.0000000000001674E-4</v>
      </c>
      <c r="V52" s="55">
        <f t="shared" si="25"/>
        <v>-1.0000000000001674E-4</v>
      </c>
    </row>
    <row r="53" spans="1:22">
      <c r="A53" s="172">
        <v>45</v>
      </c>
      <c r="B53" s="170" t="s">
        <v>307</v>
      </c>
      <c r="C53" s="171" t="s">
        <v>306</v>
      </c>
      <c r="D53" s="41">
        <v>3498062767.6500001</v>
      </c>
      <c r="E53" s="27">
        <f t="shared" si="37"/>
        <v>9.4568147895372518E-4</v>
      </c>
      <c r="F53" s="28">
        <v>100</v>
      </c>
      <c r="G53" s="28">
        <v>100</v>
      </c>
      <c r="H53" s="29">
        <v>194</v>
      </c>
      <c r="I53" s="47">
        <v>0.2044</v>
      </c>
      <c r="J53" s="47">
        <v>0.2044</v>
      </c>
      <c r="K53" s="41">
        <v>3952193725.1100001</v>
      </c>
      <c r="L53" s="27">
        <f t="shared" si="38"/>
        <v>1.0684532140583978E-3</v>
      </c>
      <c r="M53" s="28">
        <v>100</v>
      </c>
      <c r="N53" s="28">
        <v>100</v>
      </c>
      <c r="O53" s="29">
        <v>199</v>
      </c>
      <c r="P53" s="47">
        <v>0.20200000000000001</v>
      </c>
      <c r="Q53" s="47">
        <v>0.20200000000000001</v>
      </c>
      <c r="R53" s="53">
        <f t="shared" si="21"/>
        <v>0.12982355881655189</v>
      </c>
      <c r="S53" s="53">
        <f t="shared" si="22"/>
        <v>0</v>
      </c>
      <c r="T53" s="53">
        <f t="shared" si="23"/>
        <v>2.5773195876288658E-2</v>
      </c>
      <c r="U53" s="54">
        <f t="shared" si="24"/>
        <v>-2.3999999999999855E-3</v>
      </c>
      <c r="V53" s="55">
        <f t="shared" si="25"/>
        <v>-2.3999999999999855E-3</v>
      </c>
    </row>
    <row r="54" spans="1:22">
      <c r="A54" s="172">
        <v>46</v>
      </c>
      <c r="B54" s="170" t="s">
        <v>83</v>
      </c>
      <c r="C54" s="171" t="s">
        <v>41</v>
      </c>
      <c r="D54" s="44">
        <v>52028237129.370003</v>
      </c>
      <c r="E54" s="27">
        <f t="shared" si="37"/>
        <v>1.4065539558317233E-2</v>
      </c>
      <c r="F54" s="28">
        <v>10</v>
      </c>
      <c r="G54" s="28">
        <v>10</v>
      </c>
      <c r="H54" s="29">
        <v>6110</v>
      </c>
      <c r="I54" s="47">
        <v>0.22090000000000001</v>
      </c>
      <c r="J54" s="47">
        <v>0.22090000000000001</v>
      </c>
      <c r="K54" s="44">
        <v>55481130124.870003</v>
      </c>
      <c r="L54" s="27">
        <f t="shared" si="38"/>
        <v>1.4999009644918068E-2</v>
      </c>
      <c r="M54" s="28">
        <v>10</v>
      </c>
      <c r="N54" s="28">
        <v>10</v>
      </c>
      <c r="O54" s="29">
        <v>6219</v>
      </c>
      <c r="P54" s="47">
        <v>0.22</v>
      </c>
      <c r="Q54" s="47">
        <v>0.22</v>
      </c>
      <c r="R54" s="53">
        <f t="shared" si="21"/>
        <v>6.6365750331195406E-2</v>
      </c>
      <c r="S54" s="53">
        <f t="shared" si="22"/>
        <v>0</v>
      </c>
      <c r="T54" s="53">
        <f t="shared" si="23"/>
        <v>1.7839607201309331E-2</v>
      </c>
      <c r="U54" s="54">
        <f t="shared" si="24"/>
        <v>-9.000000000000119E-4</v>
      </c>
      <c r="V54" s="55">
        <f t="shared" si="25"/>
        <v>-9.000000000000119E-4</v>
      </c>
    </row>
    <row r="55" spans="1:22">
      <c r="A55" s="172">
        <v>47</v>
      </c>
      <c r="B55" s="170" t="s">
        <v>84</v>
      </c>
      <c r="C55" s="171" t="s">
        <v>85</v>
      </c>
      <c r="D55" s="41">
        <v>24391351508</v>
      </c>
      <c r="E55" s="27">
        <f t="shared" si="37"/>
        <v>6.5940638861839698E-3</v>
      </c>
      <c r="F55" s="28">
        <v>100</v>
      </c>
      <c r="G55" s="28">
        <v>100</v>
      </c>
      <c r="H55" s="29">
        <v>4626</v>
      </c>
      <c r="I55" s="47">
        <v>0.20319999999999999</v>
      </c>
      <c r="J55" s="47">
        <v>0.20319999999999999</v>
      </c>
      <c r="K55" s="41">
        <v>24833718930</v>
      </c>
      <c r="L55" s="27">
        <f t="shared" si="38"/>
        <v>6.7136554160292013E-3</v>
      </c>
      <c r="M55" s="28">
        <v>100</v>
      </c>
      <c r="N55" s="28">
        <v>100</v>
      </c>
      <c r="O55" s="29">
        <v>4671</v>
      </c>
      <c r="P55" s="47">
        <v>0.20150000000000001</v>
      </c>
      <c r="Q55" s="47">
        <v>0.20150000000000001</v>
      </c>
      <c r="R55" s="53">
        <f t="shared" si="21"/>
        <v>1.8136240702156668E-2</v>
      </c>
      <c r="S55" s="53">
        <f t="shared" si="22"/>
        <v>0</v>
      </c>
      <c r="T55" s="53">
        <f t="shared" si="23"/>
        <v>9.727626459143969E-3</v>
      </c>
      <c r="U55" s="54">
        <f t="shared" si="24"/>
        <v>-1.6999999999999793E-3</v>
      </c>
      <c r="V55" s="55">
        <f t="shared" si="25"/>
        <v>-1.6999999999999793E-3</v>
      </c>
    </row>
    <row r="56" spans="1:22">
      <c r="A56" s="172">
        <v>48</v>
      </c>
      <c r="B56" s="170" t="s">
        <v>86</v>
      </c>
      <c r="C56" s="171" t="s">
        <v>87</v>
      </c>
      <c r="D56" s="41">
        <v>289526902.42000002</v>
      </c>
      <c r="E56" s="27">
        <f t="shared" si="37"/>
        <v>7.8271960071595734E-5</v>
      </c>
      <c r="F56" s="28">
        <v>1</v>
      </c>
      <c r="G56" s="28">
        <v>1</v>
      </c>
      <c r="H56" s="29">
        <v>103</v>
      </c>
      <c r="I56" s="47">
        <v>0.17150000000000001</v>
      </c>
      <c r="J56" s="47">
        <v>0.17150000000000001</v>
      </c>
      <c r="K56" s="41">
        <v>284460743.75999999</v>
      </c>
      <c r="L56" s="27">
        <f t="shared" si="38"/>
        <v>7.6902352739643365E-5</v>
      </c>
      <c r="M56" s="28">
        <v>1</v>
      </c>
      <c r="N56" s="28">
        <v>1</v>
      </c>
      <c r="O56" s="29">
        <v>103</v>
      </c>
      <c r="P56" s="47">
        <v>0.16819999999999999</v>
      </c>
      <c r="Q56" s="47">
        <v>0.16819999999999999</v>
      </c>
      <c r="R56" s="53">
        <f t="shared" si="21"/>
        <v>-1.7498058445190152E-2</v>
      </c>
      <c r="S56" s="53">
        <f t="shared" si="22"/>
        <v>0</v>
      </c>
      <c r="T56" s="53">
        <f t="shared" si="23"/>
        <v>0</v>
      </c>
      <c r="U56" s="54">
        <f t="shared" si="24"/>
        <v>-3.3000000000000251E-3</v>
      </c>
      <c r="V56" s="55">
        <f t="shared" si="25"/>
        <v>-3.3000000000000251E-3</v>
      </c>
    </row>
    <row r="57" spans="1:22">
      <c r="A57" s="172">
        <v>49</v>
      </c>
      <c r="B57" s="170" t="s">
        <v>88</v>
      </c>
      <c r="C57" s="171" t="s">
        <v>43</v>
      </c>
      <c r="D57" s="44">
        <v>1581526985.23</v>
      </c>
      <c r="E57" s="27">
        <f t="shared" si="37"/>
        <v>4.27556872972377E-4</v>
      </c>
      <c r="F57" s="28">
        <v>10</v>
      </c>
      <c r="G57" s="28">
        <v>10</v>
      </c>
      <c r="H57" s="29">
        <v>845</v>
      </c>
      <c r="I57" s="47">
        <v>5.0000000000000001E-4</v>
      </c>
      <c r="J57" s="47">
        <v>0.1895</v>
      </c>
      <c r="K57" s="44">
        <v>1691526685.23</v>
      </c>
      <c r="L57" s="27">
        <f t="shared" si="38"/>
        <v>4.5729466954437791E-4</v>
      </c>
      <c r="M57" s="28">
        <v>10</v>
      </c>
      <c r="N57" s="28">
        <v>10</v>
      </c>
      <c r="O57" s="29">
        <v>848</v>
      </c>
      <c r="P57" s="47">
        <v>0.1888</v>
      </c>
      <c r="Q57" s="47">
        <v>0.1888</v>
      </c>
      <c r="R57" s="53">
        <f t="shared" si="21"/>
        <v>6.9552844198863192E-2</v>
      </c>
      <c r="S57" s="53">
        <f t="shared" si="22"/>
        <v>0</v>
      </c>
      <c r="T57" s="53">
        <f t="shared" si="23"/>
        <v>3.5502958579881655E-3</v>
      </c>
      <c r="U57" s="54">
        <f t="shared" si="24"/>
        <v>0.1883</v>
      </c>
      <c r="V57" s="55">
        <f t="shared" si="25"/>
        <v>-7.0000000000000617E-4</v>
      </c>
    </row>
    <row r="58" spans="1:22">
      <c r="A58" s="172">
        <v>50</v>
      </c>
      <c r="B58" s="170" t="s">
        <v>89</v>
      </c>
      <c r="C58" s="171" t="s">
        <v>90</v>
      </c>
      <c r="D58" s="44">
        <v>947945614</v>
      </c>
      <c r="E58" s="27">
        <f t="shared" si="37"/>
        <v>2.5627173374520536E-4</v>
      </c>
      <c r="F58" s="28">
        <v>1</v>
      </c>
      <c r="G58" s="28">
        <v>1</v>
      </c>
      <c r="H58" s="29">
        <v>128</v>
      </c>
      <c r="I58" s="47">
        <v>0.21929999999999999</v>
      </c>
      <c r="J58" s="47">
        <v>0.21929999999999999</v>
      </c>
      <c r="K58" s="44">
        <v>914043965</v>
      </c>
      <c r="L58" s="27">
        <f t="shared" si="38"/>
        <v>2.47106614736541E-4</v>
      </c>
      <c r="M58" s="28">
        <v>1</v>
      </c>
      <c r="N58" s="28">
        <v>1</v>
      </c>
      <c r="O58" s="29">
        <v>132</v>
      </c>
      <c r="P58" s="47">
        <v>0.22120000000000001</v>
      </c>
      <c r="Q58" s="47">
        <v>0.22120000000000001</v>
      </c>
      <c r="R58" s="53">
        <f t="shared" si="21"/>
        <v>-3.5763284833342769E-2</v>
      </c>
      <c r="S58" s="53">
        <f t="shared" si="22"/>
        <v>0</v>
      </c>
      <c r="T58" s="53">
        <f t="shared" si="23"/>
        <v>3.125E-2</v>
      </c>
      <c r="U58" s="54">
        <f t="shared" si="24"/>
        <v>1.9000000000000128E-3</v>
      </c>
      <c r="V58" s="55">
        <f t="shared" si="25"/>
        <v>1.9000000000000128E-3</v>
      </c>
    </row>
    <row r="59" spans="1:22">
      <c r="A59" s="172">
        <v>51</v>
      </c>
      <c r="B59" s="170" t="s">
        <v>302</v>
      </c>
      <c r="C59" s="171" t="s">
        <v>301</v>
      </c>
      <c r="D59" s="44">
        <v>782505534.19000006</v>
      </c>
      <c r="E59" s="27">
        <f t="shared" si="37"/>
        <v>2.1154594414536675E-4</v>
      </c>
      <c r="F59" s="28">
        <v>1</v>
      </c>
      <c r="G59" s="28">
        <v>1</v>
      </c>
      <c r="H59" s="29">
        <v>800</v>
      </c>
      <c r="I59" s="47">
        <v>0.16520000000000001</v>
      </c>
      <c r="J59" s="47">
        <v>7.51E-2</v>
      </c>
      <c r="K59" s="44">
        <v>802695538.67999995</v>
      </c>
      <c r="L59" s="27">
        <f t="shared" si="38"/>
        <v>2.1700419763434357E-4</v>
      </c>
      <c r="M59" s="28">
        <v>1</v>
      </c>
      <c r="N59" s="28">
        <v>1</v>
      </c>
      <c r="O59" s="29">
        <v>845</v>
      </c>
      <c r="P59" s="47">
        <v>0.1636</v>
      </c>
      <c r="Q59" s="47">
        <v>7.22E-2</v>
      </c>
      <c r="R59" s="53">
        <f t="shared" si="21"/>
        <v>2.580174018947904E-2</v>
      </c>
      <c r="S59" s="53">
        <f t="shared" si="22"/>
        <v>0</v>
      </c>
      <c r="T59" s="53">
        <f t="shared" si="23"/>
        <v>5.6250000000000001E-2</v>
      </c>
      <c r="U59" s="54">
        <f t="shared" si="24"/>
        <v>-1.6000000000000181E-3</v>
      </c>
      <c r="V59" s="55">
        <f t="shared" si="25"/>
        <v>-2.8999999999999998E-3</v>
      </c>
    </row>
    <row r="60" spans="1:22">
      <c r="A60" s="172">
        <v>52</v>
      </c>
      <c r="B60" s="170" t="s">
        <v>91</v>
      </c>
      <c r="C60" s="171" t="s">
        <v>92</v>
      </c>
      <c r="D60" s="44">
        <v>13139396509.07</v>
      </c>
      <c r="E60" s="27">
        <f t="shared" si="37"/>
        <v>3.5521615101275928E-3</v>
      </c>
      <c r="F60" s="28">
        <v>100</v>
      </c>
      <c r="G60" s="28">
        <v>100</v>
      </c>
      <c r="H60" s="29">
        <v>132</v>
      </c>
      <c r="I60" s="47">
        <v>0.1968</v>
      </c>
      <c r="J60" s="47">
        <v>0.1968</v>
      </c>
      <c r="K60" s="44">
        <v>12954971228.337799</v>
      </c>
      <c r="L60" s="27">
        <f t="shared" si="38"/>
        <v>3.5023031788671589E-3</v>
      </c>
      <c r="M60" s="28">
        <v>100</v>
      </c>
      <c r="N60" s="28">
        <v>100</v>
      </c>
      <c r="O60" s="29">
        <v>135</v>
      </c>
      <c r="P60" s="47">
        <v>0.1988</v>
      </c>
      <c r="Q60" s="47">
        <v>0.21279999999999999</v>
      </c>
      <c r="R60" s="53">
        <f t="shared" si="21"/>
        <v>-1.4036054137257645E-2</v>
      </c>
      <c r="S60" s="53">
        <f t="shared" si="22"/>
        <v>0</v>
      </c>
      <c r="T60" s="53">
        <f t="shared" si="23"/>
        <v>2.2727272727272728E-2</v>
      </c>
      <c r="U60" s="54">
        <f t="shared" si="24"/>
        <v>2.0000000000000018E-3</v>
      </c>
      <c r="V60" s="55">
        <f t="shared" si="25"/>
        <v>1.5999999999999986E-2</v>
      </c>
    </row>
    <row r="61" spans="1:22">
      <c r="A61" s="172">
        <v>53</v>
      </c>
      <c r="B61" s="170" t="s">
        <v>93</v>
      </c>
      <c r="C61" s="171" t="s">
        <v>94</v>
      </c>
      <c r="D61" s="44">
        <v>66140405.020000003</v>
      </c>
      <c r="E61" s="27">
        <f t="shared" si="37"/>
        <v>1.7880684307998167E-5</v>
      </c>
      <c r="F61" s="28">
        <v>1000</v>
      </c>
      <c r="G61" s="28">
        <v>1000</v>
      </c>
      <c r="H61" s="29">
        <v>23</v>
      </c>
      <c r="I61" s="47">
        <v>0.222</v>
      </c>
      <c r="J61" s="47">
        <v>0.222</v>
      </c>
      <c r="K61" s="44">
        <v>66723963.719999999</v>
      </c>
      <c r="L61" s="27">
        <f t="shared" si="38"/>
        <v>1.8038446101061431E-5</v>
      </c>
      <c r="M61" s="28">
        <v>1000</v>
      </c>
      <c r="N61" s="28">
        <v>1000</v>
      </c>
      <c r="O61" s="29">
        <v>23</v>
      </c>
      <c r="P61" s="47">
        <v>0.222</v>
      </c>
      <c r="Q61" s="47">
        <v>0.222</v>
      </c>
      <c r="R61" s="53">
        <f t="shared" si="21"/>
        <v>8.8230288251717678E-3</v>
      </c>
      <c r="S61" s="53">
        <f t="shared" si="22"/>
        <v>0</v>
      </c>
      <c r="T61" s="53">
        <f t="shared" si="23"/>
        <v>0</v>
      </c>
      <c r="U61" s="54">
        <f t="shared" si="24"/>
        <v>0</v>
      </c>
      <c r="V61" s="55">
        <f t="shared" si="25"/>
        <v>0</v>
      </c>
    </row>
    <row r="62" spans="1:22">
      <c r="A62" s="172">
        <v>54</v>
      </c>
      <c r="B62" s="170" t="s">
        <v>95</v>
      </c>
      <c r="C62" s="171" t="s">
        <v>47</v>
      </c>
      <c r="D62" s="41">
        <v>1781587310533.9099</v>
      </c>
      <c r="E62" s="27">
        <f t="shared" si="37"/>
        <v>0.48164205007755084</v>
      </c>
      <c r="F62" s="28">
        <v>100</v>
      </c>
      <c r="G62" s="28">
        <v>100</v>
      </c>
      <c r="H62" s="29">
        <v>210248</v>
      </c>
      <c r="I62" s="47">
        <v>0.1943</v>
      </c>
      <c r="J62" s="47">
        <v>0.1943</v>
      </c>
      <c r="K62" s="41">
        <v>1802099528159</v>
      </c>
      <c r="L62" s="27">
        <f t="shared" si="38"/>
        <v>0.48718741206467936</v>
      </c>
      <c r="M62" s="28">
        <v>100</v>
      </c>
      <c r="N62" s="28">
        <v>100</v>
      </c>
      <c r="O62" s="29">
        <v>213040</v>
      </c>
      <c r="P62" s="47">
        <v>0.19359999999999999</v>
      </c>
      <c r="Q62" s="47">
        <v>0.19359999999999999</v>
      </c>
      <c r="R62" s="53">
        <f t="shared" si="21"/>
        <v>1.1513450676151787E-2</v>
      </c>
      <c r="S62" s="53">
        <f t="shared" si="22"/>
        <v>0</v>
      </c>
      <c r="T62" s="53">
        <f t="shared" si="23"/>
        <v>1.3279555572466802E-2</v>
      </c>
      <c r="U62" s="54">
        <f t="shared" si="24"/>
        <v>-7.0000000000000617E-4</v>
      </c>
      <c r="V62" s="55">
        <f t="shared" si="25"/>
        <v>-7.0000000000000617E-4</v>
      </c>
    </row>
    <row r="63" spans="1:22">
      <c r="A63" s="172">
        <v>55</v>
      </c>
      <c r="B63" s="170" t="s">
        <v>96</v>
      </c>
      <c r="C63" s="170" t="s">
        <v>97</v>
      </c>
      <c r="D63" s="41">
        <v>5051457792.1099997</v>
      </c>
      <c r="E63" s="27">
        <f t="shared" si="37"/>
        <v>1.365633035488423E-3</v>
      </c>
      <c r="F63" s="28">
        <v>100</v>
      </c>
      <c r="G63" s="28">
        <v>100</v>
      </c>
      <c r="H63" s="29">
        <v>722</v>
      </c>
      <c r="I63" s="47">
        <v>0.2056</v>
      </c>
      <c r="J63" s="47">
        <v>0.2056</v>
      </c>
      <c r="K63" s="41">
        <v>5053533640.5600004</v>
      </c>
      <c r="L63" s="27">
        <f t="shared" si="38"/>
        <v>1.3661942293727739E-3</v>
      </c>
      <c r="M63" s="28">
        <v>100</v>
      </c>
      <c r="N63" s="28">
        <v>100</v>
      </c>
      <c r="O63" s="29">
        <v>729</v>
      </c>
      <c r="P63" s="47">
        <v>0.20669999999999999</v>
      </c>
      <c r="Q63" s="47">
        <v>0.20669999999999999</v>
      </c>
      <c r="R63" s="53">
        <f t="shared" si="21"/>
        <v>4.1094047212333109E-4</v>
      </c>
      <c r="S63" s="53">
        <f t="shared" si="22"/>
        <v>0</v>
      </c>
      <c r="T63" s="53">
        <f t="shared" si="23"/>
        <v>9.6952908587257611E-3</v>
      </c>
      <c r="U63" s="54">
        <f t="shared" si="24"/>
        <v>1.0999999999999899E-3</v>
      </c>
      <c r="V63" s="55">
        <f t="shared" si="25"/>
        <v>1.0999999999999899E-3</v>
      </c>
    </row>
    <row r="64" spans="1:22">
      <c r="A64" s="172">
        <v>56</v>
      </c>
      <c r="B64" s="170" t="s">
        <v>98</v>
      </c>
      <c r="C64" s="171" t="s">
        <v>99</v>
      </c>
      <c r="D64" s="41">
        <v>5911335240.8900003</v>
      </c>
      <c r="E64" s="27">
        <f t="shared" si="37"/>
        <v>1.5980960390118031E-3</v>
      </c>
      <c r="F64" s="28">
        <v>1</v>
      </c>
      <c r="G64" s="28">
        <v>1</v>
      </c>
      <c r="H64" s="29">
        <v>519</v>
      </c>
      <c r="I64" s="47">
        <v>0.205397</v>
      </c>
      <c r="J64" s="47">
        <v>0.205397</v>
      </c>
      <c r="K64" s="41">
        <v>6063099421.21</v>
      </c>
      <c r="L64" s="27">
        <f t="shared" si="38"/>
        <v>1.6391246265558838E-3</v>
      </c>
      <c r="M64" s="28">
        <v>1</v>
      </c>
      <c r="N64" s="28">
        <v>1</v>
      </c>
      <c r="O64" s="29">
        <v>530</v>
      </c>
      <c r="P64" s="47">
        <v>0.20488799999999999</v>
      </c>
      <c r="Q64" s="47">
        <v>0.20488799999999999</v>
      </c>
      <c r="R64" s="53">
        <f t="shared" si="21"/>
        <v>2.5673417956439626E-2</v>
      </c>
      <c r="S64" s="53">
        <f t="shared" si="22"/>
        <v>0</v>
      </c>
      <c r="T64" s="53">
        <f t="shared" si="23"/>
        <v>2.119460500963391E-2</v>
      </c>
      <c r="U64" s="54">
        <f t="shared" si="24"/>
        <v>-5.0900000000000944E-4</v>
      </c>
      <c r="V64" s="55">
        <f t="shared" si="25"/>
        <v>-5.0900000000000944E-4</v>
      </c>
    </row>
    <row r="65" spans="1:22">
      <c r="A65" s="172">
        <v>57</v>
      </c>
      <c r="B65" s="170" t="s">
        <v>100</v>
      </c>
      <c r="C65" s="171" t="s">
        <v>50</v>
      </c>
      <c r="D65" s="41">
        <v>174537185046.60999</v>
      </c>
      <c r="E65" s="27">
        <f t="shared" si="37"/>
        <v>4.7185140533708377E-2</v>
      </c>
      <c r="F65" s="28">
        <v>1</v>
      </c>
      <c r="G65" s="28">
        <v>1</v>
      </c>
      <c r="H65" s="29">
        <v>65607</v>
      </c>
      <c r="I65" s="47">
        <v>0.189</v>
      </c>
      <c r="J65" s="47">
        <v>0.189</v>
      </c>
      <c r="K65" s="41">
        <v>174693261244.98999</v>
      </c>
      <c r="L65" s="27">
        <f t="shared" si="38"/>
        <v>4.7227334850939752E-2</v>
      </c>
      <c r="M65" s="28">
        <v>1</v>
      </c>
      <c r="N65" s="28">
        <v>1</v>
      </c>
      <c r="O65" s="29">
        <v>66586</v>
      </c>
      <c r="P65" s="47">
        <v>0.19120000000000001</v>
      </c>
      <c r="Q65" s="47">
        <v>0.19120000000000001</v>
      </c>
      <c r="R65" s="53">
        <f t="shared" si="21"/>
        <v>8.9422891940376423E-4</v>
      </c>
      <c r="S65" s="53">
        <f t="shared" si="22"/>
        <v>0</v>
      </c>
      <c r="T65" s="53">
        <f t="shared" si="23"/>
        <v>1.4922188181139207E-2</v>
      </c>
      <c r="U65" s="54">
        <f t="shared" si="24"/>
        <v>2.2000000000000075E-3</v>
      </c>
      <c r="V65" s="55">
        <f t="shared" si="25"/>
        <v>2.2000000000000075E-3</v>
      </c>
    </row>
    <row r="66" spans="1:22">
      <c r="A66" s="172">
        <v>58</v>
      </c>
      <c r="B66" s="170" t="s">
        <v>309</v>
      </c>
      <c r="C66" s="171" t="s">
        <v>101</v>
      </c>
      <c r="D66" s="41">
        <v>1943945648.1800001</v>
      </c>
      <c r="E66" s="27">
        <f t="shared" si="37"/>
        <v>5.255347081183242E-4</v>
      </c>
      <c r="F66" s="28">
        <v>1</v>
      </c>
      <c r="G66" s="28">
        <v>1</v>
      </c>
      <c r="H66" s="29">
        <v>157</v>
      </c>
      <c r="I66" s="47">
        <v>0.18310000000000001</v>
      </c>
      <c r="J66" s="47">
        <v>0.18310000000000001</v>
      </c>
      <c r="K66" s="41">
        <v>2070400408.6300001</v>
      </c>
      <c r="L66" s="27">
        <f t="shared" si="38"/>
        <v>5.5972103718852353E-4</v>
      </c>
      <c r="M66" s="28">
        <v>1</v>
      </c>
      <c r="N66" s="28">
        <v>1</v>
      </c>
      <c r="O66" s="29">
        <v>155</v>
      </c>
      <c r="P66" s="47">
        <v>0.15709999999999999</v>
      </c>
      <c r="Q66" s="47">
        <v>0.15709999999999999</v>
      </c>
      <c r="R66" s="53">
        <f t="shared" si="21"/>
        <v>6.5050563820234414E-2</v>
      </c>
      <c r="S66" s="53">
        <f t="shared" si="22"/>
        <v>0</v>
      </c>
      <c r="T66" s="53">
        <f t="shared" si="23"/>
        <v>-1.2738853503184714E-2</v>
      </c>
      <c r="U66" s="54">
        <f t="shared" si="24"/>
        <v>-2.6000000000000023E-2</v>
      </c>
      <c r="V66" s="55">
        <f t="shared" si="25"/>
        <v>-2.6000000000000023E-2</v>
      </c>
    </row>
    <row r="67" spans="1:22">
      <c r="A67" s="172">
        <v>59</v>
      </c>
      <c r="B67" s="170" t="s">
        <v>102</v>
      </c>
      <c r="C67" s="171" t="s">
        <v>103</v>
      </c>
      <c r="D67" s="41">
        <v>6196714105.3500004</v>
      </c>
      <c r="E67" s="27">
        <f t="shared" si="37"/>
        <v>1.6752466004884262E-3</v>
      </c>
      <c r="F67" s="28">
        <v>1</v>
      </c>
      <c r="G67" s="28">
        <v>1</v>
      </c>
      <c r="H67" s="29">
        <v>468</v>
      </c>
      <c r="I67" s="47">
        <v>0.1976</v>
      </c>
      <c r="J67" s="47">
        <v>0.20499999999999999</v>
      </c>
      <c r="K67" s="41">
        <v>6642592069.9300003</v>
      </c>
      <c r="L67" s="27">
        <f t="shared" si="38"/>
        <v>1.7957871856592754E-3</v>
      </c>
      <c r="M67" s="28">
        <v>1</v>
      </c>
      <c r="N67" s="28">
        <v>1</v>
      </c>
      <c r="O67" s="29">
        <v>470</v>
      </c>
      <c r="P67" s="47">
        <v>0.1968</v>
      </c>
      <c r="Q67" s="47">
        <v>0.20480000000000001</v>
      </c>
      <c r="R67" s="53">
        <f t="shared" si="21"/>
        <v>7.1953935101676927E-2</v>
      </c>
      <c r="S67" s="53">
        <f t="shared" si="22"/>
        <v>0</v>
      </c>
      <c r="T67" s="53">
        <f t="shared" si="23"/>
        <v>4.2735042735042739E-3</v>
      </c>
      <c r="U67" s="54">
        <f t="shared" si="24"/>
        <v>-7.9999999999999516E-4</v>
      </c>
      <c r="V67" s="55">
        <f t="shared" si="25"/>
        <v>-1.9999999999997797E-4</v>
      </c>
    </row>
    <row r="68" spans="1:22">
      <c r="A68" s="172">
        <v>60</v>
      </c>
      <c r="B68" s="170" t="s">
        <v>104</v>
      </c>
      <c r="C68" s="171" t="s">
        <v>105</v>
      </c>
      <c r="D68" s="41">
        <v>6876442698.46</v>
      </c>
      <c r="E68" s="27">
        <f t="shared" si="37"/>
        <v>1.8590073800730754E-3</v>
      </c>
      <c r="F68" s="28">
        <v>1</v>
      </c>
      <c r="G68" s="28">
        <v>1</v>
      </c>
      <c r="H68" s="29">
        <v>4168</v>
      </c>
      <c r="I68" s="47">
        <v>0.19309999999999999</v>
      </c>
      <c r="J68" s="47">
        <v>0.19309999999999999</v>
      </c>
      <c r="K68" s="41">
        <v>7362277404.1800003</v>
      </c>
      <c r="L68" s="27">
        <f t="shared" si="38"/>
        <v>1.9903500441559707E-3</v>
      </c>
      <c r="M68" s="28">
        <v>1</v>
      </c>
      <c r="N68" s="28">
        <v>1</v>
      </c>
      <c r="O68" s="29">
        <v>4223</v>
      </c>
      <c r="P68" s="47">
        <v>0.2102</v>
      </c>
      <c r="Q68" s="47">
        <v>0.2102</v>
      </c>
      <c r="R68" s="53">
        <f t="shared" si="21"/>
        <v>7.0652040164430427E-2</v>
      </c>
      <c r="S68" s="53">
        <f t="shared" si="22"/>
        <v>0</v>
      </c>
      <c r="T68" s="53">
        <f t="shared" si="23"/>
        <v>1.3195777351247601E-2</v>
      </c>
      <c r="U68" s="54">
        <f t="shared" si="24"/>
        <v>1.7100000000000004E-2</v>
      </c>
      <c r="V68" s="55">
        <f t="shared" si="25"/>
        <v>1.7100000000000004E-2</v>
      </c>
    </row>
    <row r="69" spans="1:22">
      <c r="A69" s="172">
        <v>61</v>
      </c>
      <c r="B69" s="170" t="s">
        <v>106</v>
      </c>
      <c r="C69" s="171" t="s">
        <v>107</v>
      </c>
      <c r="D69" s="41">
        <v>129529577129.81</v>
      </c>
      <c r="E69" s="27">
        <f t="shared" si="37"/>
        <v>3.501758836381906E-2</v>
      </c>
      <c r="F69" s="28">
        <v>1</v>
      </c>
      <c r="G69" s="28">
        <v>1</v>
      </c>
      <c r="H69" s="29">
        <v>6032</v>
      </c>
      <c r="I69" s="47">
        <v>0.1958</v>
      </c>
      <c r="J69" s="47">
        <v>0.1958</v>
      </c>
      <c r="K69" s="41">
        <v>130153678493.45</v>
      </c>
      <c r="L69" s="27">
        <f t="shared" si="38"/>
        <v>3.5186310636627388E-2</v>
      </c>
      <c r="M69" s="28">
        <v>1</v>
      </c>
      <c r="N69" s="28">
        <v>1</v>
      </c>
      <c r="O69" s="29">
        <v>6068</v>
      </c>
      <c r="P69" s="47">
        <v>0.19439999999999999</v>
      </c>
      <c r="Q69" s="47">
        <v>0.19439999999999999</v>
      </c>
      <c r="R69" s="53">
        <f t="shared" si="21"/>
        <v>4.8182150939514523E-3</v>
      </c>
      <c r="S69" s="53">
        <f t="shared" si="22"/>
        <v>0</v>
      </c>
      <c r="T69" s="53">
        <f t="shared" si="23"/>
        <v>5.9681697612732091E-3</v>
      </c>
      <c r="U69" s="54">
        <f t="shared" si="24"/>
        <v>-1.4000000000000123E-3</v>
      </c>
      <c r="V69" s="55">
        <f t="shared" si="25"/>
        <v>-1.4000000000000123E-3</v>
      </c>
    </row>
    <row r="70" spans="1:22">
      <c r="A70" s="33"/>
      <c r="B70" s="34"/>
      <c r="C70" s="35" t="s">
        <v>51</v>
      </c>
      <c r="D70" s="45">
        <f>SUM(D28:D69)</f>
        <v>3655006028344.0098</v>
      </c>
      <c r="E70" s="37">
        <f>(D70/$D$226)</f>
        <v>0.56658431456273228</v>
      </c>
      <c r="F70" s="38"/>
      <c r="G70" s="42"/>
      <c r="H70" s="40">
        <f>SUM(H28:H69)</f>
        <v>482568</v>
      </c>
      <c r="I70" s="52"/>
      <c r="J70" s="52"/>
      <c r="K70" s="45">
        <f>SUM(K28:K69)</f>
        <v>3698986228978.6582</v>
      </c>
      <c r="L70" s="37">
        <f>(K70/$K$226)</f>
        <v>0.56873916877160091</v>
      </c>
      <c r="M70" s="38"/>
      <c r="N70" s="42"/>
      <c r="O70" s="40">
        <f>SUM(O28:O69)</f>
        <v>487956</v>
      </c>
      <c r="P70" s="52"/>
      <c r="Q70" s="52"/>
      <c r="R70" s="53">
        <f t="shared" si="21"/>
        <v>1.2032866784237494E-2</v>
      </c>
      <c r="S70" s="53" t="e">
        <f t="shared" si="22"/>
        <v>#DIV/0!</v>
      </c>
      <c r="T70" s="53">
        <f t="shared" si="23"/>
        <v>1.1165265827821156E-2</v>
      </c>
      <c r="U70" s="54">
        <f t="shared" si="24"/>
        <v>0</v>
      </c>
      <c r="V70" s="55">
        <f t="shared" si="25"/>
        <v>0</v>
      </c>
    </row>
    <row r="71" spans="1:22" ht="3" customHeight="1">
      <c r="A71" s="33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</row>
    <row r="72" spans="1:22" ht="15" customHeight="1">
      <c r="A72" s="186" t="s">
        <v>108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</row>
    <row r="73" spans="1:22">
      <c r="A73" s="172">
        <v>62</v>
      </c>
      <c r="B73" s="170" t="s">
        <v>109</v>
      </c>
      <c r="C73" s="171" t="s">
        <v>19</v>
      </c>
      <c r="D73" s="26">
        <v>602893752.89999998</v>
      </c>
      <c r="E73" s="27">
        <f>(D73/$D$112)</f>
        <v>2.6085723399724421E-3</v>
      </c>
      <c r="F73" s="57">
        <v>1.5956999999999999</v>
      </c>
      <c r="G73" s="57">
        <v>1.5956999999999999</v>
      </c>
      <c r="H73" s="29">
        <v>493</v>
      </c>
      <c r="I73" s="47">
        <v>-3.9950000000000003E-3</v>
      </c>
      <c r="J73" s="47">
        <v>0.224</v>
      </c>
      <c r="K73" s="26">
        <v>570384316.27999997</v>
      </c>
      <c r="L73" s="27">
        <f t="shared" ref="L73:L96" si="39">(K73/$K$112)</f>
        <v>2.4675865095431758E-3</v>
      </c>
      <c r="M73" s="57">
        <v>1.569</v>
      </c>
      <c r="N73" s="57">
        <v>1.569</v>
      </c>
      <c r="O73" s="29">
        <v>496</v>
      </c>
      <c r="P73" s="47">
        <v>-2.7959999999999999E-3</v>
      </c>
      <c r="Q73" s="47">
        <v>0.20349999999999999</v>
      </c>
      <c r="R73" s="53">
        <f>((K73-D73)/D73)</f>
        <v>-5.392233119621035E-2</v>
      </c>
      <c r="S73" s="53">
        <f>((N73-G73)/G73)</f>
        <v>-1.6732468509118224E-2</v>
      </c>
      <c r="T73" s="53">
        <f>((O73-H73)/H73)</f>
        <v>6.0851926977687626E-3</v>
      </c>
      <c r="U73" s="54">
        <f>P73-I73</f>
        <v>1.1990000000000004E-3</v>
      </c>
      <c r="V73" s="55">
        <f>Q73-J73</f>
        <v>-2.0500000000000018E-2</v>
      </c>
    </row>
    <row r="74" spans="1:22">
      <c r="A74" s="172">
        <v>63</v>
      </c>
      <c r="B74" s="170" t="s">
        <v>110</v>
      </c>
      <c r="C74" s="171" t="s">
        <v>21</v>
      </c>
      <c r="D74" s="26">
        <v>1317116665.0799999</v>
      </c>
      <c r="E74" s="27">
        <f>(D74/$D$112)</f>
        <v>5.6988384512491686E-3</v>
      </c>
      <c r="F74" s="57">
        <v>1.3124</v>
      </c>
      <c r="G74" s="57">
        <v>1.3099000000000001</v>
      </c>
      <c r="H74" s="29">
        <v>1123</v>
      </c>
      <c r="I74" s="47">
        <v>9.9500000000000005E-2</v>
      </c>
      <c r="J74" s="47">
        <v>0.17860000000000001</v>
      </c>
      <c r="K74" s="26">
        <v>1319086657.0899999</v>
      </c>
      <c r="L74" s="27">
        <f t="shared" si="39"/>
        <v>5.7066092931556669E-3</v>
      </c>
      <c r="M74" s="57">
        <v>1.3128</v>
      </c>
      <c r="N74" s="57">
        <v>1.3128</v>
      </c>
      <c r="O74" s="29">
        <v>1135</v>
      </c>
      <c r="P74" s="47">
        <v>1.5900000000000001E-2</v>
      </c>
      <c r="Q74" s="47">
        <v>0.17380000000000001</v>
      </c>
      <c r="R74" s="53">
        <f t="shared" ref="R74:R112" si="40">((K74-D74)/D74)</f>
        <v>1.4956852815163004E-3</v>
      </c>
      <c r="S74" s="53">
        <f t="shared" ref="S74:S112" si="41">((N74-G74)/G74)</f>
        <v>2.213909458737234E-3</v>
      </c>
      <c r="T74" s="53">
        <f t="shared" ref="T74:T112" si="42">((O74-H74)/H74)</f>
        <v>1.068566340160285E-2</v>
      </c>
      <c r="U74" s="54">
        <f t="shared" ref="U74:U112" si="43">P74-I74</f>
        <v>-8.3600000000000008E-2</v>
      </c>
      <c r="V74" s="55">
        <f t="shared" ref="V74:V112" si="44">Q74-J74</f>
        <v>-4.7999999999999987E-3</v>
      </c>
    </row>
    <row r="75" spans="1:22">
      <c r="A75" s="172">
        <v>64</v>
      </c>
      <c r="B75" s="170" t="s">
        <v>111</v>
      </c>
      <c r="C75" s="171" t="s">
        <v>21</v>
      </c>
      <c r="D75" s="26">
        <v>801290269.01999998</v>
      </c>
      <c r="E75" s="27">
        <f>(D75/$D$112)</f>
        <v>3.4669850566544976E-3</v>
      </c>
      <c r="F75" s="57">
        <v>1.1564000000000001</v>
      </c>
      <c r="G75" s="57">
        <v>1.1564000000000001</v>
      </c>
      <c r="H75" s="29">
        <v>429</v>
      </c>
      <c r="I75" s="47">
        <v>0.1356</v>
      </c>
      <c r="J75" s="47">
        <v>0.12470000000000001</v>
      </c>
      <c r="K75" s="26">
        <v>802747227.52999997</v>
      </c>
      <c r="L75" s="27">
        <f t="shared" si="39"/>
        <v>3.4728308136961843E-3</v>
      </c>
      <c r="M75" s="57">
        <v>1.1593</v>
      </c>
      <c r="N75" s="57">
        <v>1.1593</v>
      </c>
      <c r="O75" s="29">
        <v>442</v>
      </c>
      <c r="P75" s="47">
        <v>0.1308</v>
      </c>
      <c r="Q75" s="47">
        <v>0.12509999999999999</v>
      </c>
      <c r="R75" s="53">
        <f t="shared" si="40"/>
        <v>1.8182655728265498E-3</v>
      </c>
      <c r="S75" s="53">
        <f t="shared" si="41"/>
        <v>2.5077827741265156E-3</v>
      </c>
      <c r="T75" s="53">
        <f t="shared" si="42"/>
        <v>3.0303030303030304E-2</v>
      </c>
      <c r="U75" s="54">
        <f t="shared" si="43"/>
        <v>-4.7999999999999987E-3</v>
      </c>
      <c r="V75" s="55">
        <f t="shared" si="44"/>
        <v>3.999999999999837E-4</v>
      </c>
    </row>
    <row r="76" spans="1:22">
      <c r="A76" s="172">
        <v>65</v>
      </c>
      <c r="B76" s="170" t="s">
        <v>112</v>
      </c>
      <c r="C76" s="171" t="s">
        <v>113</v>
      </c>
      <c r="D76" s="26">
        <v>307391124.18000001</v>
      </c>
      <c r="E76" s="27">
        <f>(D76/$D$112)</f>
        <v>1.3300054615460292E-3</v>
      </c>
      <c r="F76" s="32">
        <v>1206.24</v>
      </c>
      <c r="G76" s="32">
        <v>1206.24</v>
      </c>
      <c r="H76" s="29">
        <v>109</v>
      </c>
      <c r="I76" s="47">
        <v>2.5999999999999999E-3</v>
      </c>
      <c r="J76" s="47">
        <v>0.21679999999999999</v>
      </c>
      <c r="K76" s="26">
        <v>308796077.31999999</v>
      </c>
      <c r="L76" s="27">
        <f t="shared" si="39"/>
        <v>1.3359081111561089E-3</v>
      </c>
      <c r="M76" s="32">
        <v>1212.68</v>
      </c>
      <c r="N76" s="32">
        <v>1212.68</v>
      </c>
      <c r="O76" s="29">
        <v>109</v>
      </c>
      <c r="P76" s="47">
        <v>4.1999999999999997E-3</v>
      </c>
      <c r="Q76" s="47">
        <v>0.21129999999999999</v>
      </c>
      <c r="R76" s="53">
        <f t="shared" si="40"/>
        <v>4.5705715926178886E-3</v>
      </c>
      <c r="S76" s="53">
        <f t="shared" si="41"/>
        <v>5.3389043639740473E-3</v>
      </c>
      <c r="T76" s="53">
        <f t="shared" si="42"/>
        <v>0</v>
      </c>
      <c r="U76" s="54">
        <f t="shared" si="43"/>
        <v>1.5999999999999999E-3</v>
      </c>
      <c r="V76" s="55">
        <f t="shared" si="44"/>
        <v>-5.5000000000000049E-3</v>
      </c>
    </row>
    <row r="77" spans="1:22" ht="15" customHeight="1">
      <c r="A77" s="172">
        <v>66</v>
      </c>
      <c r="B77" s="170" t="s">
        <v>114</v>
      </c>
      <c r="C77" s="171" t="s">
        <v>25</v>
      </c>
      <c r="D77" s="26">
        <v>1677471048.6800001</v>
      </c>
      <c r="E77" s="27">
        <f>(D77/$K$112)</f>
        <v>7.2570454897291376E-3</v>
      </c>
      <c r="F77" s="32">
        <v>1.0386</v>
      </c>
      <c r="G77" s="32">
        <v>1.0386</v>
      </c>
      <c r="H77" s="29">
        <v>960</v>
      </c>
      <c r="I77" s="47">
        <v>3.2000000000000002E-3</v>
      </c>
      <c r="J77" s="47">
        <v>9.5799999999999996E-2</v>
      </c>
      <c r="K77" s="26">
        <v>1675134983.3399999</v>
      </c>
      <c r="L77" s="27">
        <f t="shared" si="39"/>
        <v>7.2469392453008352E-3</v>
      </c>
      <c r="M77" s="32">
        <v>1.0419</v>
      </c>
      <c r="N77" s="32">
        <v>1.0419</v>
      </c>
      <c r="O77" s="29">
        <v>965</v>
      </c>
      <c r="P77" s="47">
        <v>3.2000000000000002E-3</v>
      </c>
      <c r="Q77" s="47">
        <v>9.8799999999999999E-2</v>
      </c>
      <c r="R77" s="53">
        <f t="shared" si="40"/>
        <v>-1.3926114205299696E-3</v>
      </c>
      <c r="S77" s="53">
        <f t="shared" si="41"/>
        <v>3.1773541305604473E-3</v>
      </c>
      <c r="T77" s="53">
        <f t="shared" si="42"/>
        <v>5.208333333333333E-3</v>
      </c>
      <c r="U77" s="54">
        <f t="shared" si="43"/>
        <v>0</v>
      </c>
      <c r="V77" s="55">
        <f t="shared" si="44"/>
        <v>3.0000000000000027E-3</v>
      </c>
    </row>
    <row r="78" spans="1:22">
      <c r="A78" s="172">
        <v>67</v>
      </c>
      <c r="B78" s="170" t="s">
        <v>115</v>
      </c>
      <c r="C78" s="171" t="s">
        <v>116</v>
      </c>
      <c r="D78" s="26">
        <v>467975163.18000001</v>
      </c>
      <c r="E78" s="27">
        <f t="shared" ref="E78:E96" si="45">(D78/$D$112)</f>
        <v>2.02481293029407E-3</v>
      </c>
      <c r="F78" s="32">
        <v>2.6831</v>
      </c>
      <c r="G78" s="32">
        <v>2.6831</v>
      </c>
      <c r="H78" s="29">
        <v>1391</v>
      </c>
      <c r="I78" s="47">
        <v>0.1149</v>
      </c>
      <c r="J78" s="47">
        <v>0.14380000000000001</v>
      </c>
      <c r="K78" s="26">
        <v>469307315.04000002</v>
      </c>
      <c r="L78" s="27">
        <f t="shared" si="39"/>
        <v>2.0303089800494212E-3</v>
      </c>
      <c r="M78" s="32">
        <v>2.6907000000000001</v>
      </c>
      <c r="N78" s="32">
        <v>2.6907000000000001</v>
      </c>
      <c r="O78" s="29">
        <v>1391</v>
      </c>
      <c r="P78" s="47">
        <v>0.1477</v>
      </c>
      <c r="Q78" s="47">
        <v>0.14430000000000001</v>
      </c>
      <c r="R78" s="53">
        <f t="shared" si="40"/>
        <v>2.8466294043208037E-3</v>
      </c>
      <c r="S78" s="53">
        <f t="shared" si="41"/>
        <v>2.8325444448585781E-3</v>
      </c>
      <c r="T78" s="53">
        <f t="shared" si="42"/>
        <v>0</v>
      </c>
      <c r="U78" s="54">
        <f t="shared" si="43"/>
        <v>3.2799999999999996E-2</v>
      </c>
      <c r="V78" s="55">
        <f t="shared" si="44"/>
        <v>5.0000000000000044E-4</v>
      </c>
    </row>
    <row r="79" spans="1:22">
      <c r="A79" s="172">
        <v>68</v>
      </c>
      <c r="B79" s="171" t="s">
        <v>323</v>
      </c>
      <c r="C79" s="171" t="s">
        <v>321</v>
      </c>
      <c r="D79" s="26">
        <v>740530702.42999995</v>
      </c>
      <c r="E79" s="27">
        <f t="shared" si="45"/>
        <v>3.2040934210503763E-3</v>
      </c>
      <c r="F79" s="32">
        <v>1046.8699999999999</v>
      </c>
      <c r="G79" s="32">
        <v>1046.8699999999999</v>
      </c>
      <c r="H79" s="29">
        <v>174</v>
      </c>
      <c r="I79" s="47">
        <v>3.3999999999999998E-3</v>
      </c>
      <c r="J79" s="47">
        <v>4.41E-2</v>
      </c>
      <c r="K79" s="26">
        <v>747556325.70000005</v>
      </c>
      <c r="L79" s="27">
        <f t="shared" si="39"/>
        <v>3.2340649133757852E-3</v>
      </c>
      <c r="M79" s="32">
        <v>1048.32</v>
      </c>
      <c r="N79" s="32">
        <v>1048.32</v>
      </c>
      <c r="O79" s="29">
        <v>159</v>
      </c>
      <c r="P79" s="47">
        <v>5.8E-4</v>
      </c>
      <c r="Q79" s="47">
        <v>4.5539999999999997E-2</v>
      </c>
      <c r="R79" s="53">
        <f t="shared" ref="R79" si="46">((K79-D79)/D79)</f>
        <v>9.487281549496877E-3</v>
      </c>
      <c r="S79" s="53">
        <f t="shared" ref="S79" si="47">((N79-G79)/G79)</f>
        <v>1.3850812421791108E-3</v>
      </c>
      <c r="T79" s="53">
        <f t="shared" ref="T79" si="48">((O79-H79)/H79)</f>
        <v>-8.6206896551724144E-2</v>
      </c>
      <c r="U79" s="54">
        <f t="shared" si="43"/>
        <v>-2.8199999999999996E-3</v>
      </c>
      <c r="V79" s="55">
        <f t="shared" si="44"/>
        <v>1.4399999999999968E-3</v>
      </c>
    </row>
    <row r="80" spans="1:22">
      <c r="A80" s="172">
        <v>69</v>
      </c>
      <c r="B80" s="170" t="s">
        <v>117</v>
      </c>
      <c r="C80" s="171" t="s">
        <v>61</v>
      </c>
      <c r="D80" s="26">
        <v>205002805.96000001</v>
      </c>
      <c r="E80" s="27">
        <f t="shared" si="45"/>
        <v>8.8699650091198304E-4</v>
      </c>
      <c r="F80" s="32">
        <v>11.87</v>
      </c>
      <c r="G80" s="32">
        <v>11.9</v>
      </c>
      <c r="H80" s="29">
        <v>39</v>
      </c>
      <c r="I80" s="47">
        <v>8.6999999999999994E-2</v>
      </c>
      <c r="J80" s="47">
        <v>0.32</v>
      </c>
      <c r="K80" s="26">
        <v>219864750.59</v>
      </c>
      <c r="L80" s="27">
        <f t="shared" si="39"/>
        <v>9.5117498324345578E-4</v>
      </c>
      <c r="M80" s="32">
        <v>11.86</v>
      </c>
      <c r="N80" s="32">
        <v>11.91</v>
      </c>
      <c r="O80" s="29">
        <v>40</v>
      </c>
      <c r="P80" s="47">
        <v>0.13400000000000001</v>
      </c>
      <c r="Q80" s="47">
        <v>0.3</v>
      </c>
      <c r="R80" s="53">
        <f t="shared" si="40"/>
        <v>7.2496298577005069E-2</v>
      </c>
      <c r="S80" s="53">
        <f t="shared" si="41"/>
        <v>8.4033613445376357E-4</v>
      </c>
      <c r="T80" s="53">
        <f t="shared" si="42"/>
        <v>2.564102564102564E-2</v>
      </c>
      <c r="U80" s="54">
        <f t="shared" si="43"/>
        <v>4.7000000000000014E-2</v>
      </c>
      <c r="V80" s="55">
        <f t="shared" si="44"/>
        <v>-2.0000000000000018E-2</v>
      </c>
    </row>
    <row r="81" spans="1:22">
      <c r="A81" s="172">
        <v>70</v>
      </c>
      <c r="B81" s="170" t="s">
        <v>118</v>
      </c>
      <c r="C81" s="171" t="s">
        <v>63</v>
      </c>
      <c r="D81" s="26">
        <v>2092034523.1700001</v>
      </c>
      <c r="E81" s="27">
        <f t="shared" si="45"/>
        <v>9.0517166004104727E-3</v>
      </c>
      <c r="F81" s="26">
        <v>4702.74</v>
      </c>
      <c r="G81" s="26">
        <v>4702.74</v>
      </c>
      <c r="H81" s="29">
        <v>1137</v>
      </c>
      <c r="I81" s="47">
        <v>0.1021</v>
      </c>
      <c r="J81" s="47">
        <v>0.1168</v>
      </c>
      <c r="K81" s="26">
        <v>2095998877.4000001</v>
      </c>
      <c r="L81" s="27">
        <f t="shared" si="39"/>
        <v>9.067673156971821E-3</v>
      </c>
      <c r="M81" s="26">
        <v>4711.76</v>
      </c>
      <c r="N81" s="26">
        <v>4711.76</v>
      </c>
      <c r="O81" s="29">
        <v>1140</v>
      </c>
      <c r="P81" s="47">
        <v>0.10009999999999999</v>
      </c>
      <c r="Q81" s="47">
        <v>0.11650000000000001</v>
      </c>
      <c r="R81" s="53">
        <f t="shared" si="40"/>
        <v>1.8949755303239195E-3</v>
      </c>
      <c r="S81" s="53">
        <f t="shared" si="41"/>
        <v>1.9180307650434507E-3</v>
      </c>
      <c r="T81" s="53">
        <f t="shared" si="42"/>
        <v>2.6385224274406332E-3</v>
      </c>
      <c r="U81" s="54">
        <f t="shared" si="43"/>
        <v>-2.0000000000000018E-3</v>
      </c>
      <c r="V81" s="55">
        <f t="shared" si="44"/>
        <v>-2.9999999999999472E-4</v>
      </c>
    </row>
    <row r="82" spans="1:22">
      <c r="A82" s="172">
        <v>71</v>
      </c>
      <c r="B82" s="170" t="s">
        <v>119</v>
      </c>
      <c r="C82" s="171" t="s">
        <v>65</v>
      </c>
      <c r="D82" s="26">
        <v>349390152.25999999</v>
      </c>
      <c r="E82" s="27">
        <f t="shared" si="45"/>
        <v>1.5117248813081806E-3</v>
      </c>
      <c r="F82" s="57">
        <v>113.55</v>
      </c>
      <c r="G82" s="57">
        <v>113.55</v>
      </c>
      <c r="H82" s="29">
        <v>90</v>
      </c>
      <c r="I82" s="47">
        <v>2.3999999999999998E-3</v>
      </c>
      <c r="J82" s="47">
        <v>0.1263</v>
      </c>
      <c r="K82" s="26">
        <v>350404158.17000002</v>
      </c>
      <c r="L82" s="27">
        <f t="shared" si="39"/>
        <v>1.5159122523342135E-3</v>
      </c>
      <c r="M82" s="57">
        <v>113.81</v>
      </c>
      <c r="N82" s="57">
        <v>113.81</v>
      </c>
      <c r="O82" s="29">
        <v>91</v>
      </c>
      <c r="P82" s="47">
        <v>2.3E-3</v>
      </c>
      <c r="Q82" s="47">
        <v>0.1263</v>
      </c>
      <c r="R82" s="53">
        <f t="shared" si="40"/>
        <v>2.9022166292925452E-3</v>
      </c>
      <c r="S82" s="53">
        <f t="shared" si="41"/>
        <v>2.2897402025539859E-3</v>
      </c>
      <c r="T82" s="53">
        <f t="shared" si="42"/>
        <v>1.1111111111111112E-2</v>
      </c>
      <c r="U82" s="54">
        <f t="shared" si="43"/>
        <v>-9.9999999999999829E-5</v>
      </c>
      <c r="V82" s="55">
        <f t="shared" si="44"/>
        <v>0</v>
      </c>
    </row>
    <row r="83" spans="1:22" ht="13.5" customHeight="1">
      <c r="A83" s="172">
        <v>72</v>
      </c>
      <c r="B83" s="170" t="s">
        <v>120</v>
      </c>
      <c r="C83" s="171" t="s">
        <v>294</v>
      </c>
      <c r="D83" s="26">
        <v>419587001.94999999</v>
      </c>
      <c r="E83" s="27">
        <f t="shared" si="45"/>
        <v>1.815449309656851E-3</v>
      </c>
      <c r="F83" s="57">
        <v>1.4563999999999999</v>
      </c>
      <c r="G83" s="57">
        <v>1.4563999999999999</v>
      </c>
      <c r="H83" s="29">
        <v>582</v>
      </c>
      <c r="I83" s="47">
        <v>2.7000000000000001E-3</v>
      </c>
      <c r="J83" s="47">
        <v>0.1077</v>
      </c>
      <c r="K83" s="26">
        <v>432876080.14999998</v>
      </c>
      <c r="L83" s="27">
        <f t="shared" si="39"/>
        <v>1.8727008180177841E-3</v>
      </c>
      <c r="M83" s="57">
        <v>1.4617</v>
      </c>
      <c r="N83" s="57">
        <v>1.4617</v>
      </c>
      <c r="O83" s="29">
        <v>635</v>
      </c>
      <c r="P83" s="47">
        <v>3.5999999999999999E-3</v>
      </c>
      <c r="Q83" s="47">
        <v>0.12620000000000001</v>
      </c>
      <c r="R83" s="53">
        <f t="shared" si="40"/>
        <v>3.167180617664505E-2</v>
      </c>
      <c r="S83" s="53">
        <f t="shared" si="41"/>
        <v>3.6391101345784691E-3</v>
      </c>
      <c r="T83" s="53">
        <f t="shared" si="42"/>
        <v>9.1065292096219927E-2</v>
      </c>
      <c r="U83" s="54">
        <f t="shared" si="43"/>
        <v>8.9999999999999976E-4</v>
      </c>
      <c r="V83" s="55">
        <f t="shared" si="44"/>
        <v>1.8500000000000003E-2</v>
      </c>
    </row>
    <row r="84" spans="1:22" ht="13.5" customHeight="1">
      <c r="A84" s="172">
        <v>73</v>
      </c>
      <c r="B84" s="170" t="s">
        <v>292</v>
      </c>
      <c r="C84" s="171" t="s">
        <v>294</v>
      </c>
      <c r="D84" s="26">
        <v>23381973.800000001</v>
      </c>
      <c r="E84" s="27">
        <f t="shared" si="45"/>
        <v>1.0116802473943885E-4</v>
      </c>
      <c r="F84" s="57">
        <v>0.90159999999999996</v>
      </c>
      <c r="G84" s="57">
        <v>0.90159999999999996</v>
      </c>
      <c r="H84" s="29">
        <v>1</v>
      </c>
      <c r="I84" s="47">
        <v>-2.0000000000000001E-4</v>
      </c>
      <c r="J84" s="47">
        <v>-9.0399999999999994E-2</v>
      </c>
      <c r="K84" s="26">
        <v>23375418.739999998</v>
      </c>
      <c r="L84" s="27">
        <f t="shared" si="39"/>
        <v>1.0112632183496323E-4</v>
      </c>
      <c r="M84" s="57">
        <v>0.90129999999999999</v>
      </c>
      <c r="N84" s="57">
        <v>0.90129999999999999</v>
      </c>
      <c r="O84" s="29">
        <v>1</v>
      </c>
      <c r="P84" s="47">
        <v>-2.9999999999999997E-4</v>
      </c>
      <c r="Q84" s="47">
        <v>-9.0700000000000003E-2</v>
      </c>
      <c r="R84" s="53">
        <f t="shared" ref="R84" si="49">((K84-D84)/D84)</f>
        <v>-2.8034673445756682E-4</v>
      </c>
      <c r="S84" s="53">
        <f t="shared" ref="S84" si="50">((N84-G84)/G84)</f>
        <v>-3.3274179236908496E-4</v>
      </c>
      <c r="T84" s="53">
        <f t="shared" ref="T84" si="51">((O84-H84)/H84)</f>
        <v>0</v>
      </c>
      <c r="U84" s="54">
        <f t="shared" ref="U84" si="52">P84-I84</f>
        <v>-9.9999999999999964E-5</v>
      </c>
      <c r="V84" s="55">
        <f t="shared" ref="V84" si="53">Q84-J84</f>
        <v>-3.0000000000000859E-4</v>
      </c>
    </row>
    <row r="85" spans="1:22">
      <c r="A85" s="172">
        <v>74</v>
      </c>
      <c r="B85" s="170" t="s">
        <v>122</v>
      </c>
      <c r="C85" s="171" t="s">
        <v>27</v>
      </c>
      <c r="D85" s="26">
        <v>148451674.00999999</v>
      </c>
      <c r="E85" s="27">
        <f t="shared" si="45"/>
        <v>6.4231372241357963E-4</v>
      </c>
      <c r="F85" s="57">
        <v>130.48580000000001</v>
      </c>
      <c r="G85" s="57">
        <v>130.48580000000001</v>
      </c>
      <c r="H85" s="29">
        <v>289</v>
      </c>
      <c r="I85" s="47">
        <v>7.803E-3</v>
      </c>
      <c r="J85" s="47">
        <v>0.125</v>
      </c>
      <c r="K85" s="26">
        <v>150428277.56</v>
      </c>
      <c r="L85" s="27">
        <f t="shared" si="39"/>
        <v>6.5078014553726616E-4</v>
      </c>
      <c r="M85" s="57">
        <v>130.93100000000001</v>
      </c>
      <c r="N85" s="57">
        <v>130.93100000000001</v>
      </c>
      <c r="O85" s="29">
        <v>295</v>
      </c>
      <c r="P85" s="47">
        <v>5.0600000000000005E-4</v>
      </c>
      <c r="Q85" s="47">
        <v>0.12870000000000001</v>
      </c>
      <c r="R85" s="53">
        <f t="shared" si="40"/>
        <v>1.3314794617047324E-2</v>
      </c>
      <c r="S85" s="53">
        <f t="shared" si="41"/>
        <v>3.4118655056718798E-3</v>
      </c>
      <c r="T85" s="53">
        <f t="shared" si="42"/>
        <v>2.0761245674740483E-2</v>
      </c>
      <c r="U85" s="54">
        <f t="shared" si="43"/>
        <v>-7.2969999999999997E-3</v>
      </c>
      <c r="V85" s="55">
        <f t="shared" si="44"/>
        <v>3.7000000000000088E-3</v>
      </c>
    </row>
    <row r="86" spans="1:22">
      <c r="A86" s="172">
        <v>75</v>
      </c>
      <c r="B86" s="170" t="s">
        <v>123</v>
      </c>
      <c r="C86" s="171" t="s">
        <v>94</v>
      </c>
      <c r="D86" s="26">
        <v>2336121230.3299999</v>
      </c>
      <c r="E86" s="27">
        <f t="shared" si="45"/>
        <v>1.0107819487179212E-2</v>
      </c>
      <c r="F86" s="32">
        <v>1216.3</v>
      </c>
      <c r="G86" s="32">
        <v>1216.3</v>
      </c>
      <c r="H86" s="29">
        <v>361</v>
      </c>
      <c r="I86" s="47">
        <v>1.9199999999999998E-2</v>
      </c>
      <c r="J86" s="47">
        <v>0.20630000000000001</v>
      </c>
      <c r="K86" s="26">
        <v>2360468727.4099998</v>
      </c>
      <c r="L86" s="27">
        <f t="shared" si="39"/>
        <v>1.021181792995892E-2</v>
      </c>
      <c r="M86" s="32">
        <v>1220.6099999999999</v>
      </c>
      <c r="N86" s="32">
        <v>1220.6099999999999</v>
      </c>
      <c r="O86" s="29">
        <v>362</v>
      </c>
      <c r="P86" s="47">
        <v>1.9400000000000001E-2</v>
      </c>
      <c r="Q86" s="47">
        <v>0.2056</v>
      </c>
      <c r="R86" s="53">
        <f t="shared" si="40"/>
        <v>1.0422189038777153E-2</v>
      </c>
      <c r="S86" s="53">
        <f t="shared" si="41"/>
        <v>3.5435336676806263E-3</v>
      </c>
      <c r="T86" s="53">
        <f t="shared" si="42"/>
        <v>2.7700831024930748E-3</v>
      </c>
      <c r="U86" s="54">
        <f t="shared" si="43"/>
        <v>2.0000000000000226E-4</v>
      </c>
      <c r="V86" s="55">
        <f t="shared" si="44"/>
        <v>-7.0000000000000617E-4</v>
      </c>
    </row>
    <row r="87" spans="1:22">
      <c r="A87" s="172">
        <v>76</v>
      </c>
      <c r="B87" s="170" t="s">
        <v>124</v>
      </c>
      <c r="C87" s="171" t="s">
        <v>68</v>
      </c>
      <c r="D87" s="26">
        <v>162862420.93000001</v>
      </c>
      <c r="E87" s="27">
        <f t="shared" si="45"/>
        <v>7.0466546454564689E-4</v>
      </c>
      <c r="F87" s="32">
        <v>1112.24</v>
      </c>
      <c r="G87" s="32">
        <v>1131.29</v>
      </c>
      <c r="H87" s="29">
        <v>72</v>
      </c>
      <c r="I87" s="47">
        <v>2.5000000000000001E-3</v>
      </c>
      <c r="J87" s="47">
        <v>0.10979999999999999</v>
      </c>
      <c r="K87" s="26">
        <v>162407732.56</v>
      </c>
      <c r="L87" s="27">
        <f t="shared" si="39"/>
        <v>7.0260545122321084E-4</v>
      </c>
      <c r="M87" s="32">
        <v>1114.3900000000001</v>
      </c>
      <c r="N87" s="32">
        <v>1134.42</v>
      </c>
      <c r="O87" s="29">
        <v>72</v>
      </c>
      <c r="P87" s="47">
        <v>2.5999999999999999E-3</v>
      </c>
      <c r="Q87" s="47">
        <v>0.1124</v>
      </c>
      <c r="R87" s="53">
        <f t="shared" si="40"/>
        <v>-2.7918556497169757E-3</v>
      </c>
      <c r="S87" s="53">
        <f t="shared" si="41"/>
        <v>2.7667529987890896E-3</v>
      </c>
      <c r="T87" s="53">
        <f t="shared" si="42"/>
        <v>0</v>
      </c>
      <c r="U87" s="54">
        <f t="shared" si="43"/>
        <v>9.9999999999999829E-5</v>
      </c>
      <c r="V87" s="55">
        <f t="shared" si="44"/>
        <v>2.6000000000000051E-3</v>
      </c>
    </row>
    <row r="88" spans="1:22">
      <c r="A88" s="172">
        <v>77</v>
      </c>
      <c r="B88" s="170" t="s">
        <v>125</v>
      </c>
      <c r="C88" s="171" t="s">
        <v>71</v>
      </c>
      <c r="D88" s="26">
        <v>684681972</v>
      </c>
      <c r="E88" s="27">
        <f t="shared" si="45"/>
        <v>2.9624497604194468E-3</v>
      </c>
      <c r="F88" s="58">
        <v>1.1499999999999999</v>
      </c>
      <c r="G88" s="58">
        <v>1.1477999999999999</v>
      </c>
      <c r="H88" s="29">
        <v>52</v>
      </c>
      <c r="I88" s="47">
        <v>1.5E-3</v>
      </c>
      <c r="J88" s="47">
        <v>0.1103</v>
      </c>
      <c r="K88" s="26">
        <v>677961917.97000003</v>
      </c>
      <c r="L88" s="27">
        <f t="shared" si="39"/>
        <v>2.9329868213724742E-3</v>
      </c>
      <c r="M88" s="58">
        <v>1.1366000000000001</v>
      </c>
      <c r="N88" s="58">
        <v>1.1366000000000001</v>
      </c>
      <c r="O88" s="29">
        <v>52</v>
      </c>
      <c r="P88" s="47">
        <v>1.5E-3</v>
      </c>
      <c r="Q88" s="47">
        <v>9.11E-2</v>
      </c>
      <c r="R88" s="53">
        <f t="shared" si="40"/>
        <v>-9.8148546402795772E-3</v>
      </c>
      <c r="S88" s="53">
        <f t="shared" si="41"/>
        <v>-9.7577975257012346E-3</v>
      </c>
      <c r="T88" s="53">
        <f t="shared" si="42"/>
        <v>0</v>
      </c>
      <c r="U88" s="54">
        <f t="shared" si="43"/>
        <v>0</v>
      </c>
      <c r="V88" s="55">
        <f t="shared" si="44"/>
        <v>-1.9199999999999995E-2</v>
      </c>
    </row>
    <row r="89" spans="1:22">
      <c r="A89" s="172">
        <v>78</v>
      </c>
      <c r="B89" s="170" t="s">
        <v>126</v>
      </c>
      <c r="C89" s="171" t="s">
        <v>29</v>
      </c>
      <c r="D89" s="58">
        <v>11756667669.959999</v>
      </c>
      <c r="E89" s="27">
        <f t="shared" si="45"/>
        <v>5.0868196836653466E-2</v>
      </c>
      <c r="F89" s="58">
        <v>1731.1</v>
      </c>
      <c r="G89" s="58">
        <v>1731.1</v>
      </c>
      <c r="H89" s="29">
        <v>2067</v>
      </c>
      <c r="I89" s="47">
        <v>8.0000000000000004E-4</v>
      </c>
      <c r="J89" s="47">
        <v>2.2499999999999999E-2</v>
      </c>
      <c r="K89" s="58">
        <v>11745011688.24</v>
      </c>
      <c r="L89" s="27">
        <f t="shared" si="39"/>
        <v>5.0811061190014987E-2</v>
      </c>
      <c r="M89" s="58">
        <v>1732.61</v>
      </c>
      <c r="N89" s="58">
        <v>1732.61</v>
      </c>
      <c r="O89" s="29">
        <v>2065</v>
      </c>
      <c r="P89" s="47">
        <v>8.9999999999999998E-4</v>
      </c>
      <c r="Q89" s="47">
        <v>2.3400000000000001E-2</v>
      </c>
      <c r="R89" s="53">
        <f t="shared" si="40"/>
        <v>-9.9143584280961239E-4</v>
      </c>
      <c r="S89" s="53">
        <f t="shared" si="41"/>
        <v>8.7227774247587719E-4</v>
      </c>
      <c r="T89" s="53">
        <f t="shared" si="42"/>
        <v>-9.6758587324625057E-4</v>
      </c>
      <c r="U89" s="54">
        <f t="shared" si="43"/>
        <v>9.9999999999999937E-5</v>
      </c>
      <c r="V89" s="55">
        <f t="shared" si="44"/>
        <v>9.0000000000000149E-4</v>
      </c>
    </row>
    <row r="90" spans="1:22">
      <c r="A90" s="172">
        <v>79</v>
      </c>
      <c r="B90" s="170" t="s">
        <v>127</v>
      </c>
      <c r="C90" s="171" t="s">
        <v>76</v>
      </c>
      <c r="D90" s="26">
        <v>23157474.73</v>
      </c>
      <c r="E90" s="27">
        <f t="shared" si="45"/>
        <v>1.0019667272005796E-4</v>
      </c>
      <c r="F90" s="57">
        <v>0.70630000000000004</v>
      </c>
      <c r="G90" s="57">
        <v>0.70630000000000004</v>
      </c>
      <c r="H90" s="29">
        <v>746</v>
      </c>
      <c r="I90" s="47">
        <v>-2.3E-3</v>
      </c>
      <c r="J90" s="47">
        <v>-1.4500000000000001E-2</v>
      </c>
      <c r="K90" s="26">
        <v>23208918.27</v>
      </c>
      <c r="L90" s="27">
        <f t="shared" si="39"/>
        <v>1.0040601045563893E-4</v>
      </c>
      <c r="M90" s="57">
        <v>0.70779999999999998</v>
      </c>
      <c r="N90" s="57">
        <v>0.70779999999999998</v>
      </c>
      <c r="O90" s="29">
        <v>746</v>
      </c>
      <c r="P90" s="47">
        <v>2.0999999999999999E-3</v>
      </c>
      <c r="Q90" s="47">
        <v>-1.24E-2</v>
      </c>
      <c r="R90" s="53">
        <f t="shared" si="40"/>
        <v>2.2214658808784159E-3</v>
      </c>
      <c r="S90" s="53">
        <f t="shared" si="41"/>
        <v>2.1237434517909467E-3</v>
      </c>
      <c r="T90" s="53">
        <f t="shared" si="42"/>
        <v>0</v>
      </c>
      <c r="U90" s="54">
        <f t="shared" si="43"/>
        <v>4.3999999999999994E-3</v>
      </c>
      <c r="V90" s="55">
        <f t="shared" si="44"/>
        <v>2.1000000000000012E-3</v>
      </c>
    </row>
    <row r="91" spans="1:22">
      <c r="A91" s="172">
        <v>80</v>
      </c>
      <c r="B91" s="170" t="s">
        <v>128</v>
      </c>
      <c r="C91" s="171" t="s">
        <v>35</v>
      </c>
      <c r="D91" s="26">
        <v>10585973191.209999</v>
      </c>
      <c r="E91" s="27">
        <f t="shared" si="45"/>
        <v>4.5802891015957331E-2</v>
      </c>
      <c r="F91" s="57">
        <v>1</v>
      </c>
      <c r="G91" s="57">
        <v>1</v>
      </c>
      <c r="H91" s="29">
        <v>4374</v>
      </c>
      <c r="I91" s="47">
        <v>0.06</v>
      </c>
      <c r="J91" s="47">
        <v>0.06</v>
      </c>
      <c r="K91" s="26">
        <v>10598678314.23</v>
      </c>
      <c r="L91" s="27">
        <f t="shared" si="39"/>
        <v>4.585181408519523E-2</v>
      </c>
      <c r="M91" s="57">
        <v>1</v>
      </c>
      <c r="N91" s="57">
        <v>1</v>
      </c>
      <c r="O91" s="29">
        <v>4384</v>
      </c>
      <c r="P91" s="47">
        <v>0.06</v>
      </c>
      <c r="Q91" s="47">
        <v>0.06</v>
      </c>
      <c r="R91" s="53">
        <f t="shared" si="40"/>
        <v>1.2001846963442229E-3</v>
      </c>
      <c r="S91" s="53">
        <f t="shared" si="41"/>
        <v>0</v>
      </c>
      <c r="T91" s="53">
        <f t="shared" si="42"/>
        <v>2.2862368541380889E-3</v>
      </c>
      <c r="U91" s="54">
        <f t="shared" si="43"/>
        <v>0</v>
      </c>
      <c r="V91" s="55">
        <f t="shared" si="44"/>
        <v>0</v>
      </c>
    </row>
    <row r="92" spans="1:22">
      <c r="A92" s="172">
        <v>81</v>
      </c>
      <c r="B92" s="170" t="s">
        <v>129</v>
      </c>
      <c r="C92" s="171" t="s">
        <v>130</v>
      </c>
      <c r="D92" s="26">
        <v>1560400531.29</v>
      </c>
      <c r="E92" s="27">
        <f t="shared" si="45"/>
        <v>6.7514676435477079E-3</v>
      </c>
      <c r="F92" s="26">
        <v>260.89999999999998</v>
      </c>
      <c r="G92" s="26">
        <v>264.08</v>
      </c>
      <c r="H92" s="29">
        <v>562</v>
      </c>
      <c r="I92" s="47">
        <v>3.0000000000000001E-3</v>
      </c>
      <c r="J92" s="47">
        <v>0.18559999999999999</v>
      </c>
      <c r="K92" s="26">
        <v>1566852602.1700001</v>
      </c>
      <c r="L92" s="27">
        <f t="shared" si="39"/>
        <v>6.7784899289890987E-3</v>
      </c>
      <c r="M92" s="26">
        <v>261.8</v>
      </c>
      <c r="N92" s="26">
        <v>265.08</v>
      </c>
      <c r="O92" s="29">
        <v>562</v>
      </c>
      <c r="P92" s="47">
        <v>3.0000000000000001E-3</v>
      </c>
      <c r="Q92" s="47">
        <v>0.18559999999999999</v>
      </c>
      <c r="R92" s="53">
        <f t="shared" si="40"/>
        <v>4.1348812376179583E-3</v>
      </c>
      <c r="S92" s="53">
        <f t="shared" si="41"/>
        <v>3.7867312935474101E-3</v>
      </c>
      <c r="T92" s="53">
        <f t="shared" si="42"/>
        <v>0</v>
      </c>
      <c r="U92" s="54">
        <f t="shared" si="43"/>
        <v>0</v>
      </c>
      <c r="V92" s="55">
        <f t="shared" si="44"/>
        <v>0</v>
      </c>
    </row>
    <row r="93" spans="1:22">
      <c r="A93" s="172">
        <v>82</v>
      </c>
      <c r="B93" s="170" t="s">
        <v>131</v>
      </c>
      <c r="C93" s="171" t="s">
        <v>39</v>
      </c>
      <c r="D93" s="26">
        <v>1141494183.01</v>
      </c>
      <c r="E93" s="27">
        <f t="shared" si="45"/>
        <v>4.9389633541836071E-3</v>
      </c>
      <c r="F93" s="57">
        <v>3.88</v>
      </c>
      <c r="G93" s="57">
        <v>3.88</v>
      </c>
      <c r="H93" s="43">
        <v>771</v>
      </c>
      <c r="I93" s="50">
        <v>1.6999999999999999E-3</v>
      </c>
      <c r="J93" s="50">
        <v>0.1123</v>
      </c>
      <c r="K93" s="26">
        <v>1137058554.28</v>
      </c>
      <c r="L93" s="27">
        <f t="shared" si="39"/>
        <v>4.9191225442542508E-3</v>
      </c>
      <c r="M93" s="57">
        <v>3.88</v>
      </c>
      <c r="N93" s="57">
        <v>3.88</v>
      </c>
      <c r="O93" s="43">
        <v>768</v>
      </c>
      <c r="P93" s="50">
        <v>1.6999999999999999E-3</v>
      </c>
      <c r="Q93" s="50">
        <v>0.1118</v>
      </c>
      <c r="R93" s="53">
        <f t="shared" si="40"/>
        <v>-3.8858093155619356E-3</v>
      </c>
      <c r="S93" s="53">
        <f t="shared" si="41"/>
        <v>0</v>
      </c>
      <c r="T93" s="53">
        <f t="shared" si="42"/>
        <v>-3.8910505836575876E-3</v>
      </c>
      <c r="U93" s="54">
        <f t="shared" si="43"/>
        <v>0</v>
      </c>
      <c r="V93" s="55">
        <f t="shared" si="44"/>
        <v>-5.0000000000000044E-4</v>
      </c>
    </row>
    <row r="94" spans="1:22">
      <c r="A94" s="172">
        <v>83</v>
      </c>
      <c r="B94" s="170" t="s">
        <v>132</v>
      </c>
      <c r="C94" s="171" t="s">
        <v>41</v>
      </c>
      <c r="D94" s="26">
        <v>620612137.88</v>
      </c>
      <c r="E94" s="27">
        <f t="shared" si="45"/>
        <v>2.6852354149263431E-3</v>
      </c>
      <c r="F94" s="57">
        <v>114.19</v>
      </c>
      <c r="G94" s="57">
        <v>114.19</v>
      </c>
      <c r="H94" s="43">
        <v>107</v>
      </c>
      <c r="I94" s="50">
        <v>0.15229999999999999</v>
      </c>
      <c r="J94" s="50">
        <v>0.17549999999999999</v>
      </c>
      <c r="K94" s="26">
        <v>623200899.14999998</v>
      </c>
      <c r="L94" s="27">
        <f t="shared" si="39"/>
        <v>2.6960806733031112E-3</v>
      </c>
      <c r="M94" s="57">
        <v>114.42</v>
      </c>
      <c r="N94" s="57">
        <v>114.42</v>
      </c>
      <c r="O94" s="43">
        <v>117</v>
      </c>
      <c r="P94" s="50">
        <v>0.152</v>
      </c>
      <c r="Q94" s="50">
        <v>0.17519999999999999</v>
      </c>
      <c r="R94" s="53">
        <f t="shared" si="40"/>
        <v>4.1713029958504247E-3</v>
      </c>
      <c r="S94" s="53">
        <f t="shared" si="41"/>
        <v>2.0141868815133023E-3</v>
      </c>
      <c r="T94" s="53">
        <f t="shared" si="42"/>
        <v>9.3457943925233641E-2</v>
      </c>
      <c r="U94" s="54">
        <f t="shared" si="43"/>
        <v>-2.9999999999999472E-4</v>
      </c>
      <c r="V94" s="55">
        <f t="shared" si="44"/>
        <v>-2.9999999999999472E-4</v>
      </c>
    </row>
    <row r="95" spans="1:22">
      <c r="A95" s="172">
        <v>84</v>
      </c>
      <c r="B95" s="171" t="s">
        <v>133</v>
      </c>
      <c r="C95" s="179" t="s">
        <v>45</v>
      </c>
      <c r="D95" s="26">
        <v>969282945.63</v>
      </c>
      <c r="E95" s="27">
        <f t="shared" si="45"/>
        <v>4.193847870234634E-3</v>
      </c>
      <c r="F95" s="57">
        <v>106.8</v>
      </c>
      <c r="G95" s="57">
        <v>107.06</v>
      </c>
      <c r="H95" s="29">
        <v>289</v>
      </c>
      <c r="I95" s="47">
        <v>8.9999999999999998E-4</v>
      </c>
      <c r="J95" s="47">
        <v>0.1012</v>
      </c>
      <c r="K95" s="26">
        <v>983322165.19000006</v>
      </c>
      <c r="L95" s="27">
        <f t="shared" si="39"/>
        <v>4.2540309053071892E-3</v>
      </c>
      <c r="M95" s="57">
        <v>107.56</v>
      </c>
      <c r="N95" s="57">
        <v>107.88</v>
      </c>
      <c r="O95" s="29">
        <v>289</v>
      </c>
      <c r="P95" s="47">
        <v>6.8999999999999999E-3</v>
      </c>
      <c r="Q95" s="47">
        <v>0.11</v>
      </c>
      <c r="R95" s="53">
        <f t="shared" si="40"/>
        <v>1.4484129348706389E-2</v>
      </c>
      <c r="S95" s="53">
        <f t="shared" si="41"/>
        <v>7.6592564916868403E-3</v>
      </c>
      <c r="T95" s="53">
        <f t="shared" si="42"/>
        <v>0</v>
      </c>
      <c r="U95" s="54">
        <f t="shared" si="43"/>
        <v>6.0000000000000001E-3</v>
      </c>
      <c r="V95" s="55">
        <f t="shared" si="44"/>
        <v>8.8000000000000023E-3</v>
      </c>
    </row>
    <row r="96" spans="1:22">
      <c r="A96" s="172">
        <v>85</v>
      </c>
      <c r="B96" s="170" t="s">
        <v>134</v>
      </c>
      <c r="C96" s="171" t="s">
        <v>17</v>
      </c>
      <c r="D96" s="163">
        <v>1522908942.6099999</v>
      </c>
      <c r="E96" s="27">
        <f t="shared" si="45"/>
        <v>6.589250800626641E-3</v>
      </c>
      <c r="F96" s="57">
        <v>372.80849999999998</v>
      </c>
      <c r="G96" s="57">
        <v>372.80849999999998</v>
      </c>
      <c r="H96" s="29">
        <v>90</v>
      </c>
      <c r="I96" s="47">
        <v>2.5999999999999999E-3</v>
      </c>
      <c r="J96" s="47">
        <v>8.5300000000000001E-2</v>
      </c>
      <c r="K96" s="124">
        <v>1526816811.6500001</v>
      </c>
      <c r="L96" s="27">
        <f t="shared" si="39"/>
        <v>6.6052878023416467E-3</v>
      </c>
      <c r="M96" s="57">
        <v>373.75189999999998</v>
      </c>
      <c r="N96" s="57">
        <v>373.75189999999998</v>
      </c>
      <c r="O96" s="29">
        <v>90</v>
      </c>
      <c r="P96" s="47">
        <v>2.5000000000000001E-3</v>
      </c>
      <c r="Q96" s="47">
        <v>8.7900000000000006E-2</v>
      </c>
      <c r="R96" s="53">
        <f t="shared" si="40"/>
        <v>2.5660556128213386E-3</v>
      </c>
      <c r="S96" s="53">
        <f t="shared" si="41"/>
        <v>2.5305217021607527E-3</v>
      </c>
      <c r="T96" s="53">
        <f t="shared" si="42"/>
        <v>0</v>
      </c>
      <c r="U96" s="54">
        <f t="shared" si="43"/>
        <v>-9.9999999999999829E-5</v>
      </c>
      <c r="V96" s="55">
        <f t="shared" si="44"/>
        <v>2.6000000000000051E-3</v>
      </c>
    </row>
    <row r="97" spans="1:22">
      <c r="A97" s="172">
        <v>86</v>
      </c>
      <c r="B97" s="170" t="s">
        <v>135</v>
      </c>
      <c r="C97" s="171" t="s">
        <v>85</v>
      </c>
      <c r="D97" s="41">
        <v>1760860017</v>
      </c>
      <c r="E97" s="27">
        <f>(D97/$K$70)</f>
        <v>4.7603854353526429E-4</v>
      </c>
      <c r="F97" s="57">
        <v>102.01</v>
      </c>
      <c r="G97" s="57">
        <v>102.01</v>
      </c>
      <c r="H97" s="29">
        <v>399</v>
      </c>
      <c r="I97" s="47">
        <v>3.5999999999999999E-3</v>
      </c>
      <c r="J97" s="47">
        <v>0.12559999999999999</v>
      </c>
      <c r="K97" s="41">
        <v>1765323194</v>
      </c>
      <c r="L97" s="27">
        <f>(K97/$K$70)</f>
        <v>4.7724513818680271E-4</v>
      </c>
      <c r="M97" s="57">
        <v>102.27</v>
      </c>
      <c r="N97" s="57">
        <v>102.27</v>
      </c>
      <c r="O97" s="29">
        <v>399</v>
      </c>
      <c r="P97" s="47">
        <v>2.5999999999999999E-3</v>
      </c>
      <c r="Q97" s="47">
        <v>0.126</v>
      </c>
      <c r="R97" s="53">
        <f t="shared" si="40"/>
        <v>2.5346574724343916E-3</v>
      </c>
      <c r="S97" s="53">
        <f t="shared" si="41"/>
        <v>2.5487697284579049E-3</v>
      </c>
      <c r="T97" s="53">
        <f t="shared" si="42"/>
        <v>0</v>
      </c>
      <c r="U97" s="54">
        <f t="shared" si="43"/>
        <v>-1E-3</v>
      </c>
      <c r="V97" s="55">
        <f t="shared" si="44"/>
        <v>4.0000000000001146E-4</v>
      </c>
    </row>
    <row r="98" spans="1:22">
      <c r="A98" s="172">
        <v>87</v>
      </c>
      <c r="B98" s="170" t="s">
        <v>136</v>
      </c>
      <c r="C98" s="171" t="s">
        <v>43</v>
      </c>
      <c r="D98" s="26">
        <v>65680009.049999997</v>
      </c>
      <c r="E98" s="27">
        <f t="shared" ref="E98:E111" si="54">(D98/$D$112)</f>
        <v>2.8418117466443178E-4</v>
      </c>
      <c r="F98" s="26">
        <v>12.78</v>
      </c>
      <c r="G98" s="26">
        <v>13.26</v>
      </c>
      <c r="H98" s="29">
        <v>59</v>
      </c>
      <c r="I98" s="47">
        <v>-6.9999999999999999E-4</v>
      </c>
      <c r="J98" s="47">
        <v>4.4299999999999999E-2</v>
      </c>
      <c r="K98" s="26">
        <v>65680009.049999997</v>
      </c>
      <c r="L98" s="27">
        <f t="shared" ref="L98:L111" si="55">(K98/$K$112)</f>
        <v>2.8414368988170682E-4</v>
      </c>
      <c r="M98" s="26">
        <v>12.79</v>
      </c>
      <c r="N98" s="26">
        <v>13.27</v>
      </c>
      <c r="O98" s="29">
        <v>59</v>
      </c>
      <c r="P98" s="47">
        <v>8.3000000000000001E-3</v>
      </c>
      <c r="Q98" s="47">
        <v>7.2599999999999998E-2</v>
      </c>
      <c r="R98" s="53">
        <f t="shared" si="40"/>
        <v>0</v>
      </c>
      <c r="S98" s="53">
        <f t="shared" si="41"/>
        <v>7.5414781297132637E-4</v>
      </c>
      <c r="T98" s="53">
        <f t="shared" si="42"/>
        <v>0</v>
      </c>
      <c r="U98" s="54">
        <f t="shared" si="43"/>
        <v>8.9999999999999993E-3</v>
      </c>
      <c r="V98" s="55">
        <f t="shared" si="44"/>
        <v>2.8299999999999999E-2</v>
      </c>
    </row>
    <row r="99" spans="1:22">
      <c r="A99" s="172">
        <v>88</v>
      </c>
      <c r="B99" s="170" t="s">
        <v>137</v>
      </c>
      <c r="C99" s="171" t="s">
        <v>138</v>
      </c>
      <c r="D99" s="26">
        <v>705270925.32000005</v>
      </c>
      <c r="E99" s="27">
        <f t="shared" si="54"/>
        <v>3.0515330754831613E-3</v>
      </c>
      <c r="F99" s="26">
        <v>146.43</v>
      </c>
      <c r="G99" s="26">
        <v>146.43</v>
      </c>
      <c r="H99" s="29">
        <v>150</v>
      </c>
      <c r="I99" s="47">
        <v>0.18529999999999999</v>
      </c>
      <c r="J99" s="47">
        <v>0.1852</v>
      </c>
      <c r="K99" s="26">
        <v>718017808.13</v>
      </c>
      <c r="L99" s="27">
        <f t="shared" si="55"/>
        <v>3.1062759027258931E-3</v>
      </c>
      <c r="M99" s="26">
        <v>146.91</v>
      </c>
      <c r="N99" s="26">
        <v>146.91</v>
      </c>
      <c r="O99" s="29">
        <v>149</v>
      </c>
      <c r="P99" s="47">
        <v>0.18287400000000001</v>
      </c>
      <c r="Q99" s="47">
        <v>0.1946</v>
      </c>
      <c r="R99" s="53">
        <f t="shared" si="40"/>
        <v>1.8073739257316392E-2</v>
      </c>
      <c r="S99" s="53">
        <f t="shared" si="41"/>
        <v>3.2780167998360289E-3</v>
      </c>
      <c r="T99" s="53">
        <f t="shared" si="42"/>
        <v>-6.6666666666666671E-3</v>
      </c>
      <c r="U99" s="54">
        <f t="shared" si="43"/>
        <v>-2.4259999999999837E-3</v>
      </c>
      <c r="V99" s="55">
        <f t="shared" si="44"/>
        <v>9.3999999999999917E-3</v>
      </c>
    </row>
    <row r="100" spans="1:22">
      <c r="A100" s="172">
        <v>89</v>
      </c>
      <c r="B100" s="170" t="s">
        <v>139</v>
      </c>
      <c r="C100" s="171" t="s">
        <v>140</v>
      </c>
      <c r="D100" s="26">
        <v>9684426981.9099998</v>
      </c>
      <c r="E100" s="27">
        <f t="shared" si="54"/>
        <v>4.1902123271268056E-2</v>
      </c>
      <c r="F100" s="26">
        <v>1.1000000000000001</v>
      </c>
      <c r="G100" s="26">
        <v>1.1000000000000001</v>
      </c>
      <c r="H100" s="29">
        <v>4900</v>
      </c>
      <c r="I100" s="47">
        <v>0.19020000000000001</v>
      </c>
      <c r="J100" s="47">
        <v>0.19020000000000001</v>
      </c>
      <c r="K100" s="26">
        <v>9815386392.1900005</v>
      </c>
      <c r="L100" s="27">
        <f t="shared" si="55"/>
        <v>4.2463150468941058E-2</v>
      </c>
      <c r="M100" s="26">
        <v>1.1000000000000001</v>
      </c>
      <c r="N100" s="26">
        <v>1.1000000000000001</v>
      </c>
      <c r="O100" s="29">
        <v>4917</v>
      </c>
      <c r="P100" s="47">
        <v>0.1903</v>
      </c>
      <c r="Q100" s="47">
        <v>0.1903</v>
      </c>
      <c r="R100" s="53">
        <f t="shared" si="40"/>
        <v>1.3522680332520033E-2</v>
      </c>
      <c r="S100" s="53">
        <f t="shared" si="41"/>
        <v>0</v>
      </c>
      <c r="T100" s="53">
        <f t="shared" si="42"/>
        <v>3.4693877551020408E-3</v>
      </c>
      <c r="U100" s="54">
        <f t="shared" si="43"/>
        <v>9.9999999999988987E-5</v>
      </c>
      <c r="V100" s="55">
        <f t="shared" si="44"/>
        <v>9.9999999999988987E-5</v>
      </c>
    </row>
    <row r="101" spans="1:22" ht="14.25" customHeight="1">
      <c r="A101" s="172">
        <v>90</v>
      </c>
      <c r="B101" s="170" t="s">
        <v>141</v>
      </c>
      <c r="C101" s="171" t="s">
        <v>47</v>
      </c>
      <c r="D101" s="26">
        <v>7530743779.3599997</v>
      </c>
      <c r="E101" s="27">
        <f t="shared" si="54"/>
        <v>3.258366806384274E-2</v>
      </c>
      <c r="F101" s="26">
        <v>5176.01</v>
      </c>
      <c r="G101" s="26">
        <v>5176.01</v>
      </c>
      <c r="H101" s="29">
        <v>235</v>
      </c>
      <c r="I101" s="47">
        <v>0</v>
      </c>
      <c r="J101" s="47">
        <v>1.6999999999999999E-3</v>
      </c>
      <c r="K101" s="26">
        <v>7530740379.25</v>
      </c>
      <c r="L101" s="27">
        <f t="shared" si="55"/>
        <v>3.2579355421103726E-2</v>
      </c>
      <c r="M101" s="26">
        <v>5176.01</v>
      </c>
      <c r="N101" s="26">
        <v>5176.01</v>
      </c>
      <c r="O101" s="29">
        <v>235</v>
      </c>
      <c r="P101" s="47">
        <v>0</v>
      </c>
      <c r="Q101" s="47">
        <v>1.6999999999999999E-3</v>
      </c>
      <c r="R101" s="53">
        <f t="shared" si="40"/>
        <v>-4.5149723576781092E-7</v>
      </c>
      <c r="S101" s="53">
        <f t="shared" si="41"/>
        <v>0</v>
      </c>
      <c r="T101" s="53">
        <f t="shared" si="42"/>
        <v>0</v>
      </c>
      <c r="U101" s="54">
        <f t="shared" si="43"/>
        <v>0</v>
      </c>
      <c r="V101" s="55">
        <f t="shared" si="44"/>
        <v>0</v>
      </c>
    </row>
    <row r="102" spans="1:22" ht="13.5" customHeight="1">
      <c r="A102" s="172">
        <v>91</v>
      </c>
      <c r="B102" s="170" t="s">
        <v>142</v>
      </c>
      <c r="C102" s="171" t="s">
        <v>47</v>
      </c>
      <c r="D102" s="26">
        <v>16793252403.34</v>
      </c>
      <c r="E102" s="27">
        <f t="shared" si="54"/>
        <v>7.2660254824027826E-2</v>
      </c>
      <c r="F102" s="57">
        <v>259.14999999999998</v>
      </c>
      <c r="G102" s="57">
        <v>259.14999999999998</v>
      </c>
      <c r="H102" s="29">
        <v>6139</v>
      </c>
      <c r="I102" s="47">
        <v>0</v>
      </c>
      <c r="J102" s="47">
        <v>1.1999999999999999E-3</v>
      </c>
      <c r="K102" s="26">
        <v>16766316593.82</v>
      </c>
      <c r="L102" s="27">
        <f t="shared" si="55"/>
        <v>7.2534141386402642E-2</v>
      </c>
      <c r="M102" s="57">
        <v>259.16000000000003</v>
      </c>
      <c r="N102" s="57">
        <v>259.16000000000003</v>
      </c>
      <c r="O102" s="29">
        <v>6138</v>
      </c>
      <c r="P102" s="47">
        <v>0</v>
      </c>
      <c r="Q102" s="47">
        <v>1.1999999999999999E-3</v>
      </c>
      <c r="R102" s="53">
        <f t="shared" si="40"/>
        <v>-1.6039662164931917E-3</v>
      </c>
      <c r="S102" s="53">
        <f t="shared" si="41"/>
        <v>3.8587690526906233E-5</v>
      </c>
      <c r="T102" s="53">
        <f t="shared" si="42"/>
        <v>-1.6289297931259162E-4</v>
      </c>
      <c r="U102" s="54">
        <f t="shared" si="43"/>
        <v>0</v>
      </c>
      <c r="V102" s="55">
        <f t="shared" si="44"/>
        <v>0</v>
      </c>
    </row>
    <row r="103" spans="1:22" ht="13.5" customHeight="1">
      <c r="A103" s="172">
        <v>92</v>
      </c>
      <c r="B103" s="170" t="s">
        <v>143</v>
      </c>
      <c r="C103" s="171" t="s">
        <v>47</v>
      </c>
      <c r="D103" s="26">
        <v>539426218</v>
      </c>
      <c r="E103" s="27">
        <f t="shared" si="54"/>
        <v>2.3339639944223159E-3</v>
      </c>
      <c r="F103" s="32">
        <v>8909.9</v>
      </c>
      <c r="G103" s="32">
        <v>8947.42</v>
      </c>
      <c r="H103" s="29">
        <v>15</v>
      </c>
      <c r="I103" s="47">
        <v>-7.7999999999999996E-3</v>
      </c>
      <c r="J103" s="47">
        <v>0.31130000000000002</v>
      </c>
      <c r="K103" s="26">
        <v>540792096.62</v>
      </c>
      <c r="L103" s="27">
        <f t="shared" si="55"/>
        <v>2.3395651738642889E-3</v>
      </c>
      <c r="M103" s="32">
        <v>8932.48</v>
      </c>
      <c r="N103" s="32">
        <v>8970.07</v>
      </c>
      <c r="O103" s="29">
        <v>15</v>
      </c>
      <c r="P103" s="47">
        <v>2.5000000000000001E-3</v>
      </c>
      <c r="Q103" s="47">
        <v>0.31459999999999999</v>
      </c>
      <c r="R103" s="53">
        <f t="shared" si="40"/>
        <v>2.5320953532147463E-3</v>
      </c>
      <c r="S103" s="53">
        <f t="shared" si="41"/>
        <v>2.5314559951359872E-3</v>
      </c>
      <c r="T103" s="53">
        <f t="shared" si="42"/>
        <v>0</v>
      </c>
      <c r="U103" s="54">
        <f t="shared" si="43"/>
        <v>1.03E-2</v>
      </c>
      <c r="V103" s="55">
        <f t="shared" si="44"/>
        <v>3.2999999999999696E-3</v>
      </c>
    </row>
    <row r="104" spans="1:22" ht="15" customHeight="1">
      <c r="A104" s="172">
        <v>93</v>
      </c>
      <c r="B104" s="170" t="s">
        <v>144</v>
      </c>
      <c r="C104" s="171" t="s">
        <v>47</v>
      </c>
      <c r="D104" s="26">
        <v>6334228256.1499996</v>
      </c>
      <c r="E104" s="27">
        <f t="shared" si="54"/>
        <v>2.7406640962168719E-2</v>
      </c>
      <c r="F104" s="57">
        <v>152.43</v>
      </c>
      <c r="G104" s="57">
        <v>152.43</v>
      </c>
      <c r="H104" s="29">
        <v>4797</v>
      </c>
      <c r="I104" s="47">
        <v>3.0000000000000001E-3</v>
      </c>
      <c r="J104" s="47">
        <v>0.1055</v>
      </c>
      <c r="K104" s="26">
        <v>6355555237.4799995</v>
      </c>
      <c r="L104" s="27">
        <f t="shared" si="55"/>
        <v>2.7495290310478034E-2</v>
      </c>
      <c r="M104" s="57">
        <v>152.88999999999999</v>
      </c>
      <c r="N104" s="57">
        <v>152.88999999999999</v>
      </c>
      <c r="O104" s="29">
        <v>4830</v>
      </c>
      <c r="P104" s="47">
        <v>3.0000000000000001E-3</v>
      </c>
      <c r="Q104" s="47">
        <v>0.1089</v>
      </c>
      <c r="R104" s="53">
        <f t="shared" si="40"/>
        <v>3.3669423436538193E-3</v>
      </c>
      <c r="S104" s="53">
        <f t="shared" si="41"/>
        <v>3.0177786524960932E-3</v>
      </c>
      <c r="T104" s="53">
        <f t="shared" si="42"/>
        <v>6.8792995622263915E-3</v>
      </c>
      <c r="U104" s="54">
        <f t="shared" si="43"/>
        <v>0</v>
      </c>
      <c r="V104" s="55">
        <f t="shared" si="44"/>
        <v>3.4000000000000002E-3</v>
      </c>
    </row>
    <row r="105" spans="1:22" ht="15" customHeight="1">
      <c r="A105" s="172">
        <v>94</v>
      </c>
      <c r="B105" s="170" t="s">
        <v>145</v>
      </c>
      <c r="C105" s="171" t="s">
        <v>47</v>
      </c>
      <c r="D105" s="26">
        <v>7234366059.3699999</v>
      </c>
      <c r="E105" s="27">
        <f t="shared" si="54"/>
        <v>3.1301314881659006E-2</v>
      </c>
      <c r="F105" s="57">
        <v>385.37</v>
      </c>
      <c r="G105" s="57">
        <v>386.02</v>
      </c>
      <c r="H105" s="29">
        <v>10441</v>
      </c>
      <c r="I105" s="47">
        <v>-5.9999999999999995E-4</v>
      </c>
      <c r="J105" s="47">
        <v>8.9700000000000002E-2</v>
      </c>
      <c r="K105" s="26">
        <v>7056522015.6400003</v>
      </c>
      <c r="L105" s="27">
        <f t="shared" si="55"/>
        <v>3.0527800349860777E-2</v>
      </c>
      <c r="M105" s="57">
        <v>384.36</v>
      </c>
      <c r="N105" s="57">
        <v>385.01</v>
      </c>
      <c r="O105" s="29">
        <v>10450</v>
      </c>
      <c r="P105" s="47">
        <v>-2.5999999999999999E-3</v>
      </c>
      <c r="Q105" s="47">
        <v>8.6800000000000002E-2</v>
      </c>
      <c r="R105" s="53">
        <f t="shared" si="40"/>
        <v>-2.4583224330990926E-2</v>
      </c>
      <c r="S105" s="53">
        <f t="shared" si="41"/>
        <v>-2.6164447437956348E-3</v>
      </c>
      <c r="T105" s="53">
        <f t="shared" si="42"/>
        <v>8.6198639977013694E-4</v>
      </c>
      <c r="U105" s="54">
        <f t="shared" si="43"/>
        <v>-2E-3</v>
      </c>
      <c r="V105" s="55">
        <f t="shared" si="44"/>
        <v>-2.8999999999999998E-3</v>
      </c>
    </row>
    <row r="106" spans="1:22" ht="15" customHeight="1">
      <c r="A106" s="172">
        <v>95</v>
      </c>
      <c r="B106" s="170" t="s">
        <v>314</v>
      </c>
      <c r="C106" s="171" t="s">
        <v>99</v>
      </c>
      <c r="D106" s="26">
        <v>86160225.060000002</v>
      </c>
      <c r="E106" s="27">
        <f t="shared" si="54"/>
        <v>3.7279401024842908E-4</v>
      </c>
      <c r="F106" s="57">
        <v>103.14</v>
      </c>
      <c r="G106" s="57">
        <v>103.14</v>
      </c>
      <c r="H106" s="29">
        <v>23</v>
      </c>
      <c r="I106" s="47">
        <v>0.1764</v>
      </c>
      <c r="J106" s="47">
        <v>0.1736</v>
      </c>
      <c r="K106" s="26">
        <v>86443380.409999996</v>
      </c>
      <c r="L106" s="27">
        <f t="shared" si="55"/>
        <v>3.7396981868329155E-4</v>
      </c>
      <c r="M106" s="57">
        <v>103.479</v>
      </c>
      <c r="N106" s="57">
        <v>103.479</v>
      </c>
      <c r="O106" s="29">
        <v>23</v>
      </c>
      <c r="P106" s="47">
        <v>0.17680000000000001</v>
      </c>
      <c r="Q106" s="47">
        <v>0.17460000000000001</v>
      </c>
      <c r="R106" s="53">
        <f t="shared" ref="R106" si="56">((K106-D106)/D106)</f>
        <v>3.2863812716692783E-3</v>
      </c>
      <c r="S106" s="53">
        <f t="shared" ref="S106" si="57">((N106-G106)/G106)</f>
        <v>3.2867946480511791E-3</v>
      </c>
      <c r="T106" s="53">
        <f t="shared" ref="T106" si="58">((O106-H106)/H106)</f>
        <v>0</v>
      </c>
      <c r="U106" s="54">
        <f t="shared" ref="U106" si="59">P106-I106</f>
        <v>4.0000000000001146E-4</v>
      </c>
      <c r="V106" s="55">
        <f t="shared" ref="V106" si="60">Q106-J106</f>
        <v>1.0000000000000009E-3</v>
      </c>
    </row>
    <row r="107" spans="1:22">
      <c r="A107" s="172">
        <v>96</v>
      </c>
      <c r="B107" s="170" t="s">
        <v>146</v>
      </c>
      <c r="C107" s="171" t="s">
        <v>50</v>
      </c>
      <c r="D107" s="26">
        <v>86345915835.75</v>
      </c>
      <c r="E107" s="27">
        <f t="shared" si="54"/>
        <v>0.37359744836514447</v>
      </c>
      <c r="F107" s="26">
        <v>1.9197</v>
      </c>
      <c r="G107" s="26">
        <v>1.9197</v>
      </c>
      <c r="H107" s="29">
        <v>6607</v>
      </c>
      <c r="I107" s="47">
        <v>1.5E-3</v>
      </c>
      <c r="J107" s="47">
        <v>8.7400000000000005E-2</v>
      </c>
      <c r="K107" s="26">
        <v>86424503234.020004</v>
      </c>
      <c r="L107" s="27">
        <f t="shared" si="55"/>
        <v>0.37388815257947877</v>
      </c>
      <c r="M107" s="26">
        <v>1.9229000000000001</v>
      </c>
      <c r="N107" s="26">
        <v>1.9229000000000001</v>
      </c>
      <c r="O107" s="29">
        <v>6630</v>
      </c>
      <c r="P107" s="47">
        <v>1.6000000000000001E-3</v>
      </c>
      <c r="Q107" s="47">
        <v>8.7300000000000003E-2</v>
      </c>
      <c r="R107" s="53">
        <f t="shared" si="40"/>
        <v>9.1014609677075831E-4</v>
      </c>
      <c r="S107" s="53">
        <f t="shared" si="41"/>
        <v>1.666927124029844E-3</v>
      </c>
      <c r="T107" s="53">
        <f t="shared" si="42"/>
        <v>3.4811563493264718E-3</v>
      </c>
      <c r="U107" s="54">
        <f t="shared" si="43"/>
        <v>1.0000000000000005E-4</v>
      </c>
      <c r="V107" s="55">
        <f t="shared" si="44"/>
        <v>-1.0000000000000286E-4</v>
      </c>
    </row>
    <row r="108" spans="1:22">
      <c r="A108" s="172">
        <v>97</v>
      </c>
      <c r="B108" s="170" t="s">
        <v>147</v>
      </c>
      <c r="C108" s="171" t="s">
        <v>50</v>
      </c>
      <c r="D108" s="26">
        <v>51155261750.510002</v>
      </c>
      <c r="E108" s="27">
        <f t="shared" si="54"/>
        <v>0.22133618105106534</v>
      </c>
      <c r="F108" s="26">
        <v>121.1474</v>
      </c>
      <c r="G108" s="26">
        <v>121.1474</v>
      </c>
      <c r="H108" s="29">
        <v>854</v>
      </c>
      <c r="I108" s="47">
        <v>3.5999999999999999E-3</v>
      </c>
      <c r="J108" s="47">
        <v>0.21</v>
      </c>
      <c r="K108" s="26">
        <v>51086585164.010002</v>
      </c>
      <c r="L108" s="27">
        <f t="shared" si="55"/>
        <v>0.22100987837726041</v>
      </c>
      <c r="M108" s="26">
        <v>121.56489999999999</v>
      </c>
      <c r="N108" s="26">
        <v>121.56489999999999</v>
      </c>
      <c r="O108" s="29">
        <v>870</v>
      </c>
      <c r="P108" s="47">
        <v>3.3999999999999998E-3</v>
      </c>
      <c r="Q108" s="47">
        <v>0.20960000000000001</v>
      </c>
      <c r="R108" s="53">
        <f t="shared" ref="R108:R110" si="61">((K108-D108)/D108)</f>
        <v>-1.342512659498127E-3</v>
      </c>
      <c r="S108" s="53">
        <f t="shared" ref="S108:S110" si="62">((N108-G108)/G108)</f>
        <v>3.4462151065560612E-3</v>
      </c>
      <c r="T108" s="53">
        <f t="shared" ref="T108:T110" si="63">((O108-H108)/H108)</f>
        <v>1.873536299765808E-2</v>
      </c>
      <c r="U108" s="54">
        <f t="shared" ref="U108:U110" si="64">P108-I108</f>
        <v>-2.0000000000000009E-4</v>
      </c>
      <c r="V108" s="55">
        <f t="shared" ref="V108:V110" si="65">Q108-J108</f>
        <v>-3.999999999999837E-4</v>
      </c>
    </row>
    <row r="109" spans="1:22">
      <c r="A109" s="172">
        <v>98</v>
      </c>
      <c r="B109" s="170" t="s">
        <v>148</v>
      </c>
      <c r="C109" s="170" t="s">
        <v>149</v>
      </c>
      <c r="D109" s="26">
        <v>109698314.36</v>
      </c>
      <c r="E109" s="27">
        <f t="shared" si="54"/>
        <v>4.7463750819219636E-4</v>
      </c>
      <c r="F109" s="26">
        <v>118.54</v>
      </c>
      <c r="G109" s="26">
        <v>118.54</v>
      </c>
      <c r="H109" s="59">
        <v>84</v>
      </c>
      <c r="I109" s="60">
        <v>2.3999999999999998E-3</v>
      </c>
      <c r="J109" s="60">
        <v>7.3700000000000002E-2</v>
      </c>
      <c r="K109" s="26">
        <v>109544389.51000001</v>
      </c>
      <c r="L109" s="61">
        <f t="shared" si="55"/>
        <v>4.7390899440216108E-4</v>
      </c>
      <c r="M109" s="26">
        <v>118.8</v>
      </c>
      <c r="N109" s="26">
        <v>118.8</v>
      </c>
      <c r="O109" s="59">
        <v>85</v>
      </c>
      <c r="P109" s="60">
        <v>2.2000000000000001E-3</v>
      </c>
      <c r="Q109" s="60">
        <v>7.6100000000000001E-2</v>
      </c>
      <c r="R109" s="53">
        <f t="shared" si="61"/>
        <v>-1.4031651342868824E-3</v>
      </c>
      <c r="S109" s="53">
        <f t="shared" si="62"/>
        <v>2.1933524548674783E-3</v>
      </c>
      <c r="T109" s="53">
        <f t="shared" si="63"/>
        <v>1.1904761904761904E-2</v>
      </c>
      <c r="U109" s="54">
        <f t="shared" si="64"/>
        <v>-1.9999999999999966E-4</v>
      </c>
      <c r="V109" s="55">
        <f t="shared" si="65"/>
        <v>2.3999999999999994E-3</v>
      </c>
    </row>
    <row r="110" spans="1:22">
      <c r="A110" s="172">
        <v>99</v>
      </c>
      <c r="B110" s="170" t="s">
        <v>150</v>
      </c>
      <c r="C110" s="171" t="s">
        <v>105</v>
      </c>
      <c r="D110" s="26">
        <v>316358892.74000001</v>
      </c>
      <c r="E110" s="27">
        <f t="shared" si="54"/>
        <v>1.3688067808570465E-3</v>
      </c>
      <c r="F110" s="26">
        <v>1.3</v>
      </c>
      <c r="G110" s="26">
        <v>1.3</v>
      </c>
      <c r="H110" s="29">
        <v>548</v>
      </c>
      <c r="I110" s="47">
        <v>-2.5999999999999999E-3</v>
      </c>
      <c r="J110" s="47">
        <v>0.20799999999999999</v>
      </c>
      <c r="K110" s="26">
        <v>318979029.87</v>
      </c>
      <c r="L110" s="27">
        <f t="shared" si="55"/>
        <v>1.379961419815745E-3</v>
      </c>
      <c r="M110" s="26">
        <v>1.31</v>
      </c>
      <c r="N110" s="26">
        <v>1.31</v>
      </c>
      <c r="O110" s="29">
        <v>554</v>
      </c>
      <c r="P110" s="47">
        <v>1.4E-2</v>
      </c>
      <c r="Q110" s="47">
        <v>0.21759999999999999</v>
      </c>
      <c r="R110" s="53">
        <f t="shared" si="61"/>
        <v>8.2821668368695377E-3</v>
      </c>
      <c r="S110" s="53">
        <f t="shared" si="62"/>
        <v>7.6923076923076988E-3</v>
      </c>
      <c r="T110" s="53">
        <f t="shared" si="63"/>
        <v>1.0948905109489052E-2</v>
      </c>
      <c r="U110" s="54">
        <f t="shared" si="64"/>
        <v>1.66E-2</v>
      </c>
      <c r="V110" s="55">
        <f t="shared" si="65"/>
        <v>9.5999999999999974E-3</v>
      </c>
    </row>
    <row r="111" spans="1:22">
      <c r="A111" s="172">
        <v>100</v>
      </c>
      <c r="B111" s="170" t="s">
        <v>151</v>
      </c>
      <c r="C111" s="171" t="s">
        <v>107</v>
      </c>
      <c r="D111" s="26">
        <v>1941867697.99</v>
      </c>
      <c r="E111" s="27">
        <f t="shared" si="54"/>
        <v>8.4019818425666651E-3</v>
      </c>
      <c r="F111" s="57">
        <v>29.308399999999999</v>
      </c>
      <c r="G111" s="57">
        <v>29.308399999999999</v>
      </c>
      <c r="H111" s="29">
        <v>1291</v>
      </c>
      <c r="I111" s="47">
        <v>0</v>
      </c>
      <c r="J111" s="47">
        <v>0.1244</v>
      </c>
      <c r="K111" s="26">
        <v>1939349023.51</v>
      </c>
      <c r="L111" s="27">
        <f t="shared" si="55"/>
        <v>8.3899773382966111E-3</v>
      </c>
      <c r="M111" s="57">
        <v>29.366900000000001</v>
      </c>
      <c r="N111" s="57">
        <v>29.366900000000001</v>
      </c>
      <c r="O111" s="29">
        <v>1292</v>
      </c>
      <c r="P111" s="47">
        <v>0</v>
      </c>
      <c r="Q111" s="47">
        <v>0.1245</v>
      </c>
      <c r="R111" s="53">
        <f t="shared" si="40"/>
        <v>-1.2970371166928949E-3</v>
      </c>
      <c r="S111" s="53">
        <f t="shared" si="41"/>
        <v>1.9960147943934919E-3</v>
      </c>
      <c r="T111" s="53">
        <f t="shared" si="42"/>
        <v>7.7459333849728897E-4</v>
      </c>
      <c r="U111" s="54">
        <f t="shared" si="43"/>
        <v>0</v>
      </c>
      <c r="V111" s="55">
        <f t="shared" si="44"/>
        <v>1.0000000000000286E-4</v>
      </c>
    </row>
    <row r="112" spans="1:22">
      <c r="A112" s="33"/>
      <c r="B112" s="34"/>
      <c r="C112" s="35" t="s">
        <v>51</v>
      </c>
      <c r="D112" s="45">
        <f>SUM(D73:D111)</f>
        <v>231120196922.10995</v>
      </c>
      <c r="E112" s="37">
        <f>(D112/$D$226)</f>
        <v>3.58273221273036E-2</v>
      </c>
      <c r="F112" s="38"/>
      <c r="G112" s="42"/>
      <c r="H112" s="40">
        <f>SUM(H73:H111)</f>
        <v>52850</v>
      </c>
      <c r="I112" s="50"/>
      <c r="J112" s="50"/>
      <c r="K112" s="45">
        <f>SUM(K73:K111)</f>
        <v>231150686743.54004</v>
      </c>
      <c r="L112" s="37">
        <f>(K112/$K$226)</f>
        <v>3.5540670146210526E-2</v>
      </c>
      <c r="M112" s="38"/>
      <c r="N112" s="42"/>
      <c r="O112" s="40">
        <f>SUM(O73:O111)</f>
        <v>53052</v>
      </c>
      <c r="P112" s="50"/>
      <c r="Q112" s="50"/>
      <c r="R112" s="53">
        <f t="shared" si="40"/>
        <v>1.3192192563058275E-4</v>
      </c>
      <c r="S112" s="53" t="e">
        <f t="shared" si="41"/>
        <v>#DIV/0!</v>
      </c>
      <c r="T112" s="53">
        <f t="shared" si="42"/>
        <v>3.8221381267738884E-3</v>
      </c>
      <c r="U112" s="54">
        <f t="shared" si="43"/>
        <v>0</v>
      </c>
      <c r="V112" s="55">
        <f t="shared" si="44"/>
        <v>0</v>
      </c>
    </row>
    <row r="113" spans="1:28" ht="3.75" customHeight="1">
      <c r="A113" s="33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</row>
    <row r="114" spans="1:28" ht="15" customHeight="1">
      <c r="A114" s="186" t="s">
        <v>152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</row>
    <row r="115" spans="1:28">
      <c r="A115" s="185" t="s">
        <v>153</v>
      </c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Z115" s="62"/>
      <c r="AB115" s="65"/>
    </row>
    <row r="116" spans="1:28" ht="16.5" customHeight="1">
      <c r="A116" s="172">
        <v>101</v>
      </c>
      <c r="B116" s="170" t="s">
        <v>154</v>
      </c>
      <c r="C116" s="171" t="s">
        <v>17</v>
      </c>
      <c r="D116" s="26">
        <v>2953870957.1949048</v>
      </c>
      <c r="E116" s="27">
        <f t="shared" ref="E116:E121" si="66">(D116/$D$154)</f>
        <v>1.4899048272077472E-3</v>
      </c>
      <c r="F116" s="26">
        <v>172452.17091905</v>
      </c>
      <c r="G116" s="26">
        <v>172452.17091905</v>
      </c>
      <c r="H116" s="29">
        <v>190</v>
      </c>
      <c r="I116" s="47">
        <v>1.1000000000000001E-3</v>
      </c>
      <c r="J116" s="47">
        <v>3.9899999999999998E-2</v>
      </c>
      <c r="K116" s="26">
        <f>1936616.44*W135</f>
        <v>2972779633.1630759</v>
      </c>
      <c r="L116" s="27">
        <f t="shared" ref="L116:L132" si="67">(K116/$K$154)</f>
        <v>1.4924169792406674E-3</v>
      </c>
      <c r="M116" s="26">
        <f>112.6575*W135</f>
        <v>172933.53221924999</v>
      </c>
      <c r="N116" s="26">
        <f>112.6575*W135</f>
        <v>172933.53221924999</v>
      </c>
      <c r="O116" s="29">
        <v>190</v>
      </c>
      <c r="P116" s="47">
        <v>1.1000000000000001E-3</v>
      </c>
      <c r="Q116" s="47">
        <v>4.1000000000000002E-2</v>
      </c>
      <c r="R116" s="54">
        <f>((K116-D116)/D116)</f>
        <v>6.4013209250438734E-3</v>
      </c>
      <c r="S116" s="54">
        <f>((N116-G116)/G116)</f>
        <v>2.7912742277158386E-3</v>
      </c>
      <c r="T116" s="54">
        <f>((O116-H116)/H116)</f>
        <v>0</v>
      </c>
      <c r="U116" s="54">
        <f>P116-I116</f>
        <v>0</v>
      </c>
      <c r="V116" s="55">
        <f>Q116-J116</f>
        <v>1.1000000000000038E-3</v>
      </c>
      <c r="X116" s="62"/>
      <c r="Y116" s="66"/>
      <c r="Z116" s="62"/>
      <c r="AA116" s="67"/>
    </row>
    <row r="117" spans="1:28" ht="16.5" customHeight="1">
      <c r="A117" s="172">
        <v>102</v>
      </c>
      <c r="B117" s="170" t="s">
        <v>155</v>
      </c>
      <c r="C117" s="171" t="s">
        <v>55</v>
      </c>
      <c r="D117" s="26">
        <v>5689524676.7361746</v>
      </c>
      <c r="E117" s="27">
        <f t="shared" si="66"/>
        <v>2.8697429248692456E-3</v>
      </c>
      <c r="F117" s="26">
        <v>153251.45000000001</v>
      </c>
      <c r="G117" s="26">
        <v>153251.45000000001</v>
      </c>
      <c r="H117" s="29">
        <v>80</v>
      </c>
      <c r="I117" s="47">
        <v>-8.4810000000000007E-3</v>
      </c>
      <c r="J117" s="47">
        <v>6.7174999999999999E-2</v>
      </c>
      <c r="K117" s="26">
        <f>3725272.91*W135</f>
        <v>5718435104.6932898</v>
      </c>
      <c r="L117" s="27">
        <f t="shared" si="67"/>
        <v>2.870811394738181E-3</v>
      </c>
      <c r="M117" s="26">
        <f>100*W135</f>
        <v>153503.79</v>
      </c>
      <c r="N117" s="26">
        <f>100*W135</f>
        <v>153503.79</v>
      </c>
      <c r="O117" s="29">
        <v>81</v>
      </c>
      <c r="P117" s="47">
        <v>8.489E-3</v>
      </c>
      <c r="Q117" s="47">
        <v>7.5663999999999995E-2</v>
      </c>
      <c r="R117" s="54">
        <f>((K117-D117)/D117)</f>
        <v>5.0813432755334826E-3</v>
      </c>
      <c r="S117" s="54">
        <f>((N117-G117)/G117)</f>
        <v>1.6465749589971025E-3</v>
      </c>
      <c r="T117" s="54">
        <f>((O117-H117)/H117)</f>
        <v>1.2500000000000001E-2</v>
      </c>
      <c r="U117" s="54">
        <f>P117-I117</f>
        <v>1.6969999999999999E-2</v>
      </c>
      <c r="V117" s="55">
        <f>Q117-J117</f>
        <v>8.4889999999999965E-3</v>
      </c>
      <c r="X117" s="62"/>
      <c r="Y117" s="66"/>
      <c r="Z117" s="62"/>
      <c r="AA117" s="67"/>
    </row>
    <row r="118" spans="1:28">
      <c r="A118" s="172">
        <v>103</v>
      </c>
      <c r="B118" s="170" t="s">
        <v>156</v>
      </c>
      <c r="C118" s="171" t="s">
        <v>21</v>
      </c>
      <c r="D118" s="26">
        <v>16817845769.424425</v>
      </c>
      <c r="E118" s="27">
        <f t="shared" si="66"/>
        <v>8.4827637896869399E-3</v>
      </c>
      <c r="F118" s="26">
        <v>1830.1288158999998</v>
      </c>
      <c r="G118" s="26">
        <v>1830.1288158999998</v>
      </c>
      <c r="H118" s="29">
        <v>315</v>
      </c>
      <c r="I118" s="47">
        <v>7.4300000000000005E-2</v>
      </c>
      <c r="J118" s="47">
        <v>8.2500000000000004E-2</v>
      </c>
      <c r="K118" s="26">
        <f>11002149*W135</f>
        <v>16888715696.4471</v>
      </c>
      <c r="L118" s="27">
        <f t="shared" si="67"/>
        <v>8.478598878224811E-3</v>
      </c>
      <c r="M118" s="26">
        <f>1.1959*W135</f>
        <v>1835.7518246100001</v>
      </c>
      <c r="N118" s="26">
        <f>1.1959*W135</f>
        <v>1835.7518246100001</v>
      </c>
      <c r="O118" s="29">
        <v>316</v>
      </c>
      <c r="P118" s="47">
        <v>7.4200000000000002E-2</v>
      </c>
      <c r="Q118" s="47">
        <v>8.2400000000000001E-2</v>
      </c>
      <c r="R118" s="54">
        <f t="shared" ref="R118:R130" si="68">((K118-D118)/D118)</f>
        <v>4.2139717532384061E-3</v>
      </c>
      <c r="S118" s="54">
        <f t="shared" ref="S118:S130" si="69">((N118-G118)/G118)</f>
        <v>3.0724660806103043E-3</v>
      </c>
      <c r="T118" s="54">
        <f t="shared" ref="T118:T130" si="70">((O118-H118)/H118)</f>
        <v>3.1746031746031746E-3</v>
      </c>
      <c r="U118" s="54">
        <f t="shared" ref="U118:U130" si="71">P118-I118</f>
        <v>-1.0000000000000286E-4</v>
      </c>
      <c r="V118" s="55">
        <f t="shared" ref="V118:V130" si="72">Q118-J118</f>
        <v>-1.0000000000000286E-4</v>
      </c>
    </row>
    <row r="119" spans="1:28">
      <c r="A119" s="172">
        <v>104</v>
      </c>
      <c r="B119" s="170" t="s">
        <v>286</v>
      </c>
      <c r="C119" s="171" t="s">
        <v>21</v>
      </c>
      <c r="D119" s="26">
        <v>3410303627.99159</v>
      </c>
      <c r="E119" s="27">
        <f t="shared" si="66"/>
        <v>1.720125188682541E-3</v>
      </c>
      <c r="F119" s="26">
        <v>1582.0147183500001</v>
      </c>
      <c r="G119" s="26">
        <v>1582.0147183500001</v>
      </c>
      <c r="H119" s="29">
        <v>88</v>
      </c>
      <c r="I119" s="47">
        <v>5.5599999999999997E-2</v>
      </c>
      <c r="J119" s="47">
        <v>5.1900000000000002E-2</v>
      </c>
      <c r="K119" s="26">
        <f>2228701.56*W135</f>
        <v>3421141362.3891244</v>
      </c>
      <c r="L119" s="27">
        <f t="shared" si="67"/>
        <v>1.7175068749308786E-3</v>
      </c>
      <c r="M119" s="26">
        <f>1.0334*W135</f>
        <v>1586.3081658600001</v>
      </c>
      <c r="N119" s="26">
        <f>1.0334*W135</f>
        <v>1586.3081658600001</v>
      </c>
      <c r="O119" s="29">
        <v>89</v>
      </c>
      <c r="P119" s="47">
        <v>5.5599999999999997E-2</v>
      </c>
      <c r="Q119" s="47">
        <v>5.21E-2</v>
      </c>
      <c r="R119" s="54">
        <f t="shared" si="68"/>
        <v>3.177938265842028E-3</v>
      </c>
      <c r="S119" s="54">
        <f t="shared" ref="S119" si="73">((N119-G119)/G119)</f>
        <v>2.7139112299018504E-3</v>
      </c>
      <c r="T119" s="54">
        <f t="shared" ref="T119" si="74">((O119-H119)/H119)</f>
        <v>1.1363636363636364E-2</v>
      </c>
      <c r="U119" s="54">
        <f t="shared" ref="U119" si="75">P119-I119</f>
        <v>0</v>
      </c>
      <c r="V119" s="55">
        <f t="shared" ref="V119" si="76">Q119-J119</f>
        <v>1.9999999999999879E-4</v>
      </c>
    </row>
    <row r="120" spans="1:28">
      <c r="A120" s="172">
        <v>105</v>
      </c>
      <c r="B120" s="170" t="s">
        <v>157</v>
      </c>
      <c r="C120" s="171" t="s">
        <v>25</v>
      </c>
      <c r="D120" s="26">
        <v>25228372024.444546</v>
      </c>
      <c r="E120" s="27">
        <f t="shared" si="66"/>
        <v>1.2724954409486976E-2</v>
      </c>
      <c r="F120" s="26">
        <v>1698.3325689000001</v>
      </c>
      <c r="G120" s="26">
        <v>1698.3325689000001</v>
      </c>
      <c r="H120" s="29">
        <v>504</v>
      </c>
      <c r="I120" s="47">
        <v>1.6999999999999999E-3</v>
      </c>
      <c r="J120" s="47">
        <v>6.5199999999999994E-2</v>
      </c>
      <c r="K120" s="26">
        <f>16967704.2*W135</f>
        <v>26046069022.989178</v>
      </c>
      <c r="L120" s="27">
        <f t="shared" si="67"/>
        <v>1.3075841619320955E-2</v>
      </c>
      <c r="M120" s="26">
        <f xml:space="preserve"> 1.1101*W135</f>
        <v>1704.0455727900003</v>
      </c>
      <c r="N120" s="26">
        <f xml:space="preserve"> 1.1101*W135</f>
        <v>1704.0455727900003</v>
      </c>
      <c r="O120" s="29">
        <v>506</v>
      </c>
      <c r="P120" s="47">
        <v>1.6999999999999999E-3</v>
      </c>
      <c r="Q120" s="47">
        <v>6.7000000000000004E-2</v>
      </c>
      <c r="R120" s="54">
        <f t="shared" si="68"/>
        <v>3.2411801988346305E-2</v>
      </c>
      <c r="S120" s="54">
        <f t="shared" ref="S120:T123" si="77">((N120-G120)/G120)</f>
        <v>3.3638899674994093E-3</v>
      </c>
      <c r="T120" s="54">
        <f t="shared" si="77"/>
        <v>3.968253968253968E-3</v>
      </c>
      <c r="U120" s="54">
        <f t="shared" si="71"/>
        <v>0</v>
      </c>
      <c r="V120" s="55">
        <f t="shared" si="72"/>
        <v>1.8000000000000099E-3</v>
      </c>
    </row>
    <row r="121" spans="1:28">
      <c r="A121" s="172">
        <v>106</v>
      </c>
      <c r="B121" s="170" t="s">
        <v>158</v>
      </c>
      <c r="C121" s="171" t="s">
        <v>61</v>
      </c>
      <c r="D121" s="26">
        <v>1046257702.4451201</v>
      </c>
      <c r="E121" s="27">
        <f t="shared" si="66"/>
        <v>5.277225796134924E-4</v>
      </c>
      <c r="F121" s="26">
        <v>1685.7659500000002</v>
      </c>
      <c r="G121" s="26">
        <v>1685.7659500000002</v>
      </c>
      <c r="H121" s="29">
        <v>46</v>
      </c>
      <c r="I121" s="47">
        <v>0.316</v>
      </c>
      <c r="J121" s="47">
        <v>0.152</v>
      </c>
      <c r="K121" s="26">
        <f>685614.2*W135</f>
        <v>1052443781.77818</v>
      </c>
      <c r="L121" s="27">
        <f t="shared" si="67"/>
        <v>5.2835566824399507E-4</v>
      </c>
      <c r="M121" s="26">
        <f>1.09*W135</f>
        <v>1673.1913110000003</v>
      </c>
      <c r="N121" s="26">
        <f>1.1*W135</f>
        <v>1688.5416900000002</v>
      </c>
      <c r="O121" s="29">
        <v>48</v>
      </c>
      <c r="P121" s="47">
        <v>-8.6999999999999994E-2</v>
      </c>
      <c r="Q121" s="47">
        <v>0.14599999999999999</v>
      </c>
      <c r="R121" s="54">
        <f t="shared" si="68"/>
        <v>5.9125771008451799E-3</v>
      </c>
      <c r="S121" s="54">
        <f t="shared" si="77"/>
        <v>1.6465749589971497E-3</v>
      </c>
      <c r="T121" s="54">
        <f t="shared" si="77"/>
        <v>4.3478260869565216E-2</v>
      </c>
      <c r="U121" s="54">
        <f t="shared" si="71"/>
        <v>-0.40300000000000002</v>
      </c>
      <c r="V121" s="55">
        <f t="shared" si="72"/>
        <v>-6.0000000000000053E-3</v>
      </c>
    </row>
    <row r="122" spans="1:28">
      <c r="A122" s="172">
        <v>107</v>
      </c>
      <c r="B122" s="170" t="s">
        <v>159</v>
      </c>
      <c r="C122" s="171" t="s">
        <v>27</v>
      </c>
      <c r="D122" s="26">
        <v>616718484.95284498</v>
      </c>
      <c r="E122" s="27">
        <v>0</v>
      </c>
      <c r="F122" s="26">
        <v>2048.3588807000001</v>
      </c>
      <c r="G122" s="26">
        <v>2048.3588807000001</v>
      </c>
      <c r="H122" s="29">
        <v>56</v>
      </c>
      <c r="I122" s="47">
        <v>4.4999999999999997E-3</v>
      </c>
      <c r="J122" s="47">
        <v>0.11269999999999999</v>
      </c>
      <c r="K122" s="26">
        <f>404421.7*W135</f>
        <v>620802637.08243001</v>
      </c>
      <c r="L122" s="27">
        <f t="shared" si="67"/>
        <v>3.1165996497136799E-4</v>
      </c>
      <c r="M122" s="26">
        <f>1.3406*W135</f>
        <v>2057.8718087400002</v>
      </c>
      <c r="N122" s="26">
        <f>1.3406*W135</f>
        <v>2057.8718087400002</v>
      </c>
      <c r="O122" s="29">
        <v>57</v>
      </c>
      <c r="P122" s="47">
        <v>4.7999999999999996E-3</v>
      </c>
      <c r="Q122" s="47">
        <v>0.1169</v>
      </c>
      <c r="R122" s="54">
        <f t="shared" si="68"/>
        <v>6.6223929219460754E-3</v>
      </c>
      <c r="S122" s="54">
        <f t="shared" si="77"/>
        <v>4.644170574615916E-3</v>
      </c>
      <c r="T122" s="54">
        <f t="shared" si="77"/>
        <v>1.7857142857142856E-2</v>
      </c>
      <c r="U122" s="54">
        <f t="shared" si="71"/>
        <v>2.9999999999999992E-4</v>
      </c>
      <c r="V122" s="55">
        <f t="shared" si="72"/>
        <v>4.2000000000000093E-3</v>
      </c>
    </row>
    <row r="123" spans="1:28">
      <c r="A123" s="172">
        <v>108</v>
      </c>
      <c r="B123" s="170" t="s">
        <v>160</v>
      </c>
      <c r="C123" s="171" t="s">
        <v>68</v>
      </c>
      <c r="D123" s="26">
        <v>1692095388.1364501</v>
      </c>
      <c r="E123" s="27">
        <f t="shared" ref="E123:E132" si="78">(D123/$D$154)</f>
        <v>8.5347705550229856E-4</v>
      </c>
      <c r="F123" s="26">
        <v>164285.55439999999</v>
      </c>
      <c r="G123" s="26">
        <v>160101.789815</v>
      </c>
      <c r="H123" s="29">
        <v>86</v>
      </c>
      <c r="I123" s="47">
        <v>1.12E-2</v>
      </c>
      <c r="J123" s="47">
        <v>3.5400000000000001E-2</v>
      </c>
      <c r="K123" s="26">
        <f>1110563.21*W135</f>
        <v>1704756617.6956589</v>
      </c>
      <c r="L123" s="27">
        <f t="shared" si="67"/>
        <v>8.5583461799178923E-4</v>
      </c>
      <c r="M123" s="26">
        <f>107.29*W135</f>
        <v>164694.21629100002</v>
      </c>
      <c r="N123" s="26">
        <f>107.6*W135</f>
        <v>165170.07803999999</v>
      </c>
      <c r="O123" s="29">
        <v>86</v>
      </c>
      <c r="P123" s="47">
        <v>1E-3</v>
      </c>
      <c r="Q123" s="47">
        <v>3.6499999999999998E-2</v>
      </c>
      <c r="R123" s="54">
        <f t="shared" si="68"/>
        <v>7.4825743560196223E-3</v>
      </c>
      <c r="S123" s="54">
        <f t="shared" si="77"/>
        <v>3.16566618702794E-2</v>
      </c>
      <c r="T123" s="54">
        <f t="shared" si="77"/>
        <v>0</v>
      </c>
      <c r="U123" s="54">
        <f t="shared" si="71"/>
        <v>-1.0200000000000001E-2</v>
      </c>
      <c r="V123" s="55">
        <f t="shared" si="72"/>
        <v>1.0999999999999968E-3</v>
      </c>
    </row>
    <row r="124" spans="1:28">
      <c r="A124" s="172">
        <v>109</v>
      </c>
      <c r="B124" s="170" t="s">
        <v>161</v>
      </c>
      <c r="C124" s="171" t="s">
        <v>71</v>
      </c>
      <c r="D124" s="26">
        <v>4957578434.1199999</v>
      </c>
      <c r="E124" s="27">
        <f t="shared" si="78"/>
        <v>2.5005560998746915E-3</v>
      </c>
      <c r="F124" s="26">
        <v>172694.46</v>
      </c>
      <c r="G124" s="26">
        <v>172694.46</v>
      </c>
      <c r="H124" s="29">
        <v>60</v>
      </c>
      <c r="I124" s="47">
        <v>8.9999999999999993E-3</v>
      </c>
      <c r="J124" s="47">
        <v>8.0500000000000002E-2</v>
      </c>
      <c r="K124" s="26">
        <v>4971896070.29</v>
      </c>
      <c r="L124" s="27">
        <f t="shared" si="67"/>
        <v>2.4960283068226011E-3</v>
      </c>
      <c r="M124" s="26">
        <v>173193.26</v>
      </c>
      <c r="N124" s="26">
        <v>173193.26</v>
      </c>
      <c r="O124" s="29">
        <v>60</v>
      </c>
      <c r="P124" s="47">
        <v>8.9999999999999993E-3</v>
      </c>
      <c r="Q124" s="47">
        <v>0.08</v>
      </c>
      <c r="R124" s="54">
        <f t="shared" si="68"/>
        <v>2.8880301865645708E-3</v>
      </c>
      <c r="S124" s="54">
        <f t="shared" si="69"/>
        <v>2.8883381667253105E-3</v>
      </c>
      <c r="T124" s="54">
        <f t="shared" si="70"/>
        <v>0</v>
      </c>
      <c r="U124" s="54">
        <f t="shared" si="71"/>
        <v>0</v>
      </c>
      <c r="V124" s="55">
        <f t="shared" si="72"/>
        <v>-5.0000000000000044E-4</v>
      </c>
      <c r="X124" s="63"/>
    </row>
    <row r="125" spans="1:28">
      <c r="A125" s="172">
        <v>110</v>
      </c>
      <c r="B125" s="170" t="s">
        <v>162</v>
      </c>
      <c r="C125" s="171" t="s">
        <v>29</v>
      </c>
      <c r="D125" s="26">
        <v>57274871575.670708</v>
      </c>
      <c r="E125" s="27">
        <f t="shared" si="78"/>
        <v>2.888890844416972E-2</v>
      </c>
      <c r="F125" s="26">
        <v>203177.07900000003</v>
      </c>
      <c r="G125" s="26">
        <v>203177.07900000003</v>
      </c>
      <c r="H125" s="29">
        <v>2476</v>
      </c>
      <c r="I125" s="47">
        <v>2.2000000000000001E-3</v>
      </c>
      <c r="J125" s="47">
        <v>4.6800000000000001E-2</v>
      </c>
      <c r="K125" s="26">
        <f>37334448.46*1535.94</f>
        <v>57343472767.652405</v>
      </c>
      <c r="L125" s="27">
        <f t="shared" si="67"/>
        <v>2.8787997419105919E-2</v>
      </c>
      <c r="M125" s="26">
        <f>132.49*1535.94</f>
        <v>203496.69060000003</v>
      </c>
      <c r="N125" s="26">
        <f>132.49*1535.94</f>
        <v>203496.69060000003</v>
      </c>
      <c r="O125" s="29">
        <v>2483</v>
      </c>
      <c r="P125" s="47">
        <v>1.4E-3</v>
      </c>
      <c r="Q125" s="47">
        <v>4.8300000000000003E-2</v>
      </c>
      <c r="R125" s="54">
        <f t="shared" si="68"/>
        <v>1.1977537460046892E-3</v>
      </c>
      <c r="S125" s="54">
        <f t="shared" si="69"/>
        <v>1.5730691747960594E-3</v>
      </c>
      <c r="T125" s="54">
        <f t="shared" si="70"/>
        <v>2.8271405492730209E-3</v>
      </c>
      <c r="U125" s="54">
        <f t="shared" si="71"/>
        <v>-8.0000000000000015E-4</v>
      </c>
      <c r="V125" s="55">
        <f t="shared" si="72"/>
        <v>1.5000000000000013E-3</v>
      </c>
    </row>
    <row r="126" spans="1:28">
      <c r="A126" s="172">
        <v>111</v>
      </c>
      <c r="B126" s="174" t="s">
        <v>163</v>
      </c>
      <c r="C126" s="174" t="s">
        <v>29</v>
      </c>
      <c r="D126" s="26">
        <v>166048265446.14423</v>
      </c>
      <c r="E126" s="27">
        <f t="shared" si="78"/>
        <v>8.3753188891033795E-2</v>
      </c>
      <c r="F126" s="26">
        <v>191751.24780000001</v>
      </c>
      <c r="G126" s="26">
        <v>191751.24780000001</v>
      </c>
      <c r="H126" s="29">
        <v>946</v>
      </c>
      <c r="I126" s="47">
        <v>1.9E-3</v>
      </c>
      <c r="J126" s="47">
        <v>5.0999999999999997E-2</v>
      </c>
      <c r="K126" s="26">
        <f>108536575.43*1535.94</f>
        <v>166705667665.95422</v>
      </c>
      <c r="L126" s="27">
        <f t="shared" si="67"/>
        <v>8.3690821272077123E-2</v>
      </c>
      <c r="M126" s="26">
        <f>125.11*1535.94</f>
        <v>192161.4534</v>
      </c>
      <c r="N126" s="26">
        <f>125.11*1535.94</f>
        <v>192161.4534</v>
      </c>
      <c r="O126" s="29">
        <v>948</v>
      </c>
      <c r="P126" s="47">
        <v>2E-3</v>
      </c>
      <c r="Q126" s="47">
        <v>5.3699999999999998E-2</v>
      </c>
      <c r="R126" s="54">
        <f t="shared" si="68"/>
        <v>3.9591032043825719E-3</v>
      </c>
      <c r="S126" s="54">
        <f t="shared" si="69"/>
        <v>2.1392590906518551E-3</v>
      </c>
      <c r="T126" s="54">
        <f t="shared" si="70"/>
        <v>2.1141649048625794E-3</v>
      </c>
      <c r="U126" s="54">
        <f t="shared" si="71"/>
        <v>1.0000000000000005E-4</v>
      </c>
      <c r="V126" s="55">
        <f t="shared" si="72"/>
        <v>2.700000000000001E-3</v>
      </c>
      <c r="X126" s="62"/>
    </row>
    <row r="127" spans="1:28">
      <c r="A127" s="172">
        <v>112</v>
      </c>
      <c r="B127" s="170" t="s">
        <v>298</v>
      </c>
      <c r="C127" s="171" t="s">
        <v>297</v>
      </c>
      <c r="D127" s="26">
        <v>1530049373.8010249</v>
      </c>
      <c r="E127" s="27">
        <f t="shared" si="78"/>
        <v>7.7174256456251876E-4</v>
      </c>
      <c r="F127" s="26">
        <v>1532.5145</v>
      </c>
      <c r="G127" s="26">
        <v>1532.5145</v>
      </c>
      <c r="H127" s="29">
        <v>11</v>
      </c>
      <c r="I127" s="47">
        <v>8.6599999999999996E-2</v>
      </c>
      <c r="J127" s="47">
        <v>8.7599999999999997E-2</v>
      </c>
      <c r="K127" s="26">
        <f>1000312.55*W135</f>
        <v>1535517676.0956452</v>
      </c>
      <c r="L127" s="27">
        <f t="shared" si="67"/>
        <v>7.7087202366594033E-4</v>
      </c>
      <c r="M127" s="26">
        <f>1*W135</f>
        <v>1535.0379</v>
      </c>
      <c r="N127" s="26">
        <f>1*W135</f>
        <v>1535.0379</v>
      </c>
      <c r="O127" s="29">
        <v>12</v>
      </c>
      <c r="P127" s="47">
        <v>8.1199999999999994E-2</v>
      </c>
      <c r="Q127" s="47">
        <v>8.7400000000000005E-2</v>
      </c>
      <c r="R127" s="54">
        <f t="shared" ref="R127" si="79">((K127-D127)/D127)</f>
        <v>3.5739384547020508E-3</v>
      </c>
      <c r="S127" s="54">
        <f t="shared" ref="S127" si="80">((N127-G127)/G127)</f>
        <v>1.64657495899715E-3</v>
      </c>
      <c r="T127" s="54">
        <f t="shared" si="70"/>
        <v>9.0909090909090912E-2</v>
      </c>
      <c r="U127" s="54">
        <f t="shared" si="71"/>
        <v>-5.400000000000002E-3</v>
      </c>
      <c r="V127" s="55">
        <f t="shared" si="72"/>
        <v>-1.9999999999999185E-4</v>
      </c>
    </row>
    <row r="128" spans="1:28">
      <c r="A128" s="172">
        <v>113</v>
      </c>
      <c r="B128" s="170" t="s">
        <v>164</v>
      </c>
      <c r="C128" s="171" t="s">
        <v>33</v>
      </c>
      <c r="D128" s="26">
        <v>223780617.76696998</v>
      </c>
      <c r="E128" s="27">
        <f t="shared" si="78"/>
        <v>1.1287284633556214E-4</v>
      </c>
      <c r="F128" s="26">
        <v>202322.56429000001</v>
      </c>
      <c r="G128" s="26">
        <v>199257.53529000003</v>
      </c>
      <c r="H128" s="29">
        <v>9</v>
      </c>
      <c r="I128" s="47">
        <v>2.3E-3</v>
      </c>
      <c r="J128" s="47">
        <v>0.14680000000000001</v>
      </c>
      <c r="K128" s="26">
        <f>146356.69*W135</f>
        <v>224663066.068551</v>
      </c>
      <c r="L128" s="27">
        <f t="shared" si="67"/>
        <v>1.1278702621230602E-4</v>
      </c>
      <c r="M128" s="26">
        <f>132.32*W135</f>
        <v>203116.214928</v>
      </c>
      <c r="N128" s="26">
        <f>130.22*W135</f>
        <v>199892.63533799999</v>
      </c>
      <c r="O128" s="29">
        <v>9</v>
      </c>
      <c r="P128" s="47">
        <v>2.3E-3</v>
      </c>
      <c r="Q128" s="47">
        <v>0.14940000000000001</v>
      </c>
      <c r="R128" s="54">
        <f t="shared" si="68"/>
        <v>3.9433634172015165E-3</v>
      </c>
      <c r="S128" s="54">
        <f t="shared" si="69"/>
        <v>3.1873326500583142E-3</v>
      </c>
      <c r="T128" s="54">
        <f t="shared" si="70"/>
        <v>0</v>
      </c>
      <c r="U128" s="54">
        <f t="shared" si="71"/>
        <v>0</v>
      </c>
      <c r="V128" s="55">
        <f t="shared" si="72"/>
        <v>2.5999999999999912E-3</v>
      </c>
    </row>
    <row r="129" spans="1:24">
      <c r="A129" s="172">
        <v>114</v>
      </c>
      <c r="B129" s="170" t="s">
        <v>165</v>
      </c>
      <c r="C129" s="171" t="s">
        <v>39</v>
      </c>
      <c r="D129" s="26">
        <v>16327777715.584059</v>
      </c>
      <c r="E129" s="27">
        <f t="shared" si="78"/>
        <v>8.2355780562348435E-3</v>
      </c>
      <c r="F129" s="26">
        <v>2191.495735</v>
      </c>
      <c r="G129" s="26">
        <v>2191.495735</v>
      </c>
      <c r="H129" s="43">
        <v>115</v>
      </c>
      <c r="I129" s="50">
        <v>1E-3</v>
      </c>
      <c r="J129" s="50">
        <v>5.0799999999999998E-2</v>
      </c>
      <c r="K129" s="26">
        <f>10664279.47*W135</f>
        <v>16370073162.641914</v>
      </c>
      <c r="L129" s="27">
        <f t="shared" si="67"/>
        <v>8.2182260894137962E-3</v>
      </c>
      <c r="M129" s="26">
        <f>1.43*W135</f>
        <v>2195.1041970000001</v>
      </c>
      <c r="N129" s="26">
        <f>1.43*W135</f>
        <v>2195.1041970000001</v>
      </c>
      <c r="O129" s="43">
        <v>115</v>
      </c>
      <c r="P129" s="50">
        <v>8.9999999999999998E-4</v>
      </c>
      <c r="Q129" s="50">
        <v>5.0799999999999998E-2</v>
      </c>
      <c r="R129" s="54">
        <f t="shared" si="68"/>
        <v>2.590398264516223E-3</v>
      </c>
      <c r="S129" s="54">
        <f t="shared" si="69"/>
        <v>1.6465749589971916E-3</v>
      </c>
      <c r="T129" s="54">
        <f t="shared" si="70"/>
        <v>0</v>
      </c>
      <c r="U129" s="54">
        <f t="shared" si="71"/>
        <v>-1.0000000000000005E-4</v>
      </c>
      <c r="V129" s="55">
        <f t="shared" si="72"/>
        <v>0</v>
      </c>
    </row>
    <row r="130" spans="1:24">
      <c r="A130" s="172">
        <v>115</v>
      </c>
      <c r="B130" s="170" t="s">
        <v>166</v>
      </c>
      <c r="C130" s="171" t="s">
        <v>85</v>
      </c>
      <c r="D130" s="26">
        <v>33393535397.920502</v>
      </c>
      <c r="E130" s="27">
        <f t="shared" si="78"/>
        <v>1.6843386291370641E-2</v>
      </c>
      <c r="F130" s="26">
        <v>159963.86351</v>
      </c>
      <c r="G130" s="26">
        <v>159963.86351</v>
      </c>
      <c r="H130" s="29">
        <v>734</v>
      </c>
      <c r="I130" s="50">
        <v>1.6999999999999999E-3</v>
      </c>
      <c r="J130" s="47">
        <v>9.4899999999999998E-2</v>
      </c>
      <c r="K130" s="26">
        <f>21970274*W135</f>
        <v>33725203263.384602</v>
      </c>
      <c r="L130" s="27">
        <f t="shared" si="67"/>
        <v>1.6930977801763253E-2</v>
      </c>
      <c r="M130" s="26">
        <f>104.57*W135</f>
        <v>160518.913203</v>
      </c>
      <c r="N130" s="26">
        <f>104.57*W135</f>
        <v>160518.913203</v>
      </c>
      <c r="O130" s="29">
        <v>744</v>
      </c>
      <c r="P130" s="50">
        <v>1.8E-3</v>
      </c>
      <c r="Q130" s="47">
        <v>9.4899999999999998E-2</v>
      </c>
      <c r="R130" s="54">
        <f t="shared" si="68"/>
        <v>9.9320979798010137E-3</v>
      </c>
      <c r="S130" s="54">
        <f t="shared" si="69"/>
        <v>3.4698442562017119E-3</v>
      </c>
      <c r="T130" s="54">
        <f t="shared" si="70"/>
        <v>1.3623978201634877E-2</v>
      </c>
      <c r="U130" s="54">
        <f t="shared" si="71"/>
        <v>1.0000000000000005E-4</v>
      </c>
      <c r="V130" s="55">
        <f t="shared" si="72"/>
        <v>0</v>
      </c>
    </row>
    <row r="131" spans="1:24">
      <c r="A131" s="172">
        <v>116</v>
      </c>
      <c r="B131" s="170" t="s">
        <v>167</v>
      </c>
      <c r="C131" s="171" t="s">
        <v>43</v>
      </c>
      <c r="D131" s="26">
        <v>2651077815.0450549</v>
      </c>
      <c r="E131" s="27">
        <f t="shared" si="78"/>
        <v>1.3371788040767727E-3</v>
      </c>
      <c r="F131" s="26">
        <v>213647.846445</v>
      </c>
      <c r="G131" s="26">
        <v>221816.14873000002</v>
      </c>
      <c r="H131" s="29">
        <v>49</v>
      </c>
      <c r="I131" s="47">
        <v>-1E-4</v>
      </c>
      <c r="J131" s="47">
        <v>1.8700000000000001E-2</v>
      </c>
      <c r="K131" s="26">
        <f xml:space="preserve">  1797960.91 *W135</f>
        <v>2759938139.5684891</v>
      </c>
      <c r="L131" s="27">
        <f t="shared" si="67"/>
        <v>1.3855647069148094E-3</v>
      </c>
      <c r="M131" s="26">
        <f>139.5*W135</f>
        <v>214137.78705000001</v>
      </c>
      <c r="N131" s="26">
        <f>144.82*W135</f>
        <v>222304.18867800001</v>
      </c>
      <c r="O131" s="29">
        <v>50</v>
      </c>
      <c r="P131" s="47">
        <v>1.6299999999999999E-2</v>
      </c>
      <c r="Q131" s="47">
        <v>3.5000000000000003E-2</v>
      </c>
      <c r="R131" s="54">
        <f t="shared" ref="R131:R132" si="81">((K131-D131)/D131)</f>
        <v>4.1062666627755734E-2</v>
      </c>
      <c r="S131" s="54">
        <f t="shared" ref="S131:S132" si="82">((N131-G131)/G131)</f>
        <v>2.2002002595133169E-3</v>
      </c>
      <c r="T131" s="54">
        <f t="shared" ref="T131:T132" si="83">((O131-H131)/H131)</f>
        <v>2.0408163265306121E-2</v>
      </c>
      <c r="U131" s="54">
        <f t="shared" ref="U131:U132" si="84">P131-I131</f>
        <v>1.6399999999999998E-2</v>
      </c>
      <c r="V131" s="55">
        <f t="shared" ref="V131:V132" si="85">Q131-J131</f>
        <v>1.6300000000000002E-2</v>
      </c>
    </row>
    <row r="132" spans="1:24">
      <c r="A132" s="172">
        <v>117</v>
      </c>
      <c r="B132" s="170" t="s">
        <v>168</v>
      </c>
      <c r="C132" s="171" t="s">
        <v>50</v>
      </c>
      <c r="D132" s="30">
        <v>183267883081.50839</v>
      </c>
      <c r="E132" s="27">
        <f t="shared" si="78"/>
        <v>9.2438602644505319E-2</v>
      </c>
      <c r="F132" s="26">
        <v>187656.99162000002</v>
      </c>
      <c r="G132" s="26">
        <v>187656.99162000002</v>
      </c>
      <c r="H132" s="29">
        <v>3890</v>
      </c>
      <c r="I132" s="47">
        <v>1E-3</v>
      </c>
      <c r="J132" s="47">
        <v>9.1499999999999998E-2</v>
      </c>
      <c r="K132" s="30">
        <f xml:space="preserve"> 118808427.36*1536.79</f>
        <v>182583603082.5744</v>
      </c>
      <c r="L132" s="27">
        <f t="shared" si="67"/>
        <v>9.1661980703708901E-2</v>
      </c>
      <c r="M132" s="26">
        <f>122.3286*1536.79</f>
        <v>187993.369194</v>
      </c>
      <c r="N132" s="26">
        <f>122.3286*1536.79</f>
        <v>187993.369194</v>
      </c>
      <c r="O132" s="29">
        <v>3910</v>
      </c>
      <c r="P132" s="47">
        <v>1.1000000000000001E-3</v>
      </c>
      <c r="Q132" s="47">
        <v>9.0399999999999994E-2</v>
      </c>
      <c r="R132" s="54">
        <f t="shared" si="81"/>
        <v>-3.7337693185971756E-3</v>
      </c>
      <c r="S132" s="54">
        <f t="shared" si="82"/>
        <v>1.7925128773306704E-3</v>
      </c>
      <c r="T132" s="54">
        <f t="shared" si="83"/>
        <v>5.1413881748071976E-3</v>
      </c>
      <c r="U132" s="54">
        <f t="shared" si="84"/>
        <v>1.0000000000000005E-4</v>
      </c>
      <c r="V132" s="55">
        <f t="shared" si="85"/>
        <v>-1.1000000000000038E-3</v>
      </c>
    </row>
    <row r="133" spans="1:24" ht="6" customHeight="1">
      <c r="A133" s="168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</row>
    <row r="134" spans="1:24">
      <c r="A134" s="185" t="s">
        <v>169</v>
      </c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</row>
    <row r="135" spans="1:24">
      <c r="A135" s="172">
        <v>118</v>
      </c>
      <c r="B135" s="170" t="s">
        <v>170</v>
      </c>
      <c r="C135" s="171" t="s">
        <v>113</v>
      </c>
      <c r="D135" s="30">
        <v>1911250248.811475</v>
      </c>
      <c r="E135" s="27">
        <f>(D135/$D$154)</f>
        <v>9.6401671331315815E-4</v>
      </c>
      <c r="F135" s="26">
        <v>173511.29168999998</v>
      </c>
      <c r="G135" s="26">
        <v>173511.29168999998</v>
      </c>
      <c r="H135" s="29">
        <v>23</v>
      </c>
      <c r="I135" s="47">
        <v>9.4000000000000004E-3</v>
      </c>
      <c r="J135" s="47">
        <v>0.15690000000000001</v>
      </c>
      <c r="K135" s="30">
        <f>1252264.69*W135</f>
        <v>1922273759.981751</v>
      </c>
      <c r="L135" s="27">
        <f t="shared" ref="L135:L153" si="86">(K135/$K$154)</f>
        <v>9.6503419430827024E-4</v>
      </c>
      <c r="M135" s="26">
        <f>113.69*W135</f>
        <v>174518.458851</v>
      </c>
      <c r="N135" s="26">
        <f>113.69*W135</f>
        <v>174518.458851</v>
      </c>
      <c r="O135" s="29">
        <v>23</v>
      </c>
      <c r="P135" s="47">
        <v>-5.1000000000000004E-3</v>
      </c>
      <c r="Q135" s="47">
        <v>0.1391</v>
      </c>
      <c r="R135" s="54">
        <f>((K135-D135)/D135)</f>
        <v>5.7676963951376736E-3</v>
      </c>
      <c r="S135" s="54">
        <f>((N135-G135)/G135)</f>
        <v>5.8046202710510149E-3</v>
      </c>
      <c r="T135" s="54">
        <f>((O135-H135)/H135)</f>
        <v>0</v>
      </c>
      <c r="U135" s="54">
        <f>P135-I135</f>
        <v>-1.4500000000000001E-2</v>
      </c>
      <c r="V135" s="55">
        <f>Q135-J135</f>
        <v>-1.780000000000001E-2</v>
      </c>
      <c r="W135" s="132">
        <v>1535.0379</v>
      </c>
    </row>
    <row r="136" spans="1:24">
      <c r="A136" s="172">
        <v>119</v>
      </c>
      <c r="B136" s="171" t="s">
        <v>171</v>
      </c>
      <c r="C136" s="171" t="s">
        <v>23</v>
      </c>
      <c r="D136" s="26">
        <v>19504353005.612587</v>
      </c>
      <c r="E136" s="27">
        <f t="shared" ref="E136:E153" si="87">(D136/$D$154)</f>
        <v>9.8378128617446874E-3</v>
      </c>
      <c r="F136" s="30">
        <v>203150.12212000001</v>
      </c>
      <c r="G136" s="30">
        <v>203150.12212000001</v>
      </c>
      <c r="H136" s="29">
        <v>616</v>
      </c>
      <c r="I136" s="47">
        <v>5.0000000000000001E-4</v>
      </c>
      <c r="J136" s="47">
        <v>3.5700000000000003E-2</v>
      </c>
      <c r="K136" s="26">
        <f>12721856.63*W135</f>
        <v>19528532085.416279</v>
      </c>
      <c r="L136" s="27">
        <f t="shared" si="86"/>
        <v>9.8038591689727974E-3</v>
      </c>
      <c r="M136" s="30">
        <f>133.42*W135</f>
        <v>204804.75661799998</v>
      </c>
      <c r="N136" s="30">
        <f>133.42*W135</f>
        <v>204804.75661799998</v>
      </c>
      <c r="O136" s="29">
        <v>616</v>
      </c>
      <c r="P136" s="47">
        <v>5.0000000000000001E-4</v>
      </c>
      <c r="Q136" s="47">
        <v>4.2200000000000001E-2</v>
      </c>
      <c r="R136" s="54">
        <f t="shared" ref="R136:R154" si="88">((K136-D136)/D136)</f>
        <v>1.2396760762448298E-3</v>
      </c>
      <c r="S136" s="54">
        <f t="shared" ref="S136:S154" si="89">((N136-G136)/G136)</f>
        <v>8.1448855690206476E-3</v>
      </c>
      <c r="T136" s="54">
        <f t="shared" ref="T136:T154" si="90">((O136-H136)/H136)</f>
        <v>0</v>
      </c>
      <c r="U136" s="54">
        <f t="shared" ref="U136:U154" si="91">P136-I136</f>
        <v>0</v>
      </c>
      <c r="V136" s="55">
        <f t="shared" ref="V136:V154" si="92">Q136-J136</f>
        <v>6.4999999999999988E-3</v>
      </c>
    </row>
    <row r="137" spans="1:24">
      <c r="A137" s="172">
        <v>120</v>
      </c>
      <c r="B137" s="171" t="s">
        <v>322</v>
      </c>
      <c r="C137" s="171" t="s">
        <v>321</v>
      </c>
      <c r="D137" s="26">
        <v>96548413.5</v>
      </c>
      <c r="E137" s="27">
        <f t="shared" si="87"/>
        <v>4.869811492019356E-5</v>
      </c>
      <c r="F137" s="30">
        <v>153251.45000000001</v>
      </c>
      <c r="G137" s="30">
        <v>153251.45000000001</v>
      </c>
      <c r="H137" s="29">
        <v>2</v>
      </c>
      <c r="I137" s="47">
        <v>0.02</v>
      </c>
      <c r="J137" s="47">
        <v>0</v>
      </c>
      <c r="K137" s="26">
        <f>68500*W135</f>
        <v>105150096.15000001</v>
      </c>
      <c r="L137" s="27">
        <f t="shared" si="86"/>
        <v>5.2788234658374434E-5</v>
      </c>
      <c r="M137" s="30">
        <f>100*W135</f>
        <v>153503.79</v>
      </c>
      <c r="N137" s="30">
        <f>100*W135</f>
        <v>153503.79</v>
      </c>
      <c r="O137" s="29">
        <v>3</v>
      </c>
      <c r="P137" s="47">
        <v>2.9999999999999997E-4</v>
      </c>
      <c r="Q137" s="47">
        <v>2.9999999999999997E-4</v>
      </c>
      <c r="R137" s="54">
        <v>0</v>
      </c>
      <c r="S137" s="54">
        <f t="shared" ref="S137" si="93">((N137-G137)/G137)</f>
        <v>1.6465749589971025E-3</v>
      </c>
      <c r="T137" s="54">
        <f t="shared" ref="T137" si="94">((O137-H137)/H137)</f>
        <v>0.5</v>
      </c>
      <c r="U137" s="54">
        <f t="shared" ref="U137" si="95">P137-I137</f>
        <v>-1.9699999999999999E-2</v>
      </c>
      <c r="V137" s="55">
        <f t="shared" ref="V137" si="96">Q137-J137</f>
        <v>2.9999999999999997E-4</v>
      </c>
    </row>
    <row r="138" spans="1:24">
      <c r="A138" s="172">
        <v>121</v>
      </c>
      <c r="B138" s="170" t="s">
        <v>172</v>
      </c>
      <c r="C138" s="171" t="s">
        <v>65</v>
      </c>
      <c r="D138" s="30">
        <v>18094863529.599998</v>
      </c>
      <c r="E138" s="27">
        <f t="shared" si="87"/>
        <v>9.1268795797424477E-3</v>
      </c>
      <c r="F138" s="30">
        <v>176107.2</v>
      </c>
      <c r="G138" s="30">
        <v>176107.2</v>
      </c>
      <c r="H138" s="29">
        <v>437</v>
      </c>
      <c r="I138" s="47">
        <v>1.1999999999999999E-3</v>
      </c>
      <c r="J138" s="47">
        <v>6.6699999999999995E-2</v>
      </c>
      <c r="K138" s="30">
        <v>18315568031.200001</v>
      </c>
      <c r="L138" s="27">
        <f>(K138/$K$154)</f>
        <v>9.1949179176514396E-3</v>
      </c>
      <c r="M138" s="30">
        <v>176320</v>
      </c>
      <c r="N138" s="30">
        <v>176320</v>
      </c>
      <c r="O138" s="29">
        <v>442</v>
      </c>
      <c r="P138" s="47">
        <v>1.1999999999999999E-3</v>
      </c>
      <c r="Q138" s="47">
        <v>6.6699999999999995E-2</v>
      </c>
      <c r="R138" s="54">
        <f t="shared" si="88"/>
        <v>1.2197080195657113E-2</v>
      </c>
      <c r="S138" s="54">
        <f t="shared" si="89"/>
        <v>1.2083549110995368E-3</v>
      </c>
      <c r="T138" s="54">
        <f t="shared" si="90"/>
        <v>1.1441647597254004E-2</v>
      </c>
      <c r="U138" s="54">
        <f t="shared" si="91"/>
        <v>0</v>
      </c>
      <c r="V138" s="55">
        <f t="shared" si="92"/>
        <v>0</v>
      </c>
    </row>
    <row r="139" spans="1:24">
      <c r="A139" s="172">
        <v>122</v>
      </c>
      <c r="B139" s="170" t="s">
        <v>293</v>
      </c>
      <c r="C139" s="171" t="s">
        <v>294</v>
      </c>
      <c r="D139" s="26">
        <v>198214935.02535999</v>
      </c>
      <c r="E139" s="27">
        <f t="shared" ref="E139" si="97">(D139/$D$112)</f>
        <v>8.576270601403156E-4</v>
      </c>
      <c r="F139" s="32">
        <v>1565.3103103000001</v>
      </c>
      <c r="G139" s="32">
        <v>1565.3103103000001</v>
      </c>
      <c r="H139" s="29">
        <v>3</v>
      </c>
      <c r="I139" s="47">
        <v>2.7000000000000001E-3</v>
      </c>
      <c r="J139" s="47">
        <v>7.7899999999999997E-2</v>
      </c>
      <c r="K139" s="26">
        <f>129314.76*W135</f>
        <v>198503057.62940401</v>
      </c>
      <c r="L139" s="27">
        <f t="shared" ref="L139" si="98">(K139/$K$112)</f>
        <v>8.5876040614857297E-4</v>
      </c>
      <c r="M139" s="32">
        <f>1.0212*W135</f>
        <v>1567.5807034800002</v>
      </c>
      <c r="N139" s="32">
        <f>1.0212*W135</f>
        <v>1567.5807034800002</v>
      </c>
      <c r="O139" s="29">
        <v>3</v>
      </c>
      <c r="P139" s="47">
        <v>-2.0000000000000001E-4</v>
      </c>
      <c r="Q139" s="47">
        <v>7.7700000000000005E-2</v>
      </c>
      <c r="R139" s="53">
        <f t="shared" si="88"/>
        <v>1.4535867542330109E-3</v>
      </c>
      <c r="S139" s="53">
        <f t="shared" si="89"/>
        <v>1.4504428706950908E-3</v>
      </c>
      <c r="T139" s="53">
        <f t="shared" si="90"/>
        <v>0</v>
      </c>
      <c r="U139" s="54">
        <f t="shared" si="91"/>
        <v>-2.9000000000000002E-3</v>
      </c>
      <c r="V139" s="55">
        <f t="shared" si="92"/>
        <v>-1.9999999999999185E-4</v>
      </c>
    </row>
    <row r="140" spans="1:24">
      <c r="A140" s="172">
        <v>123</v>
      </c>
      <c r="B140" s="170" t="s">
        <v>173</v>
      </c>
      <c r="C140" s="171" t="s">
        <v>63</v>
      </c>
      <c r="D140" s="30">
        <v>10050934653.110001</v>
      </c>
      <c r="E140" s="27">
        <f t="shared" si="87"/>
        <v>5.0695972419319618E-3</v>
      </c>
      <c r="F140" s="30">
        <v>2017.39</v>
      </c>
      <c r="G140" s="30">
        <v>2017.39</v>
      </c>
      <c r="H140" s="29">
        <v>280</v>
      </c>
      <c r="I140" s="47">
        <v>6.5199999999999994E-2</v>
      </c>
      <c r="J140" s="47">
        <v>6.6400000000000001E-2</v>
      </c>
      <c r="K140" s="30">
        <v>10135677490.16</v>
      </c>
      <c r="L140" s="27">
        <f t="shared" si="86"/>
        <v>5.088388326425412E-3</v>
      </c>
      <c r="M140" s="30">
        <v>2021.31</v>
      </c>
      <c r="N140" s="30">
        <v>2021.31</v>
      </c>
      <c r="O140" s="29">
        <v>281</v>
      </c>
      <c r="P140" s="47">
        <v>6.5100000000000005E-2</v>
      </c>
      <c r="Q140" s="47">
        <v>6.6500000000000004E-2</v>
      </c>
      <c r="R140" s="54">
        <f t="shared" si="88"/>
        <v>8.4313389724186266E-3</v>
      </c>
      <c r="S140" s="54">
        <f t="shared" si="89"/>
        <v>1.9431047045934823E-3</v>
      </c>
      <c r="T140" s="53">
        <f t="shared" si="90"/>
        <v>3.5714285714285713E-3</v>
      </c>
      <c r="U140" s="54">
        <f t="shared" si="91"/>
        <v>-9.9999999999988987E-5</v>
      </c>
      <c r="V140" s="55">
        <f t="shared" si="92"/>
        <v>1.0000000000000286E-4</v>
      </c>
    </row>
    <row r="141" spans="1:24">
      <c r="A141" s="172">
        <v>124</v>
      </c>
      <c r="B141" s="170" t="s">
        <v>319</v>
      </c>
      <c r="C141" s="171" t="s">
        <v>78</v>
      </c>
      <c r="D141" s="30">
        <v>332055495.06778002</v>
      </c>
      <c r="E141" s="27">
        <f t="shared" si="87"/>
        <v>1.6748567969677221E-4</v>
      </c>
      <c r="F141" s="30">
        <v>1563.16479</v>
      </c>
      <c r="G141" s="30">
        <v>1563.16479</v>
      </c>
      <c r="H141" s="29">
        <v>9</v>
      </c>
      <c r="I141" s="47">
        <v>5.9999999999999995E-4</v>
      </c>
      <c r="J141" s="47">
        <v>1.9699999999999999E-2</v>
      </c>
      <c r="K141" s="30">
        <f>216846.87*W135</f>
        <v>332868163.94637299</v>
      </c>
      <c r="L141" s="27">
        <f t="shared" si="86"/>
        <v>1.6710895559845276E-4</v>
      </c>
      <c r="M141" s="30">
        <f>1.02*W135</f>
        <v>1565.738658</v>
      </c>
      <c r="N141" s="30">
        <f>1.02*W135</f>
        <v>1565.738658</v>
      </c>
      <c r="O141" s="29">
        <v>9</v>
      </c>
      <c r="P141" s="47">
        <v>5.9999999999999995E-4</v>
      </c>
      <c r="Q141" s="47">
        <v>2.0500000000000001E-2</v>
      </c>
      <c r="R141" s="54">
        <f t="shared" si="88"/>
        <v>2.4473887367142773E-3</v>
      </c>
      <c r="S141" s="54">
        <f t="shared" si="89"/>
        <v>1.6465749589970918E-3</v>
      </c>
      <c r="T141" s="53">
        <f t="shared" si="90"/>
        <v>0</v>
      </c>
      <c r="U141" s="54">
        <f t="shared" si="91"/>
        <v>0</v>
      </c>
      <c r="V141" s="55">
        <f t="shared" si="92"/>
        <v>8.000000000000021E-4</v>
      </c>
    </row>
    <row r="142" spans="1:24">
      <c r="A142" s="172">
        <v>125</v>
      </c>
      <c r="B142" s="170" t="s">
        <v>300</v>
      </c>
      <c r="C142" s="171" t="s">
        <v>35</v>
      </c>
      <c r="D142" s="30">
        <v>98848768592.019501</v>
      </c>
      <c r="E142" s="27">
        <f t="shared" si="87"/>
        <v>4.9858392469740435E-2</v>
      </c>
      <c r="F142" s="30">
        <v>153355</v>
      </c>
      <c r="G142" s="30">
        <v>153355</v>
      </c>
      <c r="H142" s="29">
        <v>1918</v>
      </c>
      <c r="I142" s="47">
        <v>5.16E-2</v>
      </c>
      <c r="J142" s="47">
        <v>5.0599999999999999E-2</v>
      </c>
      <c r="K142" s="30">
        <v>99269526773.246506</v>
      </c>
      <c r="L142" s="27">
        <f t="shared" si="86"/>
        <v>4.9836027408443978E-2</v>
      </c>
      <c r="M142" s="30">
        <f>100*1533.55</f>
        <v>153355</v>
      </c>
      <c r="N142" s="30">
        <f>100*1533.55</f>
        <v>153355</v>
      </c>
      <c r="O142" s="29">
        <v>1939</v>
      </c>
      <c r="P142" s="47">
        <v>5.4100000000000002E-2</v>
      </c>
      <c r="Q142" s="47">
        <v>5.0700000000000002E-2</v>
      </c>
      <c r="R142" s="54">
        <f t="shared" si="88"/>
        <v>4.256584955181472E-3</v>
      </c>
      <c r="S142" s="54">
        <f t="shared" si="89"/>
        <v>0</v>
      </c>
      <c r="T142" s="54">
        <f t="shared" si="90"/>
        <v>1.0948905109489052E-2</v>
      </c>
      <c r="U142" s="54">
        <f t="shared" si="91"/>
        <v>2.5000000000000022E-3</v>
      </c>
      <c r="V142" s="55">
        <f t="shared" si="92"/>
        <v>1.0000000000000286E-4</v>
      </c>
    </row>
    <row r="143" spans="1:24" ht="15.6">
      <c r="A143" s="172">
        <v>126</v>
      </c>
      <c r="B143" s="170" t="s">
        <v>174</v>
      </c>
      <c r="C143" s="171" t="s">
        <v>130</v>
      </c>
      <c r="D143" s="30">
        <v>1425715909.2421851</v>
      </c>
      <c r="E143" s="27">
        <f t="shared" si="87"/>
        <v>7.1911774284954134E-4</v>
      </c>
      <c r="F143" s="30">
        <v>1593.8150800000001</v>
      </c>
      <c r="G143" s="30">
        <v>1670.4408050000002</v>
      </c>
      <c r="H143" s="29">
        <v>53</v>
      </c>
      <c r="I143" s="47">
        <v>1.9E-3</v>
      </c>
      <c r="J143" s="47">
        <v>9.1700000000000004E-2</v>
      </c>
      <c r="K143" s="30">
        <f>928811.93*W135</f>
        <v>1425761514.5221472</v>
      </c>
      <c r="L143" s="27">
        <f t="shared" si="86"/>
        <v>7.15771417727557E-4</v>
      </c>
      <c r="M143" s="30">
        <f>1.12*W135</f>
        <v>1719.2424480000002</v>
      </c>
      <c r="N143" s="30">
        <f>1.17*W135</f>
        <v>1795.9943429999998</v>
      </c>
      <c r="O143" s="29">
        <v>53</v>
      </c>
      <c r="P143" s="47">
        <v>1.9E-3</v>
      </c>
      <c r="Q143" s="47">
        <v>9.1700000000000004E-2</v>
      </c>
      <c r="R143" s="54">
        <f t="shared" si="88"/>
        <v>3.198763489025211E-5</v>
      </c>
      <c r="S143" s="54">
        <f t="shared" si="89"/>
        <v>7.5161919910115976E-2</v>
      </c>
      <c r="T143" s="54">
        <f t="shared" si="90"/>
        <v>0</v>
      </c>
      <c r="U143" s="54">
        <f t="shared" si="91"/>
        <v>0</v>
      </c>
      <c r="V143" s="55">
        <f t="shared" si="92"/>
        <v>0</v>
      </c>
      <c r="X143" s="64"/>
    </row>
    <row r="144" spans="1:24" ht="15.6">
      <c r="A144" s="172">
        <v>127</v>
      </c>
      <c r="B144" s="170" t="s">
        <v>175</v>
      </c>
      <c r="C144" s="171" t="s">
        <v>41</v>
      </c>
      <c r="D144" s="26">
        <v>6298922140.6956348</v>
      </c>
      <c r="E144" s="27">
        <f t="shared" si="87"/>
        <v>3.1771172944333017E-3</v>
      </c>
      <c r="F144" s="30">
        <v>16643.107469999999</v>
      </c>
      <c r="G144" s="30">
        <v>16643.107469999999</v>
      </c>
      <c r="H144" s="29">
        <v>144</v>
      </c>
      <c r="I144" s="47">
        <v>7.4399999999999994E-2</v>
      </c>
      <c r="J144" s="47">
        <v>9.4700000000000006E-2</v>
      </c>
      <c r="K144" s="26">
        <f xml:space="preserve">      4068613.72 *W135</f>
        <v>6245476260.6599884</v>
      </c>
      <c r="L144" s="27">
        <f t="shared" si="86"/>
        <v>3.1354005224181278E-3</v>
      </c>
      <c r="M144" s="30">
        <f>10.63*W135</f>
        <v>16317.452877000002</v>
      </c>
      <c r="N144" s="30">
        <f>10.63*W135</f>
        <v>16317.452877000002</v>
      </c>
      <c r="O144" s="29">
        <v>151</v>
      </c>
      <c r="P144" s="47">
        <v>7.4399999999999994E-2</v>
      </c>
      <c r="Q144" s="47">
        <v>9.4399999999999998E-2</v>
      </c>
      <c r="R144" s="54">
        <f t="shared" si="88"/>
        <v>-8.4849246969329953E-3</v>
      </c>
      <c r="S144" s="54">
        <f t="shared" si="89"/>
        <v>-1.956693445541979E-2</v>
      </c>
      <c r="T144" s="54">
        <f t="shared" si="90"/>
        <v>4.8611111111111112E-2</v>
      </c>
      <c r="U144" s="54">
        <f t="shared" si="91"/>
        <v>0</v>
      </c>
      <c r="V144" s="55">
        <f t="shared" si="92"/>
        <v>-3.0000000000000859E-4</v>
      </c>
      <c r="X144" s="64"/>
    </row>
    <row r="145" spans="1:24" ht="15.6">
      <c r="A145" s="172">
        <v>128</v>
      </c>
      <c r="B145" s="171" t="s">
        <v>176</v>
      </c>
      <c r="C145" s="179" t="s">
        <v>45</v>
      </c>
      <c r="D145" s="30">
        <v>26177338854</v>
      </c>
      <c r="E145" s="27">
        <f t="shared" si="87"/>
        <v>1.3203604384622437E-2</v>
      </c>
      <c r="F145" s="30">
        <v>1639.7905150000001</v>
      </c>
      <c r="G145" s="30">
        <v>1655.1156600000002</v>
      </c>
      <c r="H145" s="29">
        <v>460</v>
      </c>
      <c r="I145" s="47">
        <v>6.6E-3</v>
      </c>
      <c r="J145" s="47">
        <v>8.9200000000000002E-2</v>
      </c>
      <c r="K145" s="30">
        <v>26419346942.900002</v>
      </c>
      <c r="L145" s="27">
        <f t="shared" si="86"/>
        <v>1.3263237381669409E-2</v>
      </c>
      <c r="M145" s="30">
        <f>1.07*W135</f>
        <v>1642.4905530000001</v>
      </c>
      <c r="N145" s="30">
        <f>1.08*W135</f>
        <v>1657.8409320000001</v>
      </c>
      <c r="O145" s="29">
        <v>460</v>
      </c>
      <c r="P145" s="47">
        <v>-6.9999999999999999E-4</v>
      </c>
      <c r="Q145" s="47">
        <v>8.6400000000000005E-2</v>
      </c>
      <c r="R145" s="54">
        <f t="shared" si="88"/>
        <v>9.244946182259536E-3</v>
      </c>
      <c r="S145" s="54">
        <f t="shared" si="89"/>
        <v>1.6465749589970673E-3</v>
      </c>
      <c r="T145" s="54">
        <f t="shared" si="90"/>
        <v>0</v>
      </c>
      <c r="U145" s="54">
        <f t="shared" si="91"/>
        <v>-7.3000000000000001E-3</v>
      </c>
      <c r="V145" s="55">
        <f t="shared" si="92"/>
        <v>-2.7999999999999969E-3</v>
      </c>
      <c r="X145" s="64"/>
    </row>
    <row r="146" spans="1:24">
      <c r="A146" s="172">
        <v>129</v>
      </c>
      <c r="B146" s="170" t="s">
        <v>177</v>
      </c>
      <c r="C146" s="171" t="s">
        <v>87</v>
      </c>
      <c r="D146" s="26">
        <v>456968086.97610003</v>
      </c>
      <c r="E146" s="27">
        <f t="shared" si="87"/>
        <v>2.3049042037778409E-4</v>
      </c>
      <c r="F146" s="30">
        <v>1904.02</v>
      </c>
      <c r="G146" s="30">
        <v>1904.02</v>
      </c>
      <c r="H146" s="29">
        <v>2</v>
      </c>
      <c r="I146" s="47">
        <v>9.9579999999999998E-3</v>
      </c>
      <c r="J146" s="47">
        <v>0.116692</v>
      </c>
      <c r="K146" s="26">
        <f>296069.43*1536.79</f>
        <v>454996539.32969999</v>
      </c>
      <c r="L146" s="27">
        <f t="shared" si="86"/>
        <v>2.2842075248910264E-4</v>
      </c>
      <c r="M146" s="30">
        <f>1.23*1536.79</f>
        <v>1890.2517</v>
      </c>
      <c r="N146" s="30">
        <f>1.23*1536.79</f>
        <v>1890.2517</v>
      </c>
      <c r="O146" s="29">
        <v>2</v>
      </c>
      <c r="P146" s="47">
        <v>-5.0010000000000002E-3</v>
      </c>
      <c r="Q146" s="47">
        <v>0.111107</v>
      </c>
      <c r="R146" s="54">
        <f t="shared" si="88"/>
        <v>-4.3144099174329186E-3</v>
      </c>
      <c r="S146" s="54">
        <f t="shared" si="89"/>
        <v>-7.2311740422894479E-3</v>
      </c>
      <c r="T146" s="54">
        <f t="shared" si="90"/>
        <v>0</v>
      </c>
      <c r="U146" s="54">
        <f t="shared" ref="U146" si="99">P146-I146</f>
        <v>-1.4959E-2</v>
      </c>
      <c r="V146" s="55">
        <f t="shared" ref="V146" si="100">Q146-J146</f>
        <v>-5.5850000000000066E-3</v>
      </c>
    </row>
    <row r="147" spans="1:24">
      <c r="A147" s="172">
        <v>130</v>
      </c>
      <c r="B147" s="170" t="s">
        <v>303</v>
      </c>
      <c r="C147" s="171" t="s">
        <v>301</v>
      </c>
      <c r="D147" s="26">
        <v>661509470.14608502</v>
      </c>
      <c r="E147" s="27">
        <f t="shared" si="87"/>
        <v>3.3365917709223051E-4</v>
      </c>
      <c r="F147" s="30">
        <v>1581.5549640000002</v>
      </c>
      <c r="G147" s="30">
        <v>1581.5549640000002</v>
      </c>
      <c r="H147" s="29">
        <v>6</v>
      </c>
      <c r="I147" s="47">
        <v>0.20599999999999999</v>
      </c>
      <c r="J147" s="47">
        <v>7.4399999999999994E-2</v>
      </c>
      <c r="K147" s="26">
        <f>432300.21*W135</f>
        <v>663597206.52795899</v>
      </c>
      <c r="L147" s="27">
        <f t="shared" si="86"/>
        <v>3.3314401355247512E-4</v>
      </c>
      <c r="M147" s="30">
        <f>1.0312*W135</f>
        <v>1582.93108248</v>
      </c>
      <c r="N147" s="30">
        <f>1.0312*W135</f>
        <v>1582.93108248</v>
      </c>
      <c r="O147" s="29">
        <v>7</v>
      </c>
      <c r="P147" s="47">
        <v>8.3400000000000002E-2</v>
      </c>
      <c r="Q147" s="47">
        <v>6.9400000000000003E-2</v>
      </c>
      <c r="R147" s="54">
        <f t="shared" ref="R147" si="101">((K147-D147)/D147)</f>
        <v>3.1560188872472501E-3</v>
      </c>
      <c r="S147" s="54">
        <f t="shared" ref="S147" si="102">((N147-G147)/G147)</f>
        <v>8.7010474585050952E-4</v>
      </c>
      <c r="T147" s="54">
        <f t="shared" si="90"/>
        <v>0.16666666666666666</v>
      </c>
      <c r="U147" s="54">
        <f t="shared" si="91"/>
        <v>-0.12259999999999999</v>
      </c>
      <c r="V147" s="55">
        <f t="shared" si="92"/>
        <v>-4.9999999999999906E-3</v>
      </c>
    </row>
    <row r="148" spans="1:24">
      <c r="A148" s="172">
        <v>131</v>
      </c>
      <c r="B148" s="170" t="s">
        <v>178</v>
      </c>
      <c r="C148" s="171" t="s">
        <v>47</v>
      </c>
      <c r="D148" s="26">
        <v>1089536628367.1</v>
      </c>
      <c r="E148" s="27">
        <f t="shared" si="87"/>
        <v>0.54955206423957714</v>
      </c>
      <c r="F148" s="30">
        <v>2522.59</v>
      </c>
      <c r="G148" s="30">
        <v>2522.59</v>
      </c>
      <c r="H148" s="29">
        <v>11742</v>
      </c>
      <c r="I148" s="47">
        <v>1.2999999999999999E-3</v>
      </c>
      <c r="J148" s="47">
        <v>4.3200000000000002E-2</v>
      </c>
      <c r="K148" s="26">
        <v>1095242935644.6801</v>
      </c>
      <c r="L148" s="27">
        <f t="shared" si="86"/>
        <v>0.54984201833027291</v>
      </c>
      <c r="M148" s="30">
        <v>2527.4</v>
      </c>
      <c r="N148" s="30">
        <v>2527.4</v>
      </c>
      <c r="O148" s="29">
        <v>11816</v>
      </c>
      <c r="P148" s="47">
        <v>1.1999999999999999E-3</v>
      </c>
      <c r="Q148" s="47">
        <v>4.4499999999999998E-2</v>
      </c>
      <c r="R148" s="54">
        <f t="shared" si="88"/>
        <v>5.2373707583674182E-3</v>
      </c>
      <c r="S148" s="54">
        <f t="shared" si="89"/>
        <v>1.906770422462606E-3</v>
      </c>
      <c r="T148" s="54">
        <f t="shared" si="90"/>
        <v>6.3021631749276101E-3</v>
      </c>
      <c r="U148" s="54">
        <f t="shared" si="91"/>
        <v>-1.0000000000000005E-4</v>
      </c>
      <c r="V148" s="55">
        <f t="shared" si="92"/>
        <v>1.2999999999999956E-3</v>
      </c>
    </row>
    <row r="149" spans="1:24">
      <c r="A149" s="172">
        <v>132</v>
      </c>
      <c r="B149" s="170" t="s">
        <v>285</v>
      </c>
      <c r="C149" s="170" t="s">
        <v>97</v>
      </c>
      <c r="D149" s="26">
        <v>556026313.20934498</v>
      </c>
      <c r="E149" s="27">
        <f t="shared" si="87"/>
        <v>2.8045446131872711E-4</v>
      </c>
      <c r="F149" s="30">
        <v>159979.18865500001</v>
      </c>
      <c r="G149" s="30">
        <v>159979.18865500001</v>
      </c>
      <c r="H149" s="29">
        <v>27</v>
      </c>
      <c r="I149" s="47">
        <v>0</v>
      </c>
      <c r="J149" s="47">
        <v>7.4999999999999997E-2</v>
      </c>
      <c r="K149" s="26">
        <f xml:space="preserve">  358528.49*W135</f>
        <v>550354820.37977099</v>
      </c>
      <c r="L149" s="27">
        <f t="shared" si="86"/>
        <v>2.7629322718003872E-4</v>
      </c>
      <c r="M149" s="30">
        <f>104.59*W135</f>
        <v>160549.613961</v>
      </c>
      <c r="N149" s="30">
        <f>104.59*W135</f>
        <v>160549.613961</v>
      </c>
      <c r="O149" s="29">
        <v>28</v>
      </c>
      <c r="P149" s="47">
        <v>0</v>
      </c>
      <c r="Q149" s="47">
        <v>7.5300000000000006E-2</v>
      </c>
      <c r="R149" s="54">
        <f t="shared" ref="R149" si="103">((K149-D149)/D149)</f>
        <v>-1.0200043945471806E-2</v>
      </c>
      <c r="S149" s="54">
        <f t="shared" ref="S149" si="104">((N149-G149)/G149)</f>
        <v>3.565621946177822E-3</v>
      </c>
      <c r="T149" s="54">
        <f t="shared" ref="T149" si="105">((O149-H149)/H149)</f>
        <v>3.7037037037037035E-2</v>
      </c>
      <c r="U149" s="54">
        <f t="shared" ref="U149" si="106">P149-I149</f>
        <v>0</v>
      </c>
      <c r="V149" s="55">
        <f t="shared" ref="V149" si="107">Q149-J149</f>
        <v>3.0000000000000859E-4</v>
      </c>
    </row>
    <row r="150" spans="1:24" ht="16.5" customHeight="1">
      <c r="A150" s="172">
        <v>133</v>
      </c>
      <c r="B150" s="170" t="s">
        <v>179</v>
      </c>
      <c r="C150" s="171" t="s">
        <v>50</v>
      </c>
      <c r="D150" s="26">
        <v>180545204103.96542</v>
      </c>
      <c r="E150" s="27">
        <f t="shared" si="87"/>
        <v>9.1065308885108817E-2</v>
      </c>
      <c r="F150" s="30">
        <v>1851.6296609999999</v>
      </c>
      <c r="G150" s="30">
        <v>1851.6296609999999</v>
      </c>
      <c r="H150" s="29">
        <v>792</v>
      </c>
      <c r="I150" s="47">
        <v>1.1999999999999999E-3</v>
      </c>
      <c r="J150" s="47">
        <v>8.4900000000000003E-2</v>
      </c>
      <c r="K150" s="26">
        <f>118244426.64*1536.79</f>
        <v>181716852416.0856</v>
      </c>
      <c r="L150" s="27">
        <f t="shared" si="86"/>
        <v>9.1226848076653155E-2</v>
      </c>
      <c r="M150" s="30">
        <f>1.2089*1536.79</f>
        <v>1857.825431</v>
      </c>
      <c r="N150" s="30">
        <f>1.2089*1536.79</f>
        <v>1857.825431</v>
      </c>
      <c r="O150" s="29">
        <v>799</v>
      </c>
      <c r="P150" s="47">
        <v>2.5999999999999999E-3</v>
      </c>
      <c r="Q150" s="47">
        <v>8.6699999999999999E-2</v>
      </c>
      <c r="R150" s="54">
        <f t="shared" si="88"/>
        <v>6.4895011636282203E-3</v>
      </c>
      <c r="S150" s="54">
        <f t="shared" si="89"/>
        <v>3.346117277390081E-3</v>
      </c>
      <c r="T150" s="54">
        <f t="shared" si="90"/>
        <v>8.8383838383838381E-3</v>
      </c>
      <c r="U150" s="54">
        <f t="shared" si="91"/>
        <v>1.4E-3</v>
      </c>
      <c r="V150" s="55">
        <f t="shared" si="92"/>
        <v>1.799999999999996E-3</v>
      </c>
    </row>
    <row r="151" spans="1:24" ht="16.5" customHeight="1">
      <c r="A151" s="172">
        <v>134</v>
      </c>
      <c r="B151" s="170" t="s">
        <v>180</v>
      </c>
      <c r="C151" s="171" t="s">
        <v>92</v>
      </c>
      <c r="D151" s="30">
        <v>1259574770.3258998</v>
      </c>
      <c r="E151" s="27">
        <f t="shared" si="87"/>
        <v>6.3531770945057613E-4</v>
      </c>
      <c r="F151" s="30">
        <v>164691.68520000001</v>
      </c>
      <c r="G151" s="30">
        <v>164691.68520000001</v>
      </c>
      <c r="H151" s="29">
        <v>28</v>
      </c>
      <c r="I151" s="47">
        <v>1.2999999999999999E-3</v>
      </c>
      <c r="J151" s="47">
        <v>7.0599999999999996E-2</v>
      </c>
      <c r="K151" s="30">
        <f>821285.35*W135</f>
        <v>1260704138.9647651</v>
      </c>
      <c r="L151" s="27">
        <f t="shared" si="86"/>
        <v>6.3290808433992963E-4</v>
      </c>
      <c r="M151" s="30">
        <f>107.38*W135</f>
        <v>164832.369702</v>
      </c>
      <c r="N151" s="30">
        <f>107.24*W135</f>
        <v>164617.464396</v>
      </c>
      <c r="O151" s="29">
        <v>28</v>
      </c>
      <c r="P151" s="47">
        <v>1.2999999999999999E-3</v>
      </c>
      <c r="Q151" s="47">
        <v>7.0599999999999996E-2</v>
      </c>
      <c r="R151" s="54">
        <f t="shared" si="88"/>
        <v>8.9662691367898856E-4</v>
      </c>
      <c r="S151" s="54">
        <f t="shared" si="89"/>
        <v>-4.5066515598451968E-4</v>
      </c>
      <c r="T151" s="54">
        <f t="shared" si="90"/>
        <v>0</v>
      </c>
      <c r="U151" s="54">
        <f t="shared" si="91"/>
        <v>0</v>
      </c>
      <c r="V151" s="55">
        <f t="shared" si="92"/>
        <v>0</v>
      </c>
    </row>
    <row r="152" spans="1:24" ht="16.5" customHeight="1">
      <c r="A152" s="172">
        <v>135</v>
      </c>
      <c r="B152" s="170" t="s">
        <v>305</v>
      </c>
      <c r="C152" s="171" t="s">
        <v>103</v>
      </c>
      <c r="D152" s="30">
        <v>1501639083.6199501</v>
      </c>
      <c r="E152" s="27">
        <f t="shared" si="87"/>
        <v>7.5741268045568123E-4</v>
      </c>
      <c r="F152" s="30">
        <v>1670.4408050000002</v>
      </c>
      <c r="G152" s="30">
        <v>1670.4408050000002</v>
      </c>
      <c r="H152" s="29">
        <v>29</v>
      </c>
      <c r="I152" s="47">
        <v>6.9900000000000004E-2</v>
      </c>
      <c r="J152" s="47">
        <v>7.2700000000000001E-2</v>
      </c>
      <c r="K152" s="30">
        <f>979536.32*W135</f>
        <v>1503625375.626528</v>
      </c>
      <c r="L152" s="27">
        <f t="shared" si="86"/>
        <v>7.5486121338044603E-4</v>
      </c>
      <c r="M152" s="30">
        <f>1.08*W135</f>
        <v>1657.8409320000001</v>
      </c>
      <c r="N152" s="30">
        <f>1.08*W135</f>
        <v>1657.8409320000001</v>
      </c>
      <c r="O152" s="29">
        <v>31</v>
      </c>
      <c r="P152" s="47">
        <v>7.4300000000000005E-2</v>
      </c>
      <c r="Q152" s="47">
        <v>8.3099999999999993E-2</v>
      </c>
      <c r="R152" s="54">
        <f t="shared" ref="R152" si="108">((K152-D152)/D152)</f>
        <v>1.3227492732738964E-3</v>
      </c>
      <c r="S152" s="54">
        <f t="shared" ref="S152" si="109">((N152-G152)/G152)</f>
        <v>-7.5428431598928251E-3</v>
      </c>
      <c r="T152" s="54">
        <f t="shared" si="90"/>
        <v>6.8965517241379309E-2</v>
      </c>
      <c r="U152" s="54">
        <f t="shared" si="91"/>
        <v>4.4000000000000011E-3</v>
      </c>
      <c r="V152" s="55">
        <f t="shared" si="92"/>
        <v>1.0399999999999993E-2</v>
      </c>
    </row>
    <row r="153" spans="1:24">
      <c r="A153" s="172">
        <v>136</v>
      </c>
      <c r="B153" s="170" t="s">
        <v>181</v>
      </c>
      <c r="C153" s="171" t="s">
        <v>105</v>
      </c>
      <c r="D153" s="30">
        <v>2004042285.370235</v>
      </c>
      <c r="E153" s="27">
        <f t="shared" si="87"/>
        <v>1.0108201469088568E-3</v>
      </c>
      <c r="F153" s="30">
        <v>2114.8700099999996</v>
      </c>
      <c r="G153" s="30">
        <v>2114.8700099999996</v>
      </c>
      <c r="H153" s="29">
        <v>104</v>
      </c>
      <c r="I153" s="47">
        <v>1.66E-2</v>
      </c>
      <c r="J153" s="47">
        <v>0.1067</v>
      </c>
      <c r="K153" s="30">
        <f xml:space="preserve"> 1293793.31 *W135</f>
        <v>1986021765.6164491</v>
      </c>
      <c r="L153" s="27">
        <f t="shared" si="86"/>
        <v>9.9703744303233552E-4</v>
      </c>
      <c r="M153" s="30">
        <f>1.36*W135</f>
        <v>2087.6515440000003</v>
      </c>
      <c r="N153" s="30">
        <f>1.36*W135</f>
        <v>2087.6515440000003</v>
      </c>
      <c r="O153" s="29">
        <v>104</v>
      </c>
      <c r="P153" s="47">
        <v>-9.4000000000000004E-3</v>
      </c>
      <c r="Q153" s="47">
        <v>9.1200000000000003E-2</v>
      </c>
      <c r="R153" s="54">
        <f t="shared" si="88"/>
        <v>-8.9920855888810068E-3</v>
      </c>
      <c r="S153" s="54">
        <f t="shared" si="89"/>
        <v>-1.2870042069393834E-2</v>
      </c>
      <c r="T153" s="54">
        <f t="shared" si="90"/>
        <v>0</v>
      </c>
      <c r="U153" s="54">
        <f t="shared" si="91"/>
        <v>-2.6000000000000002E-2</v>
      </c>
      <c r="V153" s="55">
        <f t="shared" si="92"/>
        <v>-1.55E-2</v>
      </c>
    </row>
    <row r="154" spans="1:24">
      <c r="A154" s="33"/>
      <c r="B154" s="34"/>
      <c r="C154" s="68" t="s">
        <v>51</v>
      </c>
      <c r="D154" s="45">
        <f>SUM(D116:D153)</f>
        <v>1982590366346.2842</v>
      </c>
      <c r="E154" s="37">
        <f>(D154/$D$226)</f>
        <v>0.30733317402596094</v>
      </c>
      <c r="F154" s="38"/>
      <c r="G154" s="42"/>
      <c r="H154" s="40">
        <f>SUM(H116:H153)</f>
        <v>26330</v>
      </c>
      <c r="I154" s="77"/>
      <c r="J154" s="77"/>
      <c r="K154" s="45">
        <f>SUM(K116:K153)</f>
        <v>1991922950833.4917</v>
      </c>
      <c r="L154" s="37">
        <f>(K154/$K$226)</f>
        <v>0.30626894321445464</v>
      </c>
      <c r="M154" s="38"/>
      <c r="N154" s="42"/>
      <c r="O154" s="40">
        <f>SUM(O116:O153)</f>
        <v>26499</v>
      </c>
      <c r="P154" s="77"/>
      <c r="Q154" s="77"/>
      <c r="R154" s="54">
        <f t="shared" si="88"/>
        <v>4.7072681506097197E-3</v>
      </c>
      <c r="S154" s="54" t="e">
        <f t="shared" si="89"/>
        <v>#DIV/0!</v>
      </c>
      <c r="T154" s="54">
        <f t="shared" si="90"/>
        <v>6.4185339916445119E-3</v>
      </c>
      <c r="U154" s="54">
        <f t="shared" si="91"/>
        <v>0</v>
      </c>
      <c r="V154" s="55">
        <f t="shared" si="92"/>
        <v>0</v>
      </c>
    </row>
    <row r="155" spans="1:24" ht="6" customHeight="1">
      <c r="A155" s="33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</row>
    <row r="156" spans="1:24">
      <c r="A156" s="184" t="s">
        <v>182</v>
      </c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</row>
    <row r="157" spans="1:24">
      <c r="A157" s="172">
        <v>137</v>
      </c>
      <c r="B157" s="170" t="s">
        <v>183</v>
      </c>
      <c r="C157" s="171" t="s">
        <v>184</v>
      </c>
      <c r="D157" s="69">
        <v>2482983151.1999998</v>
      </c>
      <c r="E157" s="27">
        <f>(D157/$D$163)</f>
        <v>6.8549362391474673E-3</v>
      </c>
      <c r="F157" s="57">
        <v>117.01</v>
      </c>
      <c r="G157" s="57">
        <v>117.01</v>
      </c>
      <c r="H157" s="29">
        <v>8</v>
      </c>
      <c r="I157" s="47">
        <v>4.0000000000000001E-3</v>
      </c>
      <c r="J157" s="47">
        <v>0.10979999999999999</v>
      </c>
      <c r="K157" s="69">
        <v>2492915083.8000002</v>
      </c>
      <c r="L157" s="27">
        <f>(K157/$K$163)</f>
        <v>6.8700589968812243E-3</v>
      </c>
      <c r="M157" s="57">
        <v>117.48</v>
      </c>
      <c r="N157" s="57">
        <v>117.48</v>
      </c>
      <c r="O157" s="29">
        <v>8</v>
      </c>
      <c r="P157" s="47">
        <v>4.0000000000000001E-3</v>
      </c>
      <c r="Q157" s="47">
        <v>0.1142</v>
      </c>
      <c r="R157" s="54">
        <f t="shared" ref="R157:R163" si="110">((K157-D157)/D157)</f>
        <v>3.9999999980669951E-3</v>
      </c>
      <c r="S157" s="54">
        <f t="shared" ref="S157:T163" si="111">((N157-G157)/G157)</f>
        <v>4.0167507050679332E-3</v>
      </c>
      <c r="T157" s="54">
        <f t="shared" si="111"/>
        <v>0</v>
      </c>
      <c r="U157" s="54">
        <f t="shared" ref="U157:V163" si="112">P157-I157</f>
        <v>0</v>
      </c>
      <c r="V157" s="55">
        <f t="shared" si="112"/>
        <v>4.4000000000000011E-3</v>
      </c>
    </row>
    <row r="158" spans="1:24">
      <c r="A158" s="172">
        <v>138</v>
      </c>
      <c r="B158" s="170" t="s">
        <v>312</v>
      </c>
      <c r="C158" s="171" t="s">
        <v>21</v>
      </c>
      <c r="D158" s="69">
        <v>256617686129.07999</v>
      </c>
      <c r="E158" s="27">
        <v>0</v>
      </c>
      <c r="F158" s="57">
        <v>102.64709999999999</v>
      </c>
      <c r="G158" s="57">
        <v>102.64709999999999</v>
      </c>
      <c r="H158" s="29">
        <v>45</v>
      </c>
      <c r="I158" s="47">
        <v>0.1734</v>
      </c>
      <c r="J158" s="47">
        <v>6.4000000000000001E-2</v>
      </c>
      <c r="K158" s="69">
        <v>257218781097.34</v>
      </c>
      <c r="L158" s="27">
        <f t="shared" ref="L158:L159" si="113">(K158/$K$163)</f>
        <v>0.70885214371239813</v>
      </c>
      <c r="M158" s="57">
        <v>102.8875</v>
      </c>
      <c r="N158" s="57">
        <v>102.8875</v>
      </c>
      <c r="O158" s="29">
        <v>45</v>
      </c>
      <c r="P158" s="47">
        <v>0.1221</v>
      </c>
      <c r="Q158" s="47">
        <v>6.6699999999999995E-2</v>
      </c>
      <c r="R158" s="54">
        <f t="shared" ref="R158" si="114">((K158-D158)/D158)</f>
        <v>2.342375450917502E-3</v>
      </c>
      <c r="S158" s="54">
        <f t="shared" ref="S158" si="115">((N158-G158)/G158)</f>
        <v>2.3420047911729427E-3</v>
      </c>
      <c r="T158" s="54">
        <f t="shared" ref="T158" si="116">((O158-H158)/H158)</f>
        <v>0</v>
      </c>
      <c r="U158" s="54">
        <f t="shared" ref="U158" si="117">P158-I158</f>
        <v>-5.1299999999999998E-2</v>
      </c>
      <c r="V158" s="55">
        <f t="shared" ref="V158" si="118">Q158-J158</f>
        <v>2.6999999999999941E-3</v>
      </c>
    </row>
    <row r="159" spans="1:24">
      <c r="A159" s="172">
        <v>139</v>
      </c>
      <c r="B159" s="170" t="s">
        <v>185</v>
      </c>
      <c r="C159" s="171" t="s">
        <v>45</v>
      </c>
      <c r="D159" s="26">
        <v>57062508820</v>
      </c>
      <c r="E159" s="27">
        <f>(D159/$D$163)</f>
        <v>0.1575362520755916</v>
      </c>
      <c r="F159" s="57">
        <v>102.5</v>
      </c>
      <c r="G159" s="57">
        <v>102.5</v>
      </c>
      <c r="H159" s="29">
        <v>645</v>
      </c>
      <c r="I159" s="47">
        <v>8.3900000000000002E-2</v>
      </c>
      <c r="J159" s="47">
        <v>8.3900000000000002E-2</v>
      </c>
      <c r="K159" s="26">
        <v>57062508820</v>
      </c>
      <c r="L159" s="27">
        <f t="shared" si="113"/>
        <v>0.15725477560426449</v>
      </c>
      <c r="M159" s="57">
        <v>102.5</v>
      </c>
      <c r="N159" s="57">
        <v>102.5</v>
      </c>
      <c r="O159" s="29">
        <v>645</v>
      </c>
      <c r="P159" s="47">
        <v>8.3900000000000002E-2</v>
      </c>
      <c r="Q159" s="47">
        <v>8.3900000000000002E-2</v>
      </c>
      <c r="R159" s="54">
        <f t="shared" si="110"/>
        <v>0</v>
      </c>
      <c r="S159" s="54">
        <f t="shared" si="111"/>
        <v>0</v>
      </c>
      <c r="T159" s="54">
        <f t="shared" si="111"/>
        <v>0</v>
      </c>
      <c r="U159" s="54">
        <f t="shared" si="112"/>
        <v>0</v>
      </c>
      <c r="V159" s="55">
        <f t="shared" si="112"/>
        <v>0</v>
      </c>
    </row>
    <row r="160" spans="1:24" ht="15.75" customHeight="1">
      <c r="A160" s="172">
        <v>140</v>
      </c>
      <c r="B160" s="170" t="s">
        <v>186</v>
      </c>
      <c r="C160" s="171" t="s">
        <v>140</v>
      </c>
      <c r="D160" s="26">
        <v>2554205624.8600001</v>
      </c>
      <c r="E160" s="27">
        <f>(D160/$D$163)</f>
        <v>7.0515648451441315E-3</v>
      </c>
      <c r="F160" s="57">
        <v>149.21</v>
      </c>
      <c r="G160" s="57">
        <v>149.21</v>
      </c>
      <c r="H160" s="29">
        <v>3552</v>
      </c>
      <c r="I160" s="47">
        <v>9.3600000000000003E-2</v>
      </c>
      <c r="J160" s="47">
        <v>7.3200000000000001E-2</v>
      </c>
      <c r="K160" s="26">
        <v>2559737537.9499998</v>
      </c>
      <c r="L160" s="27">
        <f>(K160/$K$163)</f>
        <v>7.0542105571610525E-3</v>
      </c>
      <c r="M160" s="57">
        <v>274.14999999999998</v>
      </c>
      <c r="N160" s="57">
        <v>274.14999999999998</v>
      </c>
      <c r="O160" s="29">
        <v>3552</v>
      </c>
      <c r="P160" s="47">
        <v>0.1353</v>
      </c>
      <c r="Q160" s="47">
        <v>7.5200000000000003E-2</v>
      </c>
      <c r="R160" s="54">
        <f t="shared" si="110"/>
        <v>2.1658056955782047E-3</v>
      </c>
      <c r="S160" s="54">
        <f t="shared" si="111"/>
        <v>0.8373433415990883</v>
      </c>
      <c r="T160" s="54">
        <f t="shared" si="111"/>
        <v>0</v>
      </c>
      <c r="U160" s="54">
        <f t="shared" si="112"/>
        <v>4.1700000000000001E-2</v>
      </c>
      <c r="V160" s="55">
        <f t="shared" si="112"/>
        <v>2.0000000000000018E-3</v>
      </c>
    </row>
    <row r="161" spans="1:22">
      <c r="A161" s="172">
        <v>141</v>
      </c>
      <c r="B161" s="170" t="s">
        <v>187</v>
      </c>
      <c r="C161" s="171" t="s">
        <v>140</v>
      </c>
      <c r="D161" s="26">
        <v>10233980412.84</v>
      </c>
      <c r="E161" s="27">
        <f>(D161/$D$163)</f>
        <v>2.8253628369889632E-2</v>
      </c>
      <c r="F161" s="57">
        <v>59.45</v>
      </c>
      <c r="G161" s="57">
        <v>59.45</v>
      </c>
      <c r="H161" s="29">
        <v>5482</v>
      </c>
      <c r="I161" s="47">
        <v>3.5099999999999999E-2</v>
      </c>
      <c r="J161" s="47">
        <v>0.1249</v>
      </c>
      <c r="K161" s="26">
        <v>10247201423.190001</v>
      </c>
      <c r="L161" s="27">
        <f>(K161/$K$163)</f>
        <v>2.8239581359077073E-2</v>
      </c>
      <c r="M161" s="57">
        <v>57.6</v>
      </c>
      <c r="N161" s="57">
        <v>57.6</v>
      </c>
      <c r="O161" s="29">
        <v>5482</v>
      </c>
      <c r="P161" s="47">
        <v>6.1400000000000003E-2</v>
      </c>
      <c r="Q161" s="47">
        <v>0.12870000000000001</v>
      </c>
      <c r="R161" s="54">
        <f t="shared" si="110"/>
        <v>1.2918737203574009E-3</v>
      </c>
      <c r="S161" s="54">
        <f t="shared" si="111"/>
        <v>-3.1118587047939468E-2</v>
      </c>
      <c r="T161" s="54">
        <f t="shared" si="111"/>
        <v>0</v>
      </c>
      <c r="U161" s="54">
        <f t="shared" si="112"/>
        <v>2.6300000000000004E-2</v>
      </c>
      <c r="V161" s="55">
        <f t="shared" si="112"/>
        <v>3.8000000000000117E-3</v>
      </c>
    </row>
    <row r="162" spans="1:22">
      <c r="A162" s="172">
        <v>142</v>
      </c>
      <c r="B162" s="170" t="s">
        <v>188</v>
      </c>
      <c r="C162" s="171" t="s">
        <v>47</v>
      </c>
      <c r="D162" s="26">
        <v>33266906692.91</v>
      </c>
      <c r="E162" s="27">
        <f>(D162/$D$163)</f>
        <v>9.1842155329711198E-2</v>
      </c>
      <c r="F162" s="57">
        <v>8</v>
      </c>
      <c r="G162" s="57">
        <v>8</v>
      </c>
      <c r="H162" s="29">
        <v>208914</v>
      </c>
      <c r="I162" s="47">
        <v>-9.4899999999999998E-2</v>
      </c>
      <c r="J162" s="47">
        <v>0.43</v>
      </c>
      <c r="K162" s="26">
        <v>33285475513.869999</v>
      </c>
      <c r="L162" s="27">
        <f>(K162/$K$163)</f>
        <v>9.1729229770217927E-2</v>
      </c>
      <c r="M162" s="57">
        <v>7.9</v>
      </c>
      <c r="N162" s="57">
        <v>7.9</v>
      </c>
      <c r="O162" s="29">
        <v>208914</v>
      </c>
      <c r="P162" s="47">
        <v>0.10489999999999999</v>
      </c>
      <c r="Q162" s="47">
        <v>0.57999999999999996</v>
      </c>
      <c r="R162" s="54">
        <f t="shared" si="110"/>
        <v>5.5817696341320963E-4</v>
      </c>
      <c r="S162" s="54">
        <f t="shared" si="111"/>
        <v>-1.2499999999999956E-2</v>
      </c>
      <c r="T162" s="54">
        <f t="shared" si="111"/>
        <v>0</v>
      </c>
      <c r="U162" s="54">
        <f t="shared" si="112"/>
        <v>0.19979999999999998</v>
      </c>
      <c r="V162" s="55">
        <f t="shared" si="112"/>
        <v>0.14999999999999997</v>
      </c>
    </row>
    <row r="163" spans="1:22">
      <c r="A163" s="33"/>
      <c r="B163" s="70"/>
      <c r="C163" s="35" t="s">
        <v>51</v>
      </c>
      <c r="D163" s="36">
        <f>SUM(D157:D162)</f>
        <v>362218270830.89001</v>
      </c>
      <c r="E163" s="37">
        <f>(D163/$D$226)</f>
        <v>5.6149617568155195E-2</v>
      </c>
      <c r="F163" s="38"/>
      <c r="G163" s="71"/>
      <c r="H163" s="40">
        <f>SUM(H157:H162)</f>
        <v>218646</v>
      </c>
      <c r="I163" s="78"/>
      <c r="J163" s="78"/>
      <c r="K163" s="36">
        <f>SUM(K157:K162)</f>
        <v>362866619476.15002</v>
      </c>
      <c r="L163" s="37">
        <f>(K163/$K$226)</f>
        <v>5.5792708261260489E-2</v>
      </c>
      <c r="M163" s="38"/>
      <c r="N163" s="71"/>
      <c r="O163" s="40">
        <f>SUM(O157:O162)</f>
        <v>218646</v>
      </c>
      <c r="P163" s="78"/>
      <c r="Q163" s="78"/>
      <c r="R163" s="54">
        <f t="shared" si="110"/>
        <v>1.7899390988001993E-3</v>
      </c>
      <c r="S163" s="54" t="e">
        <f t="shared" si="111"/>
        <v>#DIV/0!</v>
      </c>
      <c r="T163" s="54">
        <f t="shared" si="111"/>
        <v>0</v>
      </c>
      <c r="U163" s="54">
        <f t="shared" si="112"/>
        <v>0</v>
      </c>
      <c r="V163" s="55">
        <f t="shared" si="112"/>
        <v>0</v>
      </c>
    </row>
    <row r="164" spans="1:22" ht="5.25" customHeight="1">
      <c r="A164" s="33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</row>
    <row r="165" spans="1:22" ht="15" customHeight="1">
      <c r="A165" s="184" t="s">
        <v>189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</row>
    <row r="166" spans="1:22">
      <c r="A166" s="173">
        <v>143</v>
      </c>
      <c r="B166" s="170" t="s">
        <v>190</v>
      </c>
      <c r="C166" s="171" t="s">
        <v>55</v>
      </c>
      <c r="D166" s="30">
        <v>516241201.17000002</v>
      </c>
      <c r="E166" s="27">
        <f t="shared" ref="E166:E193" si="119">(D166/$D$194)</f>
        <v>6.7722430057113236E-3</v>
      </c>
      <c r="F166" s="30">
        <v>7.4288999999999996</v>
      </c>
      <c r="G166" s="30">
        <v>7.5068000000000001</v>
      </c>
      <c r="H166" s="31">
        <v>11877</v>
      </c>
      <c r="I166" s="48">
        <v>-4.0260000000000001E-3</v>
      </c>
      <c r="J166" s="48">
        <v>0.300095</v>
      </c>
      <c r="K166" s="30">
        <v>529215848.92000002</v>
      </c>
      <c r="L166" s="51">
        <f t="shared" ref="L166:L193" si="120">(K166/$K$194)</f>
        <v>6.9947334788271649E-3</v>
      </c>
      <c r="M166" s="30">
        <v>7.4024999999999999</v>
      </c>
      <c r="N166" s="30">
        <v>7.4771999999999998</v>
      </c>
      <c r="O166" s="31">
        <v>11885</v>
      </c>
      <c r="P166" s="48">
        <v>-4.6210000000000001E-3</v>
      </c>
      <c r="Q166" s="48">
        <v>0.29547499999999999</v>
      </c>
      <c r="R166" s="54">
        <f>((K166-D166)/D166)</f>
        <v>2.5132917947258929E-2</v>
      </c>
      <c r="S166" s="54">
        <f>((N166-G166)/G166)</f>
        <v>-3.9430915969521354E-3</v>
      </c>
      <c r="T166" s="54">
        <f>((O166-H166)/H166)</f>
        <v>6.7357076702871091E-4</v>
      </c>
      <c r="U166" s="54">
        <f>P166-I166</f>
        <v>-5.9500000000000004E-4</v>
      </c>
      <c r="V166" s="55">
        <f>Q166-J166</f>
        <v>-4.620000000000013E-3</v>
      </c>
    </row>
    <row r="167" spans="1:22">
      <c r="A167" s="173">
        <v>144</v>
      </c>
      <c r="B167" s="170" t="s">
        <v>191</v>
      </c>
      <c r="C167" s="170" t="s">
        <v>192</v>
      </c>
      <c r="D167" s="30">
        <v>1043874422.3679399</v>
      </c>
      <c r="E167" s="27">
        <f t="shared" si="119"/>
        <v>1.3693930743420577E-2</v>
      </c>
      <c r="F167" s="30">
        <v>2160.1758112212401</v>
      </c>
      <c r="G167" s="30">
        <v>2185.5963010394098</v>
      </c>
      <c r="H167" s="31">
        <v>156</v>
      </c>
      <c r="I167" s="48">
        <v>-3.9300000000000002E-2</v>
      </c>
      <c r="J167" s="48">
        <v>0.43469999999999998</v>
      </c>
      <c r="K167" s="30">
        <v>1031029226.63253</v>
      </c>
      <c r="L167" s="51">
        <f t="shared" si="120"/>
        <v>1.3627283959641997E-2</v>
      </c>
      <c r="M167" s="30">
        <v>2134.1238932083502</v>
      </c>
      <c r="N167" s="30">
        <v>2159.09640033387</v>
      </c>
      <c r="O167" s="31">
        <v>156</v>
      </c>
      <c r="P167" s="48">
        <v>-1.21E-2</v>
      </c>
      <c r="Q167" s="48">
        <v>0.41739999999999999</v>
      </c>
      <c r="R167" s="54">
        <f>((K167-D167)/D167)</f>
        <v>-1.2305307477763221E-2</v>
      </c>
      <c r="S167" s="54">
        <f>((N167-G167)/G167)</f>
        <v>-1.2124792072962985E-2</v>
      </c>
      <c r="T167" s="54">
        <f>((O167-H167)/H167)</f>
        <v>0</v>
      </c>
      <c r="U167" s="54">
        <f>P167-I167</f>
        <v>2.7200000000000002E-2</v>
      </c>
      <c r="V167" s="55">
        <f>Q167-J167</f>
        <v>-1.7299999999999982E-2</v>
      </c>
    </row>
    <row r="168" spans="1:22">
      <c r="A168" s="173">
        <v>145</v>
      </c>
      <c r="B168" s="170" t="s">
        <v>193</v>
      </c>
      <c r="C168" s="171" t="s">
        <v>21</v>
      </c>
      <c r="D168" s="30">
        <v>8864731977.4200001</v>
      </c>
      <c r="E168" s="27">
        <f t="shared" si="119"/>
        <v>0.11629083264862981</v>
      </c>
      <c r="F168" s="30">
        <v>983.31820000000005</v>
      </c>
      <c r="G168" s="30">
        <v>1012.966</v>
      </c>
      <c r="H168" s="31">
        <v>21669</v>
      </c>
      <c r="I168" s="48">
        <v>-0.17960000000000001</v>
      </c>
      <c r="J168" s="48">
        <v>0.38119999999999998</v>
      </c>
      <c r="K168" s="30">
        <v>8782964935.5699997</v>
      </c>
      <c r="L168" s="51">
        <f t="shared" si="120"/>
        <v>0.11608590143996882</v>
      </c>
      <c r="M168" s="30">
        <v>973.54219999999998</v>
      </c>
      <c r="N168" s="30">
        <v>1002.8953</v>
      </c>
      <c r="O168" s="31">
        <v>21686</v>
      </c>
      <c r="P168" s="48">
        <v>-0.51839999999999997</v>
      </c>
      <c r="Q168" s="48">
        <v>0.35060000000000002</v>
      </c>
      <c r="R168" s="54">
        <f t="shared" ref="R168:R193" si="121">((K168-D168)/D168)</f>
        <v>-9.2238594531989376E-3</v>
      </c>
      <c r="S168" s="54">
        <f t="shared" ref="S168:T193" si="122">((N168-G168)/G168)</f>
        <v>-9.9417946900488153E-3</v>
      </c>
      <c r="T168" s="54">
        <f t="shared" si="122"/>
        <v>7.8453089667266599E-4</v>
      </c>
      <c r="U168" s="54">
        <f t="shared" ref="U168:V193" si="123">P168-I168</f>
        <v>-0.33879999999999999</v>
      </c>
      <c r="V168" s="55">
        <f t="shared" si="123"/>
        <v>-3.0599999999999961E-2</v>
      </c>
    </row>
    <row r="169" spans="1:22">
      <c r="A169" s="173">
        <v>146</v>
      </c>
      <c r="B169" s="170" t="s">
        <v>194</v>
      </c>
      <c r="C169" s="171" t="s">
        <v>107</v>
      </c>
      <c r="D169" s="30">
        <v>5712165638.5699997</v>
      </c>
      <c r="E169" s="27">
        <f t="shared" si="119"/>
        <v>7.4934301457530134E-2</v>
      </c>
      <c r="F169" s="30">
        <v>33.459699999999998</v>
      </c>
      <c r="G169" s="30">
        <v>33.911700000000003</v>
      </c>
      <c r="H169" s="29">
        <v>6155</v>
      </c>
      <c r="I169" s="47">
        <v>-5.5999999999999999E-3</v>
      </c>
      <c r="J169" s="47">
        <v>0.57450000000000001</v>
      </c>
      <c r="K169" s="30">
        <v>5588040399.21</v>
      </c>
      <c r="L169" s="51">
        <f t="shared" si="120"/>
        <v>7.3858054971633225E-2</v>
      </c>
      <c r="M169" s="30">
        <v>32.789499999999997</v>
      </c>
      <c r="N169" s="30">
        <v>33.229799999999997</v>
      </c>
      <c r="O169" s="29">
        <v>6152</v>
      </c>
      <c r="P169" s="47">
        <v>-8.6E-3</v>
      </c>
      <c r="Q169" s="47">
        <v>0.54290000000000005</v>
      </c>
      <c r="R169" s="54">
        <f t="shared" si="121"/>
        <v>-2.1729978998135904E-2</v>
      </c>
      <c r="S169" s="54">
        <f t="shared" si="122"/>
        <v>-2.0108104282592906E-2</v>
      </c>
      <c r="T169" s="54">
        <f t="shared" si="122"/>
        <v>-4.8740861088545896E-4</v>
      </c>
      <c r="U169" s="54">
        <f t="shared" si="123"/>
        <v>-3.0000000000000001E-3</v>
      </c>
      <c r="V169" s="55">
        <f t="shared" si="123"/>
        <v>-3.1599999999999961E-2</v>
      </c>
    </row>
    <row r="170" spans="1:22">
      <c r="A170" s="173">
        <v>147</v>
      </c>
      <c r="B170" s="170" t="s">
        <v>195</v>
      </c>
      <c r="C170" s="171" t="s">
        <v>116</v>
      </c>
      <c r="D170" s="26">
        <v>2481106019.4699998</v>
      </c>
      <c r="E170" s="27">
        <f t="shared" si="119"/>
        <v>3.254806638583424E-2</v>
      </c>
      <c r="F170" s="30">
        <v>5.9156000000000004</v>
      </c>
      <c r="G170" s="30">
        <v>6.0639000000000003</v>
      </c>
      <c r="H170" s="29">
        <v>2739</v>
      </c>
      <c r="I170" s="47">
        <v>-1.0102</v>
      </c>
      <c r="J170" s="47">
        <v>0.48230000000000001</v>
      </c>
      <c r="K170" s="26">
        <v>2471874684.5900002</v>
      </c>
      <c r="L170" s="51">
        <f t="shared" si="120"/>
        <v>3.2671176887562769E-2</v>
      </c>
      <c r="M170" s="30">
        <v>5.8982999999999999</v>
      </c>
      <c r="N170" s="30">
        <v>6.0366</v>
      </c>
      <c r="O170" s="29">
        <v>2739</v>
      </c>
      <c r="P170" s="47">
        <v>0.23469999999999999</v>
      </c>
      <c r="Q170" s="47">
        <v>0.4587</v>
      </c>
      <c r="R170" s="54">
        <f t="shared" si="121"/>
        <v>-3.7206531311272158E-3</v>
      </c>
      <c r="S170" s="54">
        <f t="shared" si="122"/>
        <v>-4.502053134121658E-3</v>
      </c>
      <c r="T170" s="54">
        <f t="shared" si="122"/>
        <v>0</v>
      </c>
      <c r="U170" s="54">
        <f t="shared" si="123"/>
        <v>1.2448999999999999</v>
      </c>
      <c r="V170" s="55">
        <f t="shared" si="123"/>
        <v>-2.360000000000001E-2</v>
      </c>
    </row>
    <row r="171" spans="1:22">
      <c r="A171" s="173">
        <v>148</v>
      </c>
      <c r="B171" s="170" t="s">
        <v>304</v>
      </c>
      <c r="C171" s="171" t="s">
        <v>25</v>
      </c>
      <c r="D171" s="26">
        <v>940650491.63999999</v>
      </c>
      <c r="E171" s="27">
        <f t="shared" si="119"/>
        <v>1.2339801043369535E-2</v>
      </c>
      <c r="F171" s="30">
        <v>1.1272</v>
      </c>
      <c r="G171" s="30">
        <v>1.1332</v>
      </c>
      <c r="H171" s="29">
        <v>205</v>
      </c>
      <c r="I171" s="47">
        <v>-5.5999999999999999E-3</v>
      </c>
      <c r="J171" s="47">
        <v>0.13020000000000001</v>
      </c>
      <c r="K171" s="26">
        <v>929008496.76999998</v>
      </c>
      <c r="L171" s="51">
        <f t="shared" si="120"/>
        <v>1.2278859085065544E-2</v>
      </c>
      <c r="M171" s="30">
        <v>1.1207</v>
      </c>
      <c r="N171" s="30">
        <v>1.1207</v>
      </c>
      <c r="O171" s="29">
        <v>205</v>
      </c>
      <c r="P171" s="47">
        <v>-1.1299999999999999E-2</v>
      </c>
      <c r="Q171" s="47">
        <v>0.12379999999999999</v>
      </c>
      <c r="R171" s="54">
        <f t="shared" ref="R171" si="124">((K171-D171)/D171)</f>
        <v>-1.2376536209216757E-2</v>
      </c>
      <c r="S171" s="54">
        <f t="shared" ref="S171" si="125">((N171-G171)/G171)</f>
        <v>-1.1030709495234695E-2</v>
      </c>
      <c r="T171" s="54">
        <f t="shared" ref="T171" si="126">((O171-H171)/H171)</f>
        <v>0</v>
      </c>
      <c r="U171" s="54">
        <f t="shared" ref="U171" si="127">P171-I171</f>
        <v>-5.6999999999999993E-3</v>
      </c>
      <c r="V171" s="55">
        <f t="shared" ref="V171" si="128">Q171-J171</f>
        <v>-6.4000000000000168E-3</v>
      </c>
    </row>
    <row r="172" spans="1:22">
      <c r="A172" s="173">
        <v>149</v>
      </c>
      <c r="B172" s="170" t="s">
        <v>196</v>
      </c>
      <c r="C172" s="171" t="s">
        <v>63</v>
      </c>
      <c r="D172" s="30">
        <v>6213872818.5100002</v>
      </c>
      <c r="E172" s="27">
        <f t="shared" si="119"/>
        <v>8.1515881797424292E-2</v>
      </c>
      <c r="F172" s="30">
        <v>11447.87</v>
      </c>
      <c r="G172" s="30">
        <v>11542.61</v>
      </c>
      <c r="H172" s="29">
        <v>1251</v>
      </c>
      <c r="I172" s="47">
        <v>-0.32150000000000001</v>
      </c>
      <c r="J172" s="47">
        <v>0.80089999999999995</v>
      </c>
      <c r="K172" s="30">
        <v>6160550686.5900002</v>
      </c>
      <c r="L172" s="51">
        <f t="shared" si="120"/>
        <v>8.1425018210323385E-2</v>
      </c>
      <c r="M172" s="30">
        <v>11358.64</v>
      </c>
      <c r="N172" s="30">
        <v>11451.61</v>
      </c>
      <c r="O172" s="29">
        <v>1258</v>
      </c>
      <c r="P172" s="47">
        <v>-0.40639999999999998</v>
      </c>
      <c r="Q172" s="47">
        <v>0.75880000000000003</v>
      </c>
      <c r="R172" s="54">
        <f t="shared" si="121"/>
        <v>-8.5811431095215076E-3</v>
      </c>
      <c r="S172" s="54">
        <f t="shared" si="122"/>
        <v>-7.8838321662085091E-3</v>
      </c>
      <c r="T172" s="54">
        <f t="shared" si="122"/>
        <v>5.5955235811350921E-3</v>
      </c>
      <c r="U172" s="54">
        <f t="shared" si="123"/>
        <v>-8.4899999999999975E-2</v>
      </c>
      <c r="V172" s="55">
        <f t="shared" si="123"/>
        <v>-4.2099999999999915E-2</v>
      </c>
    </row>
    <row r="173" spans="1:22">
      <c r="A173" s="173">
        <v>150</v>
      </c>
      <c r="B173" s="170" t="s">
        <v>197</v>
      </c>
      <c r="C173" s="171" t="s">
        <v>65</v>
      </c>
      <c r="D173" s="30">
        <v>1054297603.03</v>
      </c>
      <c r="E173" s="27">
        <f t="shared" si="119"/>
        <v>1.3830665882297368E-2</v>
      </c>
      <c r="F173" s="30">
        <v>230.13</v>
      </c>
      <c r="G173" s="30">
        <v>231.95</v>
      </c>
      <c r="H173" s="29">
        <v>503</v>
      </c>
      <c r="I173" s="47">
        <v>-9.1000000000000004E-3</v>
      </c>
      <c r="J173" s="47">
        <v>0.24909999999999999</v>
      </c>
      <c r="K173" s="30">
        <v>1039865669.8</v>
      </c>
      <c r="L173" s="51">
        <f t="shared" si="120"/>
        <v>1.3744076691725495E-2</v>
      </c>
      <c r="M173" s="30">
        <v>227.82</v>
      </c>
      <c r="N173" s="30">
        <v>229.61</v>
      </c>
      <c r="O173" s="29">
        <v>505</v>
      </c>
      <c r="P173" s="47">
        <v>-1.01E-2</v>
      </c>
      <c r="Q173" s="47">
        <v>0.23780000000000001</v>
      </c>
      <c r="R173" s="54">
        <f t="shared" si="121"/>
        <v>-1.3688671195422759E-2</v>
      </c>
      <c r="S173" s="54">
        <f t="shared" si="122"/>
        <v>-1.0088381116619853E-2</v>
      </c>
      <c r="T173" s="54">
        <f t="shared" si="122"/>
        <v>3.9761431411530811E-3</v>
      </c>
      <c r="U173" s="54">
        <f t="shared" si="123"/>
        <v>-9.9999999999999915E-4</v>
      </c>
      <c r="V173" s="55">
        <f t="shared" si="123"/>
        <v>-1.1299999999999977E-2</v>
      </c>
    </row>
    <row r="174" spans="1:22">
      <c r="A174" s="173">
        <v>151</v>
      </c>
      <c r="B174" s="170" t="s">
        <v>198</v>
      </c>
      <c r="C174" s="171" t="s">
        <v>121</v>
      </c>
      <c r="D174" s="30">
        <v>597066940.57000005</v>
      </c>
      <c r="E174" s="27">
        <f t="shared" si="119"/>
        <v>7.8325449480835009E-3</v>
      </c>
      <c r="F174" s="30">
        <v>2.0084</v>
      </c>
      <c r="G174" s="30">
        <v>2.0266999999999999</v>
      </c>
      <c r="H174" s="29">
        <v>1070</v>
      </c>
      <c r="I174" s="47">
        <v>-6.4000000000000003E-3</v>
      </c>
      <c r="J174" s="47">
        <v>0.372</v>
      </c>
      <c r="K174" s="30">
        <v>611077978.07000005</v>
      </c>
      <c r="L174" s="51">
        <f t="shared" si="120"/>
        <v>8.0767187908357199E-3</v>
      </c>
      <c r="M174" s="30">
        <v>1.9901</v>
      </c>
      <c r="N174" s="30">
        <v>2.0074000000000001</v>
      </c>
      <c r="O174" s="29">
        <v>1211</v>
      </c>
      <c r="P174" s="47">
        <v>-9.1000000000000004E-3</v>
      </c>
      <c r="Q174" s="47">
        <v>0.35949999999999999</v>
      </c>
      <c r="R174" s="54">
        <f t="shared" si="121"/>
        <v>2.3466443287957169E-2</v>
      </c>
      <c r="S174" s="54">
        <f t="shared" si="122"/>
        <v>-9.5228696896432E-3</v>
      </c>
      <c r="T174" s="54">
        <f t="shared" si="122"/>
        <v>0.13177570093457944</v>
      </c>
      <c r="U174" s="54">
        <f t="shared" si="123"/>
        <v>-2.7000000000000001E-3</v>
      </c>
      <c r="V174" s="55">
        <f t="shared" si="123"/>
        <v>-1.2500000000000011E-2</v>
      </c>
    </row>
    <row r="175" spans="1:22">
      <c r="A175" s="173">
        <v>152</v>
      </c>
      <c r="B175" s="170" t="s">
        <v>199</v>
      </c>
      <c r="C175" s="171" t="s">
        <v>27</v>
      </c>
      <c r="D175" s="41">
        <v>164563924.41999999</v>
      </c>
      <c r="E175" s="27">
        <f t="shared" si="119"/>
        <v>2.1588104235383452E-3</v>
      </c>
      <c r="F175" s="30">
        <v>197.19329999999999</v>
      </c>
      <c r="G175" s="30">
        <v>198.3039</v>
      </c>
      <c r="H175" s="29">
        <v>134</v>
      </c>
      <c r="I175" s="47">
        <v>3.088E-3</v>
      </c>
      <c r="J175" s="47">
        <v>0.23369999999999999</v>
      </c>
      <c r="K175" s="41">
        <v>161784647.33000001</v>
      </c>
      <c r="L175" s="51">
        <f t="shared" si="120"/>
        <v>2.1383344647534614E-3</v>
      </c>
      <c r="M175" s="30">
        <v>193.02889999999999</v>
      </c>
      <c r="N175" s="30">
        <v>194.1054</v>
      </c>
      <c r="O175" s="29">
        <v>135</v>
      </c>
      <c r="P175" s="47">
        <v>-4.437E-3</v>
      </c>
      <c r="Q175" s="47">
        <v>0.21759999999999999</v>
      </c>
      <c r="R175" s="54">
        <f t="shared" si="121"/>
        <v>-1.6888738523922801E-2</v>
      </c>
      <c r="S175" s="54">
        <f t="shared" si="122"/>
        <v>-2.1172049566347387E-2</v>
      </c>
      <c r="T175" s="54">
        <f t="shared" si="122"/>
        <v>7.462686567164179E-3</v>
      </c>
      <c r="U175" s="54">
        <f t="shared" si="123"/>
        <v>-7.5250000000000004E-3</v>
      </c>
      <c r="V175" s="55">
        <f t="shared" si="123"/>
        <v>-1.6100000000000003E-2</v>
      </c>
    </row>
    <row r="176" spans="1:22">
      <c r="A176" s="173">
        <v>153</v>
      </c>
      <c r="B176" s="170" t="s">
        <v>200</v>
      </c>
      <c r="C176" s="171" t="s">
        <v>68</v>
      </c>
      <c r="D176" s="41">
        <v>349099567.04000002</v>
      </c>
      <c r="E176" s="27">
        <f t="shared" si="119"/>
        <v>4.5796172328464663E-3</v>
      </c>
      <c r="F176" s="30">
        <v>159.34</v>
      </c>
      <c r="G176" s="30">
        <v>159.88</v>
      </c>
      <c r="H176" s="29">
        <v>55</v>
      </c>
      <c r="I176" s="47">
        <v>-4.7000000000000002E-3</v>
      </c>
      <c r="J176" s="47">
        <v>0.38929999999999998</v>
      </c>
      <c r="K176" s="41">
        <v>331626180.86000001</v>
      </c>
      <c r="L176" s="51">
        <f t="shared" si="120"/>
        <v>4.3831581281075487E-3</v>
      </c>
      <c r="M176" s="30">
        <v>157.44</v>
      </c>
      <c r="N176" s="30">
        <v>158.08000000000001</v>
      </c>
      <c r="O176" s="29">
        <v>55</v>
      </c>
      <c r="P176" s="47">
        <v>-1.55E-2</v>
      </c>
      <c r="Q176" s="47">
        <v>0.37369999999999998</v>
      </c>
      <c r="R176" s="54">
        <f t="shared" si="121"/>
        <v>-5.0052729449526635E-2</v>
      </c>
      <c r="S176" s="54">
        <f t="shared" si="122"/>
        <v>-1.125844383287455E-2</v>
      </c>
      <c r="T176" s="54">
        <f t="shared" si="122"/>
        <v>0</v>
      </c>
      <c r="U176" s="54">
        <f t="shared" si="123"/>
        <v>-1.0800000000000001E-2</v>
      </c>
      <c r="V176" s="55">
        <f t="shared" si="123"/>
        <v>-1.5600000000000003E-2</v>
      </c>
    </row>
    <row r="177" spans="1:22" ht="15.75" customHeight="1">
      <c r="A177" s="173">
        <v>154</v>
      </c>
      <c r="B177" s="170" t="s">
        <v>201</v>
      </c>
      <c r="C177" s="171" t="s">
        <v>71</v>
      </c>
      <c r="D177" s="26">
        <v>461359070.17000002</v>
      </c>
      <c r="E177" s="27">
        <f t="shared" si="119"/>
        <v>6.0522789134208896E-3</v>
      </c>
      <c r="F177" s="30">
        <v>1.69</v>
      </c>
      <c r="G177" s="30">
        <v>1.7099</v>
      </c>
      <c r="H177" s="29">
        <v>103</v>
      </c>
      <c r="I177" s="47">
        <v>3.6999999999999998E-2</v>
      </c>
      <c r="J177" s="47">
        <v>0.3926</v>
      </c>
      <c r="K177" s="26">
        <v>481881123.56999999</v>
      </c>
      <c r="L177" s="51">
        <f t="shared" si="120"/>
        <v>6.3691025783308639E-3</v>
      </c>
      <c r="M177" s="30">
        <v>1.67</v>
      </c>
      <c r="N177" s="30">
        <v>1.6901999999999999</v>
      </c>
      <c r="O177" s="29">
        <v>103</v>
      </c>
      <c r="P177" s="47">
        <v>3.6999999999999998E-2</v>
      </c>
      <c r="Q177" s="47">
        <v>0.38119999999999998</v>
      </c>
      <c r="R177" s="54">
        <f t="shared" si="121"/>
        <v>4.4481738253109623E-2</v>
      </c>
      <c r="S177" s="54">
        <f t="shared" si="122"/>
        <v>-1.1521141587227354E-2</v>
      </c>
      <c r="T177" s="54">
        <f t="shared" si="122"/>
        <v>0</v>
      </c>
      <c r="U177" s="54">
        <f t="shared" si="123"/>
        <v>0</v>
      </c>
      <c r="V177" s="55">
        <f t="shared" si="123"/>
        <v>-1.1400000000000021E-2</v>
      </c>
    </row>
    <row r="178" spans="1:22">
      <c r="A178" s="173">
        <v>155</v>
      </c>
      <c r="B178" s="170" t="s">
        <v>202</v>
      </c>
      <c r="C178" s="171" t="s">
        <v>29</v>
      </c>
      <c r="D178" s="30">
        <v>13303778240.5</v>
      </c>
      <c r="E178" s="27">
        <f t="shared" si="119"/>
        <v>0.17452388328279045</v>
      </c>
      <c r="F178" s="30">
        <v>453.52</v>
      </c>
      <c r="G178" s="30">
        <v>458.07</v>
      </c>
      <c r="H178" s="29">
        <v>5496</v>
      </c>
      <c r="I178" s="47">
        <v>-5.5999999999999999E-3</v>
      </c>
      <c r="J178" s="47">
        <v>0.39929999999999999</v>
      </c>
      <c r="K178" s="30">
        <v>13296084685.360001</v>
      </c>
      <c r="L178" s="51">
        <f t="shared" si="120"/>
        <v>0.17573655225141921</v>
      </c>
      <c r="M178" s="30">
        <v>444.15</v>
      </c>
      <c r="N178" s="30">
        <v>448.35</v>
      </c>
      <c r="O178" s="29">
        <v>5507</v>
      </c>
      <c r="P178" s="47">
        <v>-2.0899999999999998E-2</v>
      </c>
      <c r="Q178" s="47">
        <v>0.37030000000000002</v>
      </c>
      <c r="R178" s="54">
        <f t="shared" si="121"/>
        <v>-5.7829851046211072E-4</v>
      </c>
      <c r="S178" s="54">
        <f t="shared" si="122"/>
        <v>-2.121946427401919E-2</v>
      </c>
      <c r="T178" s="54">
        <f t="shared" si="122"/>
        <v>2.0014556040756915E-3</v>
      </c>
      <c r="U178" s="54">
        <f t="shared" si="123"/>
        <v>-1.5299999999999998E-2</v>
      </c>
      <c r="V178" s="55">
        <f t="shared" si="123"/>
        <v>-2.899999999999997E-2</v>
      </c>
    </row>
    <row r="179" spans="1:22">
      <c r="A179" s="173">
        <v>156</v>
      </c>
      <c r="B179" s="170" t="s">
        <v>203</v>
      </c>
      <c r="C179" s="171" t="s">
        <v>76</v>
      </c>
      <c r="D179" s="30">
        <v>4242660965.3600001</v>
      </c>
      <c r="E179" s="27">
        <f t="shared" si="119"/>
        <v>5.5656795666725677E-2</v>
      </c>
      <c r="F179" s="30">
        <v>2.9712999999999998</v>
      </c>
      <c r="G179" s="30">
        <v>3.0312999999999999</v>
      </c>
      <c r="H179" s="29">
        <v>10206</v>
      </c>
      <c r="I179" s="47">
        <v>-5.0000000000000001E-3</v>
      </c>
      <c r="J179" s="47">
        <v>0.2833</v>
      </c>
      <c r="K179" s="30">
        <v>4222166950.25</v>
      </c>
      <c r="L179" s="51">
        <f t="shared" si="120"/>
        <v>5.5805079497110208E-2</v>
      </c>
      <c r="M179" s="30">
        <v>2.9573</v>
      </c>
      <c r="N179" s="30">
        <v>3.0164</v>
      </c>
      <c r="O179" s="29">
        <v>10206</v>
      </c>
      <c r="P179" s="47">
        <v>-4.7999999999999996E-3</v>
      </c>
      <c r="Q179" s="47">
        <v>0.27710000000000001</v>
      </c>
      <c r="R179" s="54">
        <f t="shared" si="121"/>
        <v>-4.8304625981965936E-3</v>
      </c>
      <c r="S179" s="54">
        <f t="shared" si="122"/>
        <v>-4.9153828390459259E-3</v>
      </c>
      <c r="T179" s="54">
        <f t="shared" si="122"/>
        <v>0</v>
      </c>
      <c r="U179" s="54">
        <f t="shared" si="123"/>
        <v>2.0000000000000052E-4</v>
      </c>
      <c r="V179" s="55">
        <f t="shared" si="123"/>
        <v>-6.1999999999999833E-3</v>
      </c>
    </row>
    <row r="180" spans="1:22">
      <c r="A180" s="173">
        <v>157</v>
      </c>
      <c r="B180" s="170" t="s">
        <v>204</v>
      </c>
      <c r="C180" s="171" t="s">
        <v>78</v>
      </c>
      <c r="D180" s="30">
        <v>303635613.74000001</v>
      </c>
      <c r="E180" s="27">
        <f t="shared" si="119"/>
        <v>3.983204278882102E-3</v>
      </c>
      <c r="F180" s="30">
        <v>346.29</v>
      </c>
      <c r="G180" s="30">
        <v>348.78</v>
      </c>
      <c r="H180" s="29">
        <v>32</v>
      </c>
      <c r="I180" s="47">
        <v>3.5999999999999999E-3</v>
      </c>
      <c r="J180" s="47">
        <v>0.1991</v>
      </c>
      <c r="K180" s="30">
        <v>302957431.94999999</v>
      </c>
      <c r="L180" s="51">
        <f t="shared" si="120"/>
        <v>4.0042385280878211E-3</v>
      </c>
      <c r="M180" s="30">
        <v>345.52</v>
      </c>
      <c r="N180" s="30">
        <v>347.99</v>
      </c>
      <c r="O180" s="29">
        <v>32</v>
      </c>
      <c r="P180" s="47">
        <v>-2.5999999999999999E-3</v>
      </c>
      <c r="Q180" s="47">
        <v>0.19670000000000001</v>
      </c>
      <c r="R180" s="54">
        <f t="shared" si="121"/>
        <v>-2.2335383575285785E-3</v>
      </c>
      <c r="S180" s="54">
        <f t="shared" si="122"/>
        <v>-2.2650381329203614E-3</v>
      </c>
      <c r="T180" s="54">
        <f t="shared" si="122"/>
        <v>0</v>
      </c>
      <c r="U180" s="54">
        <f t="shared" si="123"/>
        <v>-6.1999999999999998E-3</v>
      </c>
      <c r="V180" s="55">
        <f t="shared" si="123"/>
        <v>-2.3999999999999855E-3</v>
      </c>
    </row>
    <row r="181" spans="1:22">
      <c r="A181" s="173">
        <v>158</v>
      </c>
      <c r="B181" s="170" t="s">
        <v>205</v>
      </c>
      <c r="C181" s="170" t="s">
        <v>80</v>
      </c>
      <c r="D181" s="128">
        <v>69464058</v>
      </c>
      <c r="E181" s="27">
        <f t="shared" si="119"/>
        <v>9.112552037161256E-4</v>
      </c>
      <c r="F181" s="30">
        <v>1.341</v>
      </c>
      <c r="G181" s="30">
        <v>1.367</v>
      </c>
      <c r="H181" s="29">
        <v>31</v>
      </c>
      <c r="I181" s="47">
        <v>-2.5600000000000001E-2</v>
      </c>
      <c r="J181" s="47">
        <v>0.13689999999999999</v>
      </c>
      <c r="K181" s="128">
        <v>69080641.019999996</v>
      </c>
      <c r="L181" s="51">
        <f t="shared" si="120"/>
        <v>9.1305026761297756E-4</v>
      </c>
      <c r="M181" s="30">
        <v>1.3340000000000001</v>
      </c>
      <c r="N181" s="30">
        <v>1.359</v>
      </c>
      <c r="O181" s="29">
        <v>31</v>
      </c>
      <c r="P181" s="47">
        <v>-5.4999999999999997E-3</v>
      </c>
      <c r="Q181" s="47">
        <v>0.13689999999999999</v>
      </c>
      <c r="R181" s="54">
        <f t="shared" si="121"/>
        <v>-5.5196455697996243E-3</v>
      </c>
      <c r="S181" s="54">
        <f t="shared" si="122"/>
        <v>-5.8522311631309491E-3</v>
      </c>
      <c r="T181" s="54">
        <f t="shared" si="122"/>
        <v>0</v>
      </c>
      <c r="U181" s="54">
        <f t="shared" si="123"/>
        <v>2.01E-2</v>
      </c>
      <c r="V181" s="55">
        <f t="shared" si="123"/>
        <v>0</v>
      </c>
    </row>
    <row r="182" spans="1:22" ht="13.5" customHeight="1">
      <c r="A182" s="173">
        <v>159</v>
      </c>
      <c r="B182" s="170" t="s">
        <v>206</v>
      </c>
      <c r="C182" s="171" t="s">
        <v>35</v>
      </c>
      <c r="D182" s="26">
        <v>4394266147.3299999</v>
      </c>
      <c r="E182" s="27">
        <f t="shared" si="119"/>
        <v>5.7645608514090459E-2</v>
      </c>
      <c r="F182" s="30">
        <v>5.8748589999999998</v>
      </c>
      <c r="G182" s="30">
        <v>6.0103910000000003</v>
      </c>
      <c r="H182" s="29">
        <v>2556</v>
      </c>
      <c r="I182" s="47">
        <v>-4.5999999999999999E-3</v>
      </c>
      <c r="J182" s="47">
        <v>0.38579999999999998</v>
      </c>
      <c r="K182" s="26">
        <v>4398225033.8299999</v>
      </c>
      <c r="L182" s="51">
        <f t="shared" si="120"/>
        <v>5.8132068331530652E-2</v>
      </c>
      <c r="M182" s="30">
        <v>5.8593000000000002</v>
      </c>
      <c r="N182" s="30">
        <v>5.9973000000000001</v>
      </c>
      <c r="O182" s="29">
        <v>2574</v>
      </c>
      <c r="P182" s="47">
        <v>-2.5999999999999999E-3</v>
      </c>
      <c r="Q182" s="47">
        <v>0.3821</v>
      </c>
      <c r="R182" s="54">
        <f t="shared" si="121"/>
        <v>9.0092096547348614E-4</v>
      </c>
      <c r="S182" s="54">
        <f t="shared" si="122"/>
        <v>-2.1780612941820566E-3</v>
      </c>
      <c r="T182" s="54">
        <f t="shared" si="122"/>
        <v>7.0422535211267607E-3</v>
      </c>
      <c r="U182" s="54">
        <f t="shared" si="123"/>
        <v>2E-3</v>
      </c>
      <c r="V182" s="55">
        <f t="shared" si="123"/>
        <v>-3.6999999999999811E-3</v>
      </c>
    </row>
    <row r="183" spans="1:22" ht="13.5" customHeight="1">
      <c r="A183" s="173">
        <v>160</v>
      </c>
      <c r="B183" s="170" t="s">
        <v>207</v>
      </c>
      <c r="C183" s="171" t="s">
        <v>208</v>
      </c>
      <c r="D183" s="26">
        <v>94420670.950000003</v>
      </c>
      <c r="E183" s="27">
        <f t="shared" si="119"/>
        <v>1.2386452824503214E-3</v>
      </c>
      <c r="F183" s="30">
        <v>2.56</v>
      </c>
      <c r="G183" s="30">
        <v>2.57</v>
      </c>
      <c r="H183" s="29">
        <v>101</v>
      </c>
      <c r="I183" s="47">
        <v>-2.3E-3</v>
      </c>
      <c r="J183" s="47">
        <v>0.21329999999999999</v>
      </c>
      <c r="K183" s="26">
        <v>95810910</v>
      </c>
      <c r="L183" s="51">
        <f t="shared" si="120"/>
        <v>1.2663486575119642E-3</v>
      </c>
      <c r="M183" s="30">
        <v>2.58</v>
      </c>
      <c r="N183" s="30">
        <v>2.59</v>
      </c>
      <c r="O183" s="29">
        <v>101</v>
      </c>
      <c r="P183" s="47">
        <v>1.7999999999999999E-2</v>
      </c>
      <c r="Q183" s="47">
        <v>0.22059999999999999</v>
      </c>
      <c r="R183" s="54">
        <f t="shared" si="121"/>
        <v>1.4723884463140399E-2</v>
      </c>
      <c r="S183" s="54">
        <f t="shared" si="122"/>
        <v>7.7821011673151821E-3</v>
      </c>
      <c r="T183" s="54">
        <f t="shared" si="122"/>
        <v>0</v>
      </c>
      <c r="U183" s="54">
        <f>P183-I183</f>
        <v>2.0299999999999999E-2</v>
      </c>
      <c r="V183" s="55">
        <f>Q183-J183</f>
        <v>7.3000000000000009E-3</v>
      </c>
    </row>
    <row r="184" spans="1:22">
      <c r="A184" s="173">
        <v>161</v>
      </c>
      <c r="B184" s="170" t="s">
        <v>209</v>
      </c>
      <c r="C184" s="171" t="s">
        <v>130</v>
      </c>
      <c r="D184" s="26">
        <v>768869144.48000002</v>
      </c>
      <c r="E184" s="27">
        <f t="shared" si="119"/>
        <v>1.008630979900664E-2</v>
      </c>
      <c r="F184" s="30">
        <v>342.62</v>
      </c>
      <c r="G184" s="30">
        <v>346.38</v>
      </c>
      <c r="H184" s="29">
        <v>158</v>
      </c>
      <c r="I184" s="47">
        <v>1.37E-2</v>
      </c>
      <c r="J184" s="47">
        <v>0.4345</v>
      </c>
      <c r="K184" s="26">
        <v>765172080.39999998</v>
      </c>
      <c r="L184" s="51">
        <f t="shared" si="120"/>
        <v>1.0113406049271181E-2</v>
      </c>
      <c r="M184" s="30">
        <v>340.1</v>
      </c>
      <c r="N184" s="30">
        <v>343.99</v>
      </c>
      <c r="O184" s="29">
        <v>158</v>
      </c>
      <c r="P184" s="47">
        <v>1.37E-2</v>
      </c>
      <c r="Q184" s="47">
        <v>0.4345</v>
      </c>
      <c r="R184" s="54">
        <f t="shared" si="121"/>
        <v>-4.8084438119836807E-3</v>
      </c>
      <c r="S184" s="54">
        <f t="shared" si="122"/>
        <v>-6.8999364859402574E-3</v>
      </c>
      <c r="T184" s="54">
        <f t="shared" si="122"/>
        <v>0</v>
      </c>
      <c r="U184" s="54">
        <f t="shared" si="123"/>
        <v>0</v>
      </c>
      <c r="V184" s="55">
        <f t="shared" si="123"/>
        <v>0</v>
      </c>
    </row>
    <row r="185" spans="1:22">
      <c r="A185" s="173">
        <v>162</v>
      </c>
      <c r="B185" s="170" t="s">
        <v>210</v>
      </c>
      <c r="C185" s="171" t="s">
        <v>31</v>
      </c>
      <c r="D185" s="26">
        <v>2066418274.8699999</v>
      </c>
      <c r="E185" s="27">
        <f t="shared" si="119"/>
        <v>2.710803918235509E-2</v>
      </c>
      <c r="F185" s="30">
        <v>552.22</v>
      </c>
      <c r="G185" s="30">
        <v>552.22</v>
      </c>
      <c r="H185" s="29">
        <v>823</v>
      </c>
      <c r="I185" s="47">
        <v>-1.23E-2</v>
      </c>
      <c r="J185" s="47">
        <v>-5.4800000000000001E-2</v>
      </c>
      <c r="K185" s="26">
        <v>2051100099.3900001</v>
      </c>
      <c r="L185" s="51">
        <f t="shared" si="120"/>
        <v>2.7109729542128164E-2</v>
      </c>
      <c r="M185" s="30">
        <v>552.22</v>
      </c>
      <c r="N185" s="30">
        <v>552.22</v>
      </c>
      <c r="O185" s="29">
        <v>823</v>
      </c>
      <c r="P185" s="47">
        <v>-7.4000000000000003E-3</v>
      </c>
      <c r="Q185" s="47">
        <v>-6.1800000000000001E-2</v>
      </c>
      <c r="R185" s="54">
        <f t="shared" si="121"/>
        <v>-7.4129113482426304E-3</v>
      </c>
      <c r="S185" s="54">
        <f t="shared" si="122"/>
        <v>0</v>
      </c>
      <c r="T185" s="54">
        <f t="shared" si="122"/>
        <v>0</v>
      </c>
      <c r="U185" s="54">
        <f t="shared" si="123"/>
        <v>4.8999999999999998E-3</v>
      </c>
      <c r="V185" s="55">
        <f t="shared" si="123"/>
        <v>-6.9999999999999993E-3</v>
      </c>
    </row>
    <row r="186" spans="1:22">
      <c r="A186" s="173">
        <v>163</v>
      </c>
      <c r="B186" s="170" t="s">
        <v>211</v>
      </c>
      <c r="C186" s="171" t="s">
        <v>87</v>
      </c>
      <c r="D186" s="30">
        <v>49848288.130000003</v>
      </c>
      <c r="E186" s="27">
        <f t="shared" si="119"/>
        <v>6.5392827978468058E-4</v>
      </c>
      <c r="F186" s="30">
        <v>2.69</v>
      </c>
      <c r="G186" s="30">
        <v>2.69</v>
      </c>
      <c r="H186" s="29">
        <v>9</v>
      </c>
      <c r="I186" s="47">
        <v>-1.2907999999999999E-2</v>
      </c>
      <c r="J186" s="47">
        <v>0.43634099999999998</v>
      </c>
      <c r="K186" s="30">
        <v>49442134.5</v>
      </c>
      <c r="L186" s="51">
        <f t="shared" si="120"/>
        <v>6.5348487608145008E-4</v>
      </c>
      <c r="M186" s="30">
        <v>2.67</v>
      </c>
      <c r="N186" s="30">
        <v>2.67</v>
      </c>
      <c r="O186" s="29">
        <v>9</v>
      </c>
      <c r="P186" s="47">
        <v>-6.5120000000000004E-3</v>
      </c>
      <c r="Q186" s="47">
        <v>0.42698700000000001</v>
      </c>
      <c r="R186" s="54">
        <f t="shared" si="121"/>
        <v>-8.1477949441471145E-3</v>
      </c>
      <c r="S186" s="54">
        <f t="shared" si="122"/>
        <v>-7.4349442379182222E-3</v>
      </c>
      <c r="T186" s="54">
        <f t="shared" si="122"/>
        <v>0</v>
      </c>
      <c r="U186" s="54">
        <f t="shared" si="123"/>
        <v>6.3959999999999989E-3</v>
      </c>
      <c r="V186" s="55">
        <f t="shared" si="123"/>
        <v>-9.3539999999999734E-3</v>
      </c>
    </row>
    <row r="187" spans="1:22">
      <c r="A187" s="173">
        <v>164</v>
      </c>
      <c r="B187" s="170" t="s">
        <v>212</v>
      </c>
      <c r="C187" s="171" t="s">
        <v>43</v>
      </c>
      <c r="D187" s="30">
        <v>359618135.73000002</v>
      </c>
      <c r="E187" s="27">
        <f t="shared" si="119"/>
        <v>4.7176037071524736E-3</v>
      </c>
      <c r="F187" s="30">
        <v>3.59</v>
      </c>
      <c r="G187" s="30">
        <v>3.67</v>
      </c>
      <c r="H187" s="29">
        <v>125</v>
      </c>
      <c r="I187" s="47">
        <v>0.02</v>
      </c>
      <c r="J187" s="47">
        <v>0.37359999999999999</v>
      </c>
      <c r="K187" s="30">
        <v>362618135.73000002</v>
      </c>
      <c r="L187" s="51">
        <f t="shared" si="120"/>
        <v>4.7927839258720814E-3</v>
      </c>
      <c r="M187" s="30">
        <v>3.6</v>
      </c>
      <c r="N187" s="30">
        <v>3.67</v>
      </c>
      <c r="O187" s="29">
        <v>125</v>
      </c>
      <c r="P187" s="47">
        <v>1.1599999999999999E-2</v>
      </c>
      <c r="Q187" s="47">
        <v>0.38519999999999999</v>
      </c>
      <c r="R187" s="54">
        <f t="shared" si="121"/>
        <v>8.3421821702907364E-3</v>
      </c>
      <c r="S187" s="54">
        <f t="shared" si="122"/>
        <v>0</v>
      </c>
      <c r="T187" s="54">
        <f t="shared" si="122"/>
        <v>0</v>
      </c>
      <c r="U187" s="54">
        <f t="shared" si="123"/>
        <v>-8.4000000000000012E-3</v>
      </c>
      <c r="V187" s="55">
        <f t="shared" si="123"/>
        <v>1.1599999999999999E-2</v>
      </c>
    </row>
    <row r="188" spans="1:22">
      <c r="A188" s="173">
        <v>165</v>
      </c>
      <c r="B188" s="170" t="s">
        <v>213</v>
      </c>
      <c r="C188" s="171" t="s">
        <v>47</v>
      </c>
      <c r="D188" s="26">
        <v>3898998870.9400001</v>
      </c>
      <c r="E188" s="27">
        <f t="shared" si="119"/>
        <v>5.1148509210725543E-2</v>
      </c>
      <c r="F188" s="30">
        <v>9191.85</v>
      </c>
      <c r="G188" s="30">
        <v>9279.58</v>
      </c>
      <c r="H188" s="29">
        <v>2755</v>
      </c>
      <c r="I188" s="47">
        <v>-1.04E-2</v>
      </c>
      <c r="J188" s="47">
        <v>0.44169999999999998</v>
      </c>
      <c r="K188" s="26">
        <v>3831650935.0100002</v>
      </c>
      <c r="L188" s="27">
        <f t="shared" si="120"/>
        <v>5.0643564679683929E-2</v>
      </c>
      <c r="M188" s="30">
        <v>9049.3799999999992</v>
      </c>
      <c r="N188" s="30">
        <v>9134.69</v>
      </c>
      <c r="O188" s="29">
        <v>2793</v>
      </c>
      <c r="P188" s="47">
        <v>-1.5599999999999999E-2</v>
      </c>
      <c r="Q188" s="47">
        <v>0.41920000000000002</v>
      </c>
      <c r="R188" s="54">
        <f t="shared" si="121"/>
        <v>-1.7273135530240121E-2</v>
      </c>
      <c r="S188" s="54">
        <f t="shared" si="122"/>
        <v>-1.5613853213184155E-2</v>
      </c>
      <c r="T188" s="54">
        <f t="shared" si="122"/>
        <v>1.3793103448275862E-2</v>
      </c>
      <c r="U188" s="54">
        <f t="shared" si="123"/>
        <v>-5.1999999999999998E-3</v>
      </c>
      <c r="V188" s="55">
        <f t="shared" si="123"/>
        <v>-2.2499999999999964E-2</v>
      </c>
    </row>
    <row r="189" spans="1:22">
      <c r="A189" s="173">
        <v>166</v>
      </c>
      <c r="B189" s="170" t="s">
        <v>214</v>
      </c>
      <c r="C189" s="170" t="s">
        <v>97</v>
      </c>
      <c r="D189" s="26">
        <v>137312064.55000001</v>
      </c>
      <c r="E189" s="27">
        <f t="shared" si="119"/>
        <v>1.8013104468240547E-3</v>
      </c>
      <c r="F189" s="30">
        <v>1372.16</v>
      </c>
      <c r="G189" s="30">
        <v>1393.16</v>
      </c>
      <c r="H189" s="29">
        <v>20</v>
      </c>
      <c r="I189" s="47">
        <v>8.0000000000000004E-4</v>
      </c>
      <c r="J189" s="47">
        <v>0.24160000000000001</v>
      </c>
      <c r="K189" s="26">
        <v>133130573.06999999</v>
      </c>
      <c r="L189" s="27">
        <f t="shared" si="120"/>
        <v>1.7596088220119496E-3</v>
      </c>
      <c r="M189" s="30">
        <v>1368.79</v>
      </c>
      <c r="N189" s="30">
        <v>1390.04</v>
      </c>
      <c r="O189" s="29">
        <v>23</v>
      </c>
      <c r="P189" s="47">
        <v>-3.0200000000000001E-2</v>
      </c>
      <c r="Q189" s="47">
        <v>0.23699999999999999</v>
      </c>
      <c r="R189" s="54">
        <f t="shared" si="121"/>
        <v>-3.0452469662470154E-2</v>
      </c>
      <c r="S189" s="54">
        <f t="shared" si="122"/>
        <v>-2.2395130494703539E-3</v>
      </c>
      <c r="T189" s="54">
        <f t="shared" si="122"/>
        <v>0.15</v>
      </c>
      <c r="U189" s="54">
        <f t="shared" si="123"/>
        <v>-3.1E-2</v>
      </c>
      <c r="V189" s="55">
        <f t="shared" si="123"/>
        <v>-4.6000000000000207E-3</v>
      </c>
    </row>
    <row r="190" spans="1:22">
      <c r="A190" s="173">
        <v>167</v>
      </c>
      <c r="B190" s="170" t="s">
        <v>215</v>
      </c>
      <c r="C190" s="170" t="s">
        <v>80</v>
      </c>
      <c r="D190" s="26">
        <v>748303620.64815903</v>
      </c>
      <c r="E190" s="27">
        <f t="shared" si="119"/>
        <v>9.8165236513428639E-3</v>
      </c>
      <c r="F190" s="30">
        <v>1.425</v>
      </c>
      <c r="G190" s="30">
        <v>1.425</v>
      </c>
      <c r="H190" s="29">
        <v>43</v>
      </c>
      <c r="I190" s="47">
        <v>2.676947378555642E-3</v>
      </c>
      <c r="J190" s="47">
        <v>6.1400000000000003E-2</v>
      </c>
      <c r="K190" s="26">
        <v>750713466.38167703</v>
      </c>
      <c r="L190" s="27">
        <f t="shared" si="120"/>
        <v>9.9223041543869024E-3</v>
      </c>
      <c r="M190" s="30">
        <v>1.42967574197326</v>
      </c>
      <c r="N190" s="30">
        <v>1.42967574197326</v>
      </c>
      <c r="O190" s="29">
        <v>43</v>
      </c>
      <c r="P190" s="47">
        <v>3.2000000000000002E-3</v>
      </c>
      <c r="Q190" s="47">
        <v>6.4899999999999999E-2</v>
      </c>
      <c r="R190" s="54">
        <f t="shared" si="121"/>
        <v>3.2204116979023373E-3</v>
      </c>
      <c r="S190" s="54">
        <f t="shared" si="122"/>
        <v>3.2812224373753879E-3</v>
      </c>
      <c r="T190" s="54">
        <f t="shared" si="122"/>
        <v>0</v>
      </c>
      <c r="U190" s="54">
        <f t="shared" si="123"/>
        <v>5.2305262144435819E-4</v>
      </c>
      <c r="V190" s="55">
        <f t="shared" si="123"/>
        <v>3.4999999999999962E-3</v>
      </c>
    </row>
    <row r="191" spans="1:22">
      <c r="A191" s="173">
        <v>168</v>
      </c>
      <c r="B191" s="170" t="s">
        <v>216</v>
      </c>
      <c r="C191" s="171" t="s">
        <v>50</v>
      </c>
      <c r="D191" s="30">
        <v>3168618794.1700001</v>
      </c>
      <c r="E191" s="27">
        <f t="shared" si="119"/>
        <v>4.1567113236893355E-2</v>
      </c>
      <c r="F191" s="30">
        <v>2.1374</v>
      </c>
      <c r="G191" s="30">
        <v>2.1528</v>
      </c>
      <c r="H191" s="29">
        <v>2543</v>
      </c>
      <c r="I191" s="47">
        <v>-1.12E-2</v>
      </c>
      <c r="J191" s="47">
        <v>0.28139999999999998</v>
      </c>
      <c r="K191" s="30">
        <v>3174245708.9200001</v>
      </c>
      <c r="L191" s="51">
        <f t="shared" si="120"/>
        <v>4.1954530982995099E-2</v>
      </c>
      <c r="M191" s="30">
        <v>2.1362999999999999</v>
      </c>
      <c r="N191" s="30">
        <v>2.1515</v>
      </c>
      <c r="O191" s="29">
        <v>2573</v>
      </c>
      <c r="P191" s="47">
        <v>-5.0000000000000001E-4</v>
      </c>
      <c r="Q191" s="47">
        <v>0.28089999999999998</v>
      </c>
      <c r="R191" s="54">
        <f t="shared" si="121"/>
        <v>1.7758257195068918E-3</v>
      </c>
      <c r="S191" s="54">
        <f t="shared" si="122"/>
        <v>-6.0386473429955353E-4</v>
      </c>
      <c r="T191" s="54">
        <f t="shared" si="122"/>
        <v>1.1797090051120724E-2</v>
      </c>
      <c r="U191" s="54">
        <f t="shared" si="123"/>
        <v>1.0699999999999999E-2</v>
      </c>
      <c r="V191" s="55">
        <f t="shared" si="123"/>
        <v>-5.0000000000000044E-4</v>
      </c>
    </row>
    <row r="192" spans="1:22">
      <c r="A192" s="173">
        <v>169</v>
      </c>
      <c r="B192" s="170" t="s">
        <v>217</v>
      </c>
      <c r="C192" s="171" t="s">
        <v>50</v>
      </c>
      <c r="D192" s="30">
        <v>1955159279.97</v>
      </c>
      <c r="E192" s="27">
        <f t="shared" si="119"/>
        <v>2.5648502538773876E-2</v>
      </c>
      <c r="F192" s="30">
        <v>1.6921999999999999</v>
      </c>
      <c r="G192" s="30">
        <v>1.7038</v>
      </c>
      <c r="H192" s="29">
        <v>1095</v>
      </c>
      <c r="I192" s="47">
        <v>-8.9999999999999993E-3</v>
      </c>
      <c r="J192" s="47">
        <v>0.3135</v>
      </c>
      <c r="K192" s="30">
        <v>1873264021.05</v>
      </c>
      <c r="L192" s="51">
        <f t="shared" si="120"/>
        <v>2.4759240656644751E-2</v>
      </c>
      <c r="M192" s="30">
        <v>1.679</v>
      </c>
      <c r="N192" s="30">
        <v>1.6899</v>
      </c>
      <c r="O192" s="29">
        <v>1125</v>
      </c>
      <c r="P192" s="47">
        <v>-7.7999999999999996E-3</v>
      </c>
      <c r="Q192" s="47">
        <v>0.30480000000000002</v>
      </c>
      <c r="R192" s="54">
        <f t="shared" si="121"/>
        <v>-4.1886745371076201E-2</v>
      </c>
      <c r="S192" s="54">
        <f t="shared" si="122"/>
        <v>-8.1582345345697985E-3</v>
      </c>
      <c r="T192" s="54">
        <f t="shared" si="122"/>
        <v>2.7397260273972601E-2</v>
      </c>
      <c r="U192" s="54">
        <f t="shared" si="123"/>
        <v>1.1999999999999997E-3</v>
      </c>
      <c r="V192" s="55">
        <f t="shared" si="123"/>
        <v>-8.6999999999999855E-3</v>
      </c>
    </row>
    <row r="193" spans="1:24">
      <c r="A193" s="173">
        <v>170</v>
      </c>
      <c r="B193" s="170" t="s">
        <v>218</v>
      </c>
      <c r="C193" s="171" t="s">
        <v>101</v>
      </c>
      <c r="D193" s="26">
        <v>12268581778.76</v>
      </c>
      <c r="E193" s="27">
        <f t="shared" si="119"/>
        <v>0.16094379323637975</v>
      </c>
      <c r="F193" s="30">
        <v>711.49</v>
      </c>
      <c r="G193" s="30">
        <v>720.99</v>
      </c>
      <c r="H193" s="29">
        <v>35</v>
      </c>
      <c r="I193" s="47">
        <v>-8.5000000000000006E-3</v>
      </c>
      <c r="J193" s="47">
        <v>0.37680000000000002</v>
      </c>
      <c r="K193" s="26">
        <v>12164604405.33</v>
      </c>
      <c r="L193" s="51">
        <f t="shared" si="120"/>
        <v>0.16078159009087556</v>
      </c>
      <c r="M193" s="30">
        <v>705.51</v>
      </c>
      <c r="N193" s="30">
        <v>714.85</v>
      </c>
      <c r="O193" s="29">
        <v>35</v>
      </c>
      <c r="P193" s="47">
        <v>-8.5000000000000006E-3</v>
      </c>
      <c r="Q193" s="47">
        <v>0.36520000000000002</v>
      </c>
      <c r="R193" s="54">
        <f t="shared" si="121"/>
        <v>-8.4750931529845846E-3</v>
      </c>
      <c r="S193" s="54">
        <f t="shared" si="122"/>
        <v>-8.5160681840247242E-3</v>
      </c>
      <c r="T193" s="54">
        <f t="shared" si="122"/>
        <v>0</v>
      </c>
      <c r="U193" s="54">
        <f t="shared" si="123"/>
        <v>0</v>
      </c>
      <c r="V193" s="55">
        <f t="shared" si="123"/>
        <v>-1.1599999999999999E-2</v>
      </c>
    </row>
    <row r="194" spans="1:24">
      <c r="A194" s="33"/>
      <c r="B194" s="34"/>
      <c r="C194" s="35" t="s">
        <v>51</v>
      </c>
      <c r="D194" s="72">
        <f>SUM(D166:D193)</f>
        <v>76228983622.506104</v>
      </c>
      <c r="E194" s="37">
        <f>(D194/$D$226)</f>
        <v>1.181671004114314E-2</v>
      </c>
      <c r="F194" s="38"/>
      <c r="G194" s="73"/>
      <c r="H194" s="40">
        <f>SUM(H166:H193)</f>
        <v>71945</v>
      </c>
      <c r="I194" s="79"/>
      <c r="J194" s="79"/>
      <c r="K194" s="72">
        <f>SUM(K166:K193)</f>
        <v>75659187090.104218</v>
      </c>
      <c r="L194" s="37">
        <f>(K194/$K$226)</f>
        <v>1.1633009833465151E-2</v>
      </c>
      <c r="M194" s="38"/>
      <c r="N194" s="73"/>
      <c r="O194" s="40">
        <f>SUM(O166:O193)</f>
        <v>72248</v>
      </c>
      <c r="P194" s="79"/>
      <c r="Q194" s="79"/>
      <c r="R194" s="54">
        <f t="shared" ref="R194" si="129">((K194-D194)/D194)</f>
        <v>-7.4748016479345702E-3</v>
      </c>
      <c r="S194" s="54" t="e">
        <f t="shared" ref="S194" si="130">((N194-G194)/G194)</f>
        <v>#DIV/0!</v>
      </c>
      <c r="T194" s="54">
        <f t="shared" ref="T194" si="131">((O194-H194)/H194)</f>
        <v>4.2115504899576063E-3</v>
      </c>
      <c r="U194" s="54">
        <f t="shared" ref="U194" si="132">P194-I194</f>
        <v>0</v>
      </c>
      <c r="V194" s="55">
        <f t="shared" ref="V194" si="133">Q194-J194</f>
        <v>0</v>
      </c>
    </row>
    <row r="195" spans="1:24" ht="5.25" customHeight="1">
      <c r="A195" s="33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</row>
    <row r="196" spans="1:24" ht="15" customHeight="1">
      <c r="A196" s="184" t="s">
        <v>219</v>
      </c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</row>
    <row r="197" spans="1:24">
      <c r="A197" s="172">
        <v>171</v>
      </c>
      <c r="B197" s="170" t="s">
        <v>220</v>
      </c>
      <c r="C197" s="171" t="s">
        <v>221</v>
      </c>
      <c r="D197" s="75">
        <v>1438026781.26</v>
      </c>
      <c r="E197" s="27">
        <f>(D197/$D$199)</f>
        <v>0.16991759324054287</v>
      </c>
      <c r="F197" s="74">
        <v>40.17</v>
      </c>
      <c r="G197" s="74">
        <v>40.5642</v>
      </c>
      <c r="H197" s="29">
        <v>1493</v>
      </c>
      <c r="I197" s="47">
        <v>-4.4999999999999997E-3</v>
      </c>
      <c r="J197" s="47">
        <v>0.50900000000000001</v>
      </c>
      <c r="K197" s="75">
        <v>1434154605.5</v>
      </c>
      <c r="L197" s="51">
        <f>(K197/$K$199)</f>
        <v>0.17196029898018569</v>
      </c>
      <c r="M197" s="74">
        <v>39.74</v>
      </c>
      <c r="N197" s="74">
        <v>40.120899999999999</v>
      </c>
      <c r="O197" s="29">
        <v>1493</v>
      </c>
      <c r="P197" s="47">
        <v>2.0999999999999999E-3</v>
      </c>
      <c r="Q197" s="47">
        <v>0.49259999999999998</v>
      </c>
      <c r="R197" s="54">
        <f>((K197-D197)/D197)</f>
        <v>-2.6927007274559849E-3</v>
      </c>
      <c r="S197" s="54">
        <f t="shared" ref="S197:T199" si="134">((N197-G197)/G197)</f>
        <v>-1.0928355545037266E-2</v>
      </c>
      <c r="T197" s="54">
        <f t="shared" si="134"/>
        <v>0</v>
      </c>
      <c r="U197" s="54">
        <f t="shared" ref="U197:V199" si="135">P197-I197</f>
        <v>6.6E-3</v>
      </c>
      <c r="V197" s="55">
        <f t="shared" si="135"/>
        <v>-1.6400000000000026E-2</v>
      </c>
    </row>
    <row r="198" spans="1:24">
      <c r="A198" s="172">
        <v>172</v>
      </c>
      <c r="B198" s="170" t="s">
        <v>222</v>
      </c>
      <c r="C198" s="171" t="s">
        <v>47</v>
      </c>
      <c r="D198" s="41">
        <v>7025056727.8400002</v>
      </c>
      <c r="E198" s="27">
        <f>(D198/$D$199)</f>
        <v>0.8300824067594571</v>
      </c>
      <c r="F198" s="74">
        <v>4.49</v>
      </c>
      <c r="G198" s="74">
        <v>4.55</v>
      </c>
      <c r="H198" s="29">
        <v>10932</v>
      </c>
      <c r="I198" s="47">
        <v>-1.52E-2</v>
      </c>
      <c r="J198" s="47">
        <v>0.56899999999999995</v>
      </c>
      <c r="K198" s="41">
        <v>6905878611.5</v>
      </c>
      <c r="L198" s="51">
        <f>(K198/$K$199)</f>
        <v>0.82803970101981428</v>
      </c>
      <c r="M198" s="74">
        <v>4.42</v>
      </c>
      <c r="N198" s="74">
        <v>4.47</v>
      </c>
      <c r="O198" s="29">
        <v>10987</v>
      </c>
      <c r="P198" s="47">
        <v>-1.7600000000000001E-2</v>
      </c>
      <c r="Q198" s="47">
        <v>0.54139999999999999</v>
      </c>
      <c r="R198" s="54">
        <f>((K198-D198)/D198)</f>
        <v>-1.696471942606561E-2</v>
      </c>
      <c r="S198" s="54">
        <f t="shared" si="134"/>
        <v>-1.75824175824176E-2</v>
      </c>
      <c r="T198" s="54">
        <f t="shared" si="134"/>
        <v>5.0311013538236367E-3</v>
      </c>
      <c r="U198" s="54">
        <f t="shared" si="135"/>
        <v>-2.4000000000000011E-3</v>
      </c>
      <c r="V198" s="55">
        <f t="shared" si="135"/>
        <v>-2.7599999999999958E-2</v>
      </c>
    </row>
    <row r="199" spans="1:24">
      <c r="A199" s="33"/>
      <c r="B199" s="34"/>
      <c r="C199" s="68" t="s">
        <v>51</v>
      </c>
      <c r="D199" s="72">
        <f>SUM(D197:D198)</f>
        <v>8463083509.1000004</v>
      </c>
      <c r="E199" s="37">
        <f>(D199/$D$226)</f>
        <v>1.3119131218678462E-3</v>
      </c>
      <c r="F199" s="38"/>
      <c r="G199" s="73"/>
      <c r="H199" s="40">
        <f>SUM(H197:H198)</f>
        <v>12425</v>
      </c>
      <c r="I199" s="79"/>
      <c r="J199" s="79"/>
      <c r="K199" s="72">
        <f>SUM(K197:K198)</f>
        <v>8340033217</v>
      </c>
      <c r="L199" s="37">
        <f>(K199/$K$226)</f>
        <v>1.2823252820472956E-3</v>
      </c>
      <c r="M199" s="38"/>
      <c r="N199" s="73"/>
      <c r="O199" s="40">
        <f>SUM(O197:O198)</f>
        <v>12480</v>
      </c>
      <c r="P199" s="79"/>
      <c r="Q199" s="79"/>
      <c r="R199" s="54">
        <f>((K199-D199)/D199)</f>
        <v>-1.4539652358113865E-2</v>
      </c>
      <c r="S199" s="54" t="e">
        <f t="shared" si="134"/>
        <v>#DIV/0!</v>
      </c>
      <c r="T199" s="54">
        <f t="shared" si="134"/>
        <v>4.4265593561368206E-3</v>
      </c>
      <c r="U199" s="54">
        <f t="shared" si="135"/>
        <v>0</v>
      </c>
      <c r="V199" s="55">
        <f t="shared" si="135"/>
        <v>0</v>
      </c>
    </row>
    <row r="200" spans="1:24" ht="6" customHeight="1">
      <c r="A200" s="33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</row>
    <row r="201" spans="1:24" ht="15" customHeight="1">
      <c r="A201" s="180" t="s">
        <v>223</v>
      </c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</row>
    <row r="202" spans="1:24">
      <c r="A202" s="183" t="s">
        <v>224</v>
      </c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</row>
    <row r="203" spans="1:24">
      <c r="A203" s="172">
        <v>173</v>
      </c>
      <c r="B203" s="170" t="s">
        <v>225</v>
      </c>
      <c r="C203" s="171" t="s">
        <v>226</v>
      </c>
      <c r="D203" s="44">
        <v>7166809810.2700005</v>
      </c>
      <c r="E203" s="27">
        <f>(D203/$D$225)</f>
        <v>0.10935326134522987</v>
      </c>
      <c r="F203" s="76">
        <v>2.85</v>
      </c>
      <c r="G203" s="76">
        <v>2.9</v>
      </c>
      <c r="H203" s="43">
        <v>15087</v>
      </c>
      <c r="I203" s="50">
        <v>-1.1999999999999999E-3</v>
      </c>
      <c r="J203" s="50">
        <v>0.25619999999999998</v>
      </c>
      <c r="K203" s="44">
        <v>7152015012.8400002</v>
      </c>
      <c r="L203" s="27">
        <f>(K203/$K$225)</f>
        <v>0.10804056426150319</v>
      </c>
      <c r="M203" s="76">
        <v>2.84</v>
      </c>
      <c r="N203" s="76">
        <v>2.89</v>
      </c>
      <c r="O203" s="43">
        <v>15100</v>
      </c>
      <c r="P203" s="50">
        <v>-5.7000000000000002E-3</v>
      </c>
      <c r="Q203" s="50">
        <v>0.249</v>
      </c>
      <c r="R203" s="53">
        <f>((K203-D203)/D203)</f>
        <v>-2.0643491067391575E-3</v>
      </c>
      <c r="S203" s="53">
        <f>((N203-G203)/G203)</f>
        <v>-3.4482758620688922E-3</v>
      </c>
      <c r="T203" s="53">
        <f>((O203-H203)/H203)</f>
        <v>8.6166898654470737E-4</v>
      </c>
      <c r="U203" s="53">
        <f>P203-I203</f>
        <v>-4.5000000000000005E-3</v>
      </c>
      <c r="V203" s="176">
        <f>Q203-J203</f>
        <v>-7.1999999999999842E-3</v>
      </c>
    </row>
    <row r="204" spans="1:24">
      <c r="A204" s="172">
        <v>174</v>
      </c>
      <c r="B204" s="170" t="s">
        <v>227</v>
      </c>
      <c r="C204" s="171" t="s">
        <v>47</v>
      </c>
      <c r="D204" s="44">
        <v>2912524114.71</v>
      </c>
      <c r="E204" s="27">
        <f>(D204/$D$225)</f>
        <v>4.4440137121228844E-2</v>
      </c>
      <c r="F204" s="76">
        <v>869.66</v>
      </c>
      <c r="G204" s="76">
        <v>880.22</v>
      </c>
      <c r="H204" s="43">
        <v>1679</v>
      </c>
      <c r="I204" s="50">
        <v>-1.01E-2</v>
      </c>
      <c r="J204" s="50">
        <v>0.74409999999999998</v>
      </c>
      <c r="K204" s="44">
        <v>2761619163.0300002</v>
      </c>
      <c r="L204" s="27">
        <f>(K204/$K$225)</f>
        <v>4.1717878403985983E-2</v>
      </c>
      <c r="M204" s="76">
        <v>847.34</v>
      </c>
      <c r="N204" s="76">
        <v>857.7</v>
      </c>
      <c r="O204" s="43">
        <v>1705</v>
      </c>
      <c r="P204" s="50">
        <v>-2.5600000000000001E-2</v>
      </c>
      <c r="Q204" s="50">
        <v>0.69950000000000001</v>
      </c>
      <c r="R204" s="54">
        <f>((K204-D204)/D204)</f>
        <v>-5.1812429953056523E-2</v>
      </c>
      <c r="S204" s="54">
        <f>((N204-G204)/G204)</f>
        <v>-2.5584512962668404E-2</v>
      </c>
      <c r="T204" s="54">
        <f>((O204-H204)/H204)</f>
        <v>1.5485407980941036E-2</v>
      </c>
      <c r="U204" s="54">
        <f>P204-I204</f>
        <v>-1.5500000000000002E-2</v>
      </c>
      <c r="V204" s="55">
        <f>Q204-J204</f>
        <v>-4.4599999999999973E-2</v>
      </c>
    </row>
    <row r="205" spans="1:24" ht="6" customHeight="1">
      <c r="A205" s="33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</row>
    <row r="206" spans="1:24" ht="15" customHeight="1">
      <c r="A206" s="183" t="s">
        <v>169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</row>
    <row r="207" spans="1:24">
      <c r="A207" s="172">
        <v>175</v>
      </c>
      <c r="B207" s="170" t="s">
        <v>287</v>
      </c>
      <c r="C207" s="171" t="s">
        <v>21</v>
      </c>
      <c r="D207" s="26">
        <v>1221713407.21</v>
      </c>
      <c r="E207" s="27">
        <f>(D207/$D$225)</f>
        <v>1.8641257274074813E-2</v>
      </c>
      <c r="F207" s="74">
        <v>1.0895999999999999</v>
      </c>
      <c r="G207" s="74">
        <v>1.0895999999999999</v>
      </c>
      <c r="H207" s="29">
        <v>659</v>
      </c>
      <c r="I207" s="47">
        <v>0.1295</v>
      </c>
      <c r="J207" s="47">
        <v>0.12139999999999999</v>
      </c>
      <c r="K207" s="26">
        <v>1184804651.3</v>
      </c>
      <c r="L207" s="27">
        <f t="shared" ref="L207:L219" si="136">(K207/$K$225)</f>
        <v>1.7898027735721307E-2</v>
      </c>
      <c r="M207" s="74">
        <v>1.0921000000000001</v>
      </c>
      <c r="N207" s="74">
        <v>1.0921000000000001</v>
      </c>
      <c r="O207" s="29">
        <v>656</v>
      </c>
      <c r="P207" s="47">
        <v>0.1196</v>
      </c>
      <c r="Q207" s="47">
        <v>0.1216</v>
      </c>
      <c r="R207" s="54">
        <f>((K207-D207)/D207)</f>
        <v>-3.021064980721444E-2</v>
      </c>
      <c r="S207" s="54">
        <f>((N207-G207)/G207)</f>
        <v>2.2944199706315793E-3</v>
      </c>
      <c r="T207" s="54">
        <f>((O207-H207)/H207)</f>
        <v>-4.552352048558422E-3</v>
      </c>
      <c r="U207" s="54">
        <f>P207-I207</f>
        <v>-9.900000000000006E-3</v>
      </c>
      <c r="V207" s="55">
        <f>Q207-J207</f>
        <v>2.0000000000000573E-4</v>
      </c>
      <c r="X207" s="80"/>
    </row>
    <row r="208" spans="1:24">
      <c r="A208" s="172">
        <v>176</v>
      </c>
      <c r="B208" s="170" t="s">
        <v>228</v>
      </c>
      <c r="C208" s="171" t="s">
        <v>229</v>
      </c>
      <c r="D208" s="26">
        <v>353697813.06999999</v>
      </c>
      <c r="E208" s="27">
        <f>(D208/$D$225)</f>
        <v>5.3968237491742264E-3</v>
      </c>
      <c r="F208" s="74">
        <v>1077.02</v>
      </c>
      <c r="G208" s="74">
        <v>1077.02</v>
      </c>
      <c r="H208" s="29">
        <v>18</v>
      </c>
      <c r="I208" s="47">
        <v>1.1999999999999999E-3</v>
      </c>
      <c r="J208" s="47">
        <v>5.21E-2</v>
      </c>
      <c r="K208" s="26">
        <v>353528453.33999997</v>
      </c>
      <c r="L208" s="27">
        <f t="shared" si="136"/>
        <v>5.3405108228629181E-3</v>
      </c>
      <c r="M208" s="74">
        <v>1076.51</v>
      </c>
      <c r="N208" s="74">
        <v>1076.51</v>
      </c>
      <c r="O208" s="29">
        <v>18</v>
      </c>
      <c r="P208" s="47">
        <v>0</v>
      </c>
      <c r="Q208" s="47">
        <v>5.21E-2</v>
      </c>
      <c r="R208" s="54">
        <f>((K208-D208)/D208)</f>
        <v>-4.7882605925669451E-4</v>
      </c>
      <c r="S208" s="54">
        <f>((N208-G208)/G208)</f>
        <v>-4.7352881097843206E-4</v>
      </c>
      <c r="T208" s="54">
        <f>((O208-H208)/H208)</f>
        <v>0</v>
      </c>
      <c r="U208" s="54">
        <f>P208-I208</f>
        <v>-1.1999999999999999E-3</v>
      </c>
      <c r="V208" s="55">
        <f>Q208-J208</f>
        <v>0</v>
      </c>
      <c r="X208" s="80"/>
    </row>
    <row r="209" spans="1:22">
      <c r="A209" s="172">
        <v>177</v>
      </c>
      <c r="B209" s="170" t="s">
        <v>230</v>
      </c>
      <c r="C209" s="171" t="s">
        <v>65</v>
      </c>
      <c r="D209" s="26">
        <v>247953256.13</v>
      </c>
      <c r="E209" s="27">
        <f>(D209/$D$225)</f>
        <v>3.7833426499095427E-3</v>
      </c>
      <c r="F209" s="74">
        <v>119.86</v>
      </c>
      <c r="G209" s="74">
        <v>119.86</v>
      </c>
      <c r="H209" s="29">
        <v>70</v>
      </c>
      <c r="I209" s="47">
        <v>2.3E-3</v>
      </c>
      <c r="J209" s="47">
        <v>0.1346</v>
      </c>
      <c r="K209" s="26">
        <v>243830234.58000001</v>
      </c>
      <c r="L209" s="27">
        <f t="shared" si="136"/>
        <v>3.6833753957092297E-3</v>
      </c>
      <c r="M209" s="74">
        <v>120.13</v>
      </c>
      <c r="N209" s="74">
        <v>120.13</v>
      </c>
      <c r="O209" s="29">
        <v>73</v>
      </c>
      <c r="P209" s="47">
        <v>2.3E-3</v>
      </c>
      <c r="Q209" s="47">
        <v>0.1346</v>
      </c>
      <c r="R209" s="54">
        <f t="shared" ref="R209:R226" si="137">((K209-D209)/D209)</f>
        <v>-1.6628221037913345E-2</v>
      </c>
      <c r="S209" s="54">
        <f t="shared" ref="S209:S225" si="138">((N209-G209)/G209)</f>
        <v>2.2526280660770566E-3</v>
      </c>
      <c r="T209" s="54">
        <f t="shared" ref="T209:T225" si="139">((O209-H209)/H209)</f>
        <v>4.2857142857142858E-2</v>
      </c>
      <c r="U209" s="54">
        <f t="shared" ref="U209:U225" si="140">P209-I209</f>
        <v>0</v>
      </c>
      <c r="V209" s="55">
        <f t="shared" ref="V209:V225" si="141">Q209-J209</f>
        <v>0</v>
      </c>
    </row>
    <row r="210" spans="1:22">
      <c r="A210" s="172">
        <v>178</v>
      </c>
      <c r="B210" s="178" t="s">
        <v>231</v>
      </c>
      <c r="C210" s="171" t="s">
        <v>68</v>
      </c>
      <c r="D210" s="41">
        <v>65595405.049999997</v>
      </c>
      <c r="E210" s="27">
        <f>(D210/$D$225)</f>
        <v>1.0008737027177542E-3</v>
      </c>
      <c r="F210" s="74">
        <v>99.73</v>
      </c>
      <c r="G210" s="74">
        <v>99.73</v>
      </c>
      <c r="H210" s="29">
        <v>16</v>
      </c>
      <c r="I210" s="47">
        <v>2E-3</v>
      </c>
      <c r="J210" s="47">
        <v>6.7000000000000004E-2</v>
      </c>
      <c r="K210" s="41">
        <v>65720736</v>
      </c>
      <c r="L210" s="27">
        <f t="shared" si="136"/>
        <v>9.9279788819986534E-4</v>
      </c>
      <c r="M210" s="74">
        <v>99.92</v>
      </c>
      <c r="N210" s="74">
        <v>99.92</v>
      </c>
      <c r="O210" s="29">
        <v>16</v>
      </c>
      <c r="P210" s="47">
        <v>2E-3</v>
      </c>
      <c r="Q210" s="47">
        <v>6.8900000000000003E-2</v>
      </c>
      <c r="R210" s="54">
        <f t="shared" si="137"/>
        <v>1.9106666069745228E-3</v>
      </c>
      <c r="S210" s="54">
        <f t="shared" si="138"/>
        <v>1.9051438884989244E-3</v>
      </c>
      <c r="T210" s="54">
        <f t="shared" si="139"/>
        <v>0</v>
      </c>
      <c r="U210" s="54">
        <f t="shared" si="140"/>
        <v>0</v>
      </c>
      <c r="V210" s="55">
        <f t="shared" si="141"/>
        <v>1.8999999999999989E-3</v>
      </c>
    </row>
    <row r="211" spans="1:22">
      <c r="A211" s="172">
        <v>179</v>
      </c>
      <c r="B211" s="170" t="s">
        <v>232</v>
      </c>
      <c r="C211" s="171" t="s">
        <v>71</v>
      </c>
      <c r="D211" s="41">
        <v>197959348.52000001</v>
      </c>
      <c r="E211" s="27">
        <v>0</v>
      </c>
      <c r="F211" s="74">
        <v>1.1200000000000001</v>
      </c>
      <c r="G211" s="74">
        <v>1.1153999999999999</v>
      </c>
      <c r="H211" s="29">
        <v>44</v>
      </c>
      <c r="I211" s="47">
        <v>1.8E-3</v>
      </c>
      <c r="J211" s="47">
        <v>0.115</v>
      </c>
      <c r="K211" s="41">
        <v>201279689.33000001</v>
      </c>
      <c r="L211" s="27">
        <f t="shared" si="136"/>
        <v>3.0405936187986237E-3</v>
      </c>
      <c r="M211" s="74">
        <v>1.1200000000000001</v>
      </c>
      <c r="N211" s="74">
        <v>1.1161000000000001</v>
      </c>
      <c r="O211" s="29">
        <v>47</v>
      </c>
      <c r="P211" s="47">
        <v>1.8E-3</v>
      </c>
      <c r="Q211" s="47">
        <v>0.1124</v>
      </c>
      <c r="R211" s="54">
        <f t="shared" ref="R211:R212" si="142">((K211-D211)/D211)</f>
        <v>1.6772841670897626E-2</v>
      </c>
      <c r="S211" s="54">
        <f t="shared" ref="S211:S212" si="143">((N211-G211)/G211)</f>
        <v>6.2757755065460377E-4</v>
      </c>
      <c r="T211" s="54">
        <f t="shared" ref="T211" si="144">((O211-H211)/H211)</f>
        <v>6.8181818181818177E-2</v>
      </c>
      <c r="U211" s="54">
        <f t="shared" ref="U211" si="145">P211-I211</f>
        <v>0</v>
      </c>
      <c r="V211" s="55">
        <f t="shared" ref="V211" si="146">Q211-J211</f>
        <v>-2.6000000000000051E-3</v>
      </c>
    </row>
    <row r="212" spans="1:22">
      <c r="A212" s="172">
        <v>180</v>
      </c>
      <c r="B212" s="170" t="s">
        <v>233</v>
      </c>
      <c r="C212" s="171" t="s">
        <v>29</v>
      </c>
      <c r="D212" s="26">
        <v>5820565425.2299995</v>
      </c>
      <c r="E212" s="27">
        <f t="shared" ref="E212:E219" si="147">(D212/$D$225)</f>
        <v>8.8811874316810688E-2</v>
      </c>
      <c r="F212" s="74">
        <v>157.54</v>
      </c>
      <c r="G212" s="74">
        <v>157.54</v>
      </c>
      <c r="H212" s="29">
        <v>729</v>
      </c>
      <c r="I212" s="47">
        <v>2.8E-3</v>
      </c>
      <c r="J212" s="47">
        <v>9.8100000000000007E-2</v>
      </c>
      <c r="K212" s="26">
        <v>5940436060.7299995</v>
      </c>
      <c r="L212" s="27">
        <f t="shared" si="136"/>
        <v>8.9738075606442855E-2</v>
      </c>
      <c r="M212" s="74">
        <v>157.97</v>
      </c>
      <c r="N212" s="74">
        <v>157.97</v>
      </c>
      <c r="O212" s="29">
        <v>731</v>
      </c>
      <c r="P212" s="47">
        <v>2.7000000000000001E-3</v>
      </c>
      <c r="Q212" s="47">
        <v>0.1011</v>
      </c>
      <c r="R212" s="54">
        <f t="shared" si="142"/>
        <v>2.0594328341436572E-2</v>
      </c>
      <c r="S212" s="54">
        <f t="shared" si="143"/>
        <v>2.7294655325632018E-3</v>
      </c>
      <c r="T212" s="54">
        <f t="shared" si="139"/>
        <v>2.7434842249657062E-3</v>
      </c>
      <c r="U212" s="54">
        <f t="shared" si="140"/>
        <v>-9.9999999999999829E-5</v>
      </c>
      <c r="V212" s="55">
        <f t="shared" si="141"/>
        <v>2.9999999999999888E-3</v>
      </c>
    </row>
    <row r="213" spans="1:22">
      <c r="A213" s="172">
        <v>181</v>
      </c>
      <c r="B213" s="170" t="s">
        <v>234</v>
      </c>
      <c r="C213" s="171" t="s">
        <v>63</v>
      </c>
      <c r="D213" s="26">
        <v>677330883.35000002</v>
      </c>
      <c r="E213" s="27">
        <f t="shared" si="147"/>
        <v>1.033491093875945E-2</v>
      </c>
      <c r="F213" s="32">
        <v>1282.57</v>
      </c>
      <c r="G213" s="32">
        <v>1282.57</v>
      </c>
      <c r="H213" s="29">
        <v>239</v>
      </c>
      <c r="I213" s="47">
        <v>0.1145</v>
      </c>
      <c r="J213" s="47">
        <v>0.1295</v>
      </c>
      <c r="K213" s="26">
        <v>684409438.45000005</v>
      </c>
      <c r="L213" s="27">
        <f t="shared" si="136"/>
        <v>1.0338901943478172E-2</v>
      </c>
      <c r="M213" s="32">
        <v>1285.3800000000001</v>
      </c>
      <c r="N213" s="32">
        <v>1285.3800000000001</v>
      </c>
      <c r="O213" s="29">
        <v>246</v>
      </c>
      <c r="P213" s="47">
        <v>0.1142</v>
      </c>
      <c r="Q213" s="47">
        <v>0.1293</v>
      </c>
      <c r="R213" s="54">
        <f t="shared" si="137"/>
        <v>1.0450660488106361E-2</v>
      </c>
      <c r="S213" s="54">
        <f t="shared" si="138"/>
        <v>2.1909135563752255E-3</v>
      </c>
      <c r="T213" s="54">
        <f t="shared" si="139"/>
        <v>2.9288702928870293E-2</v>
      </c>
      <c r="U213" s="54">
        <f t="shared" si="140"/>
        <v>-3.0000000000000859E-4</v>
      </c>
      <c r="V213" s="55">
        <f t="shared" si="141"/>
        <v>-2.0000000000000573E-4</v>
      </c>
    </row>
    <row r="214" spans="1:22">
      <c r="A214" s="172">
        <v>182</v>
      </c>
      <c r="B214" s="170" t="s">
        <v>235</v>
      </c>
      <c r="C214" s="171" t="s">
        <v>226</v>
      </c>
      <c r="D214" s="26">
        <v>32527011085.490002</v>
      </c>
      <c r="E214" s="27">
        <f t="shared" si="147"/>
        <v>0.49630656291641906</v>
      </c>
      <c r="F214" s="32">
        <v>1271.94</v>
      </c>
      <c r="G214" s="32">
        <v>1271.94</v>
      </c>
      <c r="H214" s="29">
        <v>10896</v>
      </c>
      <c r="I214" s="47">
        <v>2.3999999999999998E-3</v>
      </c>
      <c r="J214" s="47">
        <v>9.4E-2</v>
      </c>
      <c r="K214" s="26">
        <v>33048776291.259998</v>
      </c>
      <c r="L214" s="27">
        <f t="shared" si="136"/>
        <v>0.49924509837431991</v>
      </c>
      <c r="M214" s="32">
        <v>1275.82</v>
      </c>
      <c r="N214" s="32">
        <v>1275.82</v>
      </c>
      <c r="O214" s="29">
        <v>10927</v>
      </c>
      <c r="P214" s="47">
        <v>2.8999999999999998E-3</v>
      </c>
      <c r="Q214" s="47">
        <v>9.69E-2</v>
      </c>
      <c r="R214" s="54">
        <f t="shared" si="137"/>
        <v>1.6040982197800254E-2</v>
      </c>
      <c r="S214" s="54">
        <f t="shared" si="138"/>
        <v>3.0504583549537567E-3</v>
      </c>
      <c r="T214" s="54">
        <f t="shared" si="139"/>
        <v>2.8450807635829662E-3</v>
      </c>
      <c r="U214" s="54">
        <f t="shared" si="140"/>
        <v>5.0000000000000001E-4</v>
      </c>
      <c r="V214" s="55">
        <f t="shared" si="141"/>
        <v>2.8999999999999998E-3</v>
      </c>
    </row>
    <row r="215" spans="1:22">
      <c r="A215" s="172">
        <v>183</v>
      </c>
      <c r="B215" s="170" t="s">
        <v>236</v>
      </c>
      <c r="C215" s="171" t="s">
        <v>237</v>
      </c>
      <c r="D215" s="26">
        <v>441242855.64999998</v>
      </c>
      <c r="E215" s="27">
        <f t="shared" si="147"/>
        <v>6.7326113833055907E-3</v>
      </c>
      <c r="F215" s="76">
        <v>121.95</v>
      </c>
      <c r="G215" s="76">
        <v>122.93</v>
      </c>
      <c r="H215" s="43">
        <v>141</v>
      </c>
      <c r="I215" s="47">
        <v>1.34E-2</v>
      </c>
      <c r="J215" s="47">
        <v>-1.6799999999999999E-2</v>
      </c>
      <c r="K215" s="26">
        <v>422387005.39999998</v>
      </c>
      <c r="L215" s="27">
        <f t="shared" si="136"/>
        <v>6.3807095368528001E-3</v>
      </c>
      <c r="M215" s="76">
        <v>119.55</v>
      </c>
      <c r="N215" s="76">
        <v>120.42</v>
      </c>
      <c r="O215" s="43">
        <v>139</v>
      </c>
      <c r="P215" s="47">
        <v>-2.0400000000000001E-2</v>
      </c>
      <c r="Q215" s="47">
        <v>-3.6900000000000002E-2</v>
      </c>
      <c r="R215" s="54">
        <f t="shared" si="137"/>
        <v>-4.2733497004100444E-2</v>
      </c>
      <c r="S215" s="54">
        <f t="shared" si="138"/>
        <v>-2.0418124135687016E-2</v>
      </c>
      <c r="T215" s="54">
        <f t="shared" si="139"/>
        <v>-1.4184397163120567E-2</v>
      </c>
      <c r="U215" s="54">
        <f t="shared" si="140"/>
        <v>-3.3800000000000004E-2</v>
      </c>
      <c r="V215" s="55">
        <f t="shared" si="141"/>
        <v>-2.0100000000000003E-2</v>
      </c>
    </row>
    <row r="216" spans="1:22">
      <c r="A216" s="172">
        <v>184</v>
      </c>
      <c r="B216" s="170" t="s">
        <v>238</v>
      </c>
      <c r="C216" s="171" t="s">
        <v>237</v>
      </c>
      <c r="D216" s="26">
        <v>295759271.85000002</v>
      </c>
      <c r="E216" s="27">
        <f t="shared" si="147"/>
        <v>4.5127806940741862E-3</v>
      </c>
      <c r="F216" s="76">
        <v>127.08</v>
      </c>
      <c r="G216" s="76">
        <v>127.08</v>
      </c>
      <c r="H216" s="43">
        <v>89</v>
      </c>
      <c r="I216" s="47">
        <v>2.5999999999999999E-3</v>
      </c>
      <c r="J216" s="47">
        <v>0.13780000000000001</v>
      </c>
      <c r="K216" s="26">
        <v>327646849.92000002</v>
      </c>
      <c r="L216" s="27">
        <f t="shared" si="136"/>
        <v>4.9495352680760342E-3</v>
      </c>
      <c r="M216" s="76">
        <v>127.47</v>
      </c>
      <c r="N216" s="76">
        <v>127.47</v>
      </c>
      <c r="O216" s="43">
        <v>90</v>
      </c>
      <c r="P216" s="47">
        <v>3.0000000000000001E-3</v>
      </c>
      <c r="Q216" s="47">
        <v>0.14119999999999999</v>
      </c>
      <c r="R216" s="54">
        <f t="shared" si="137"/>
        <v>0.10781598788278188</v>
      </c>
      <c r="S216" s="54">
        <f t="shared" si="138"/>
        <v>3.0689329556185126E-3</v>
      </c>
      <c r="T216" s="54">
        <f t="shared" si="139"/>
        <v>1.1235955056179775E-2</v>
      </c>
      <c r="U216" s="54">
        <f t="shared" si="140"/>
        <v>4.0000000000000018E-4</v>
      </c>
      <c r="V216" s="55">
        <f t="shared" si="141"/>
        <v>3.3999999999999864E-3</v>
      </c>
    </row>
    <row r="217" spans="1:22" ht="13.5" customHeight="1">
      <c r="A217" s="172">
        <v>185</v>
      </c>
      <c r="B217" s="170" t="s">
        <v>239</v>
      </c>
      <c r="C217" s="171" t="s">
        <v>85</v>
      </c>
      <c r="D217" s="26">
        <v>2035654114</v>
      </c>
      <c r="E217" s="27">
        <f t="shared" si="147"/>
        <v>3.1060600494482494E-2</v>
      </c>
      <c r="F217" s="57">
        <v>105.66</v>
      </c>
      <c r="G217" s="57">
        <v>105.66</v>
      </c>
      <c r="H217" s="29">
        <v>662</v>
      </c>
      <c r="I217" s="47">
        <v>3.0999999999999999E-3</v>
      </c>
      <c r="J217" s="47">
        <v>0.1492</v>
      </c>
      <c r="K217" s="26">
        <v>2063214896</v>
      </c>
      <c r="L217" s="27">
        <f t="shared" si="136"/>
        <v>3.1167566225236809E-2</v>
      </c>
      <c r="M217" s="57">
        <v>106.02</v>
      </c>
      <c r="N217" s="57">
        <v>106.02</v>
      </c>
      <c r="O217" s="29">
        <v>662</v>
      </c>
      <c r="P217" s="47">
        <v>3.3999999999999998E-3</v>
      </c>
      <c r="Q217" s="47">
        <v>0.1502</v>
      </c>
      <c r="R217" s="54">
        <f t="shared" si="137"/>
        <v>1.3539029941508029E-2</v>
      </c>
      <c r="S217" s="54">
        <f t="shared" si="138"/>
        <v>3.4071550255536575E-3</v>
      </c>
      <c r="T217" s="54">
        <f t="shared" si="139"/>
        <v>0</v>
      </c>
      <c r="U217" s="54">
        <f t="shared" si="140"/>
        <v>2.9999999999999992E-4</v>
      </c>
      <c r="V217" s="55">
        <f t="shared" si="141"/>
        <v>1.0000000000000009E-3</v>
      </c>
    </row>
    <row r="218" spans="1:22" ht="15.75" customHeight="1">
      <c r="A218" s="172">
        <v>186</v>
      </c>
      <c r="B218" s="170" t="s">
        <v>240</v>
      </c>
      <c r="C218" s="171" t="s">
        <v>47</v>
      </c>
      <c r="D218" s="26">
        <v>5080015747.1300001</v>
      </c>
      <c r="E218" s="27">
        <f t="shared" si="147"/>
        <v>7.7512352684138239E-2</v>
      </c>
      <c r="F218" s="57">
        <v>139.02000000000001</v>
      </c>
      <c r="G218" s="57">
        <v>139.02000000000001</v>
      </c>
      <c r="H218" s="29">
        <v>1439</v>
      </c>
      <c r="I218" s="47">
        <v>-5.1999999999999998E-3</v>
      </c>
      <c r="J218" s="47">
        <v>3.5099999999999999E-2</v>
      </c>
      <c r="K218" s="26">
        <v>5136253902.2200003</v>
      </c>
      <c r="L218" s="27">
        <f t="shared" si="136"/>
        <v>7.7589849684311721E-2</v>
      </c>
      <c r="M218" s="57">
        <v>139.02000000000001</v>
      </c>
      <c r="N218" s="57">
        <v>139.02000000000001</v>
      </c>
      <c r="O218" s="29">
        <v>1452</v>
      </c>
      <c r="P218" s="47">
        <v>1.9E-3</v>
      </c>
      <c r="Q218" s="47">
        <v>3.7199999999999997E-2</v>
      </c>
      <c r="R218" s="54">
        <f t="shared" si="137"/>
        <v>1.1070468653915571E-2</v>
      </c>
      <c r="S218" s="54">
        <f t="shared" si="138"/>
        <v>0</v>
      </c>
      <c r="T218" s="54">
        <f t="shared" si="139"/>
        <v>9.0340514246004169E-3</v>
      </c>
      <c r="U218" s="54">
        <f t="shared" si="140"/>
        <v>7.0999999999999995E-3</v>
      </c>
      <c r="V218" s="55">
        <f t="shared" si="141"/>
        <v>2.0999999999999977E-3</v>
      </c>
    </row>
    <row r="219" spans="1:22">
      <c r="A219" s="172">
        <v>187</v>
      </c>
      <c r="B219" s="170" t="s">
        <v>241</v>
      </c>
      <c r="C219" s="171" t="s">
        <v>50</v>
      </c>
      <c r="D219" s="26">
        <v>4143946226.2600002</v>
      </c>
      <c r="E219" s="27">
        <f t="shared" si="147"/>
        <v>6.3229532620137557E-2</v>
      </c>
      <c r="F219" s="57">
        <v>1.1733</v>
      </c>
      <c r="G219" s="57">
        <v>1.1733</v>
      </c>
      <c r="H219" s="29">
        <v>1800</v>
      </c>
      <c r="I219" s="47">
        <v>2.0999999999999999E-3</v>
      </c>
      <c r="J219" s="47">
        <v>0.108</v>
      </c>
      <c r="K219" s="26">
        <v>4200677149.6700001</v>
      </c>
      <c r="L219" s="27">
        <f t="shared" si="136"/>
        <v>6.3456736138831529E-2</v>
      </c>
      <c r="M219" s="57">
        <v>1.1758</v>
      </c>
      <c r="N219" s="57">
        <v>1.1758</v>
      </c>
      <c r="O219" s="29">
        <v>1809</v>
      </c>
      <c r="P219" s="47">
        <v>2.0999999999999999E-3</v>
      </c>
      <c r="Q219" s="47">
        <v>0.108</v>
      </c>
      <c r="R219" s="54">
        <f t="shared" si="137"/>
        <v>1.3690072291599381E-2</v>
      </c>
      <c r="S219" s="54">
        <f t="shared" si="138"/>
        <v>2.1307423506349158E-3</v>
      </c>
      <c r="T219" s="54">
        <f t="shared" si="139"/>
        <v>5.0000000000000001E-3</v>
      </c>
      <c r="U219" s="54">
        <f t="shared" si="140"/>
        <v>0</v>
      </c>
      <c r="V219" s="55">
        <f t="shared" si="141"/>
        <v>0</v>
      </c>
    </row>
    <row r="220" spans="1:22" ht="6" customHeight="1">
      <c r="A220" s="33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</row>
    <row r="221" spans="1:22">
      <c r="A221" s="183" t="s">
        <v>242</v>
      </c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</row>
    <row r="222" spans="1:22">
      <c r="A222" s="172">
        <v>188</v>
      </c>
      <c r="B222" s="170" t="s">
        <v>311</v>
      </c>
      <c r="C222" s="171" t="s">
        <v>21</v>
      </c>
      <c r="D222" s="75">
        <v>2014254076.0799999</v>
      </c>
      <c r="E222" s="27">
        <f>(D222/$D$199)</f>
        <v>0.23800475014977185</v>
      </c>
      <c r="F222" s="74">
        <v>94.256600000000006</v>
      </c>
      <c r="G222" s="74">
        <v>97.098600000000005</v>
      </c>
      <c r="H222" s="31">
        <v>2233</v>
      </c>
      <c r="I222" s="48">
        <v>-0.10050000000000001</v>
      </c>
      <c r="J222" s="48">
        <v>0.60240000000000005</v>
      </c>
      <c r="K222" s="75">
        <v>2066436328.9000001</v>
      </c>
      <c r="L222" s="51">
        <f>(K222/$K$199)</f>
        <v>0.24777315331165067</v>
      </c>
      <c r="M222" s="74">
        <v>93.366699999999994</v>
      </c>
      <c r="N222" s="74">
        <v>96.181799999999996</v>
      </c>
      <c r="O222" s="31">
        <v>2266</v>
      </c>
      <c r="P222" s="48">
        <v>-0.49230000000000002</v>
      </c>
      <c r="Q222" s="48">
        <v>0.56410000000000005</v>
      </c>
      <c r="R222" s="54">
        <f>((K222-D222)/D222)</f>
        <v>2.5906489871205134E-2</v>
      </c>
      <c r="S222" s="54">
        <f t="shared" ref="S222" si="148">((N222-G222)/G222)</f>
        <v>-9.4419486995693976E-3</v>
      </c>
      <c r="T222" s="54">
        <f t="shared" ref="T222" si="149">((O222-H222)/H222)</f>
        <v>1.4778325123152709E-2</v>
      </c>
      <c r="U222" s="54">
        <f t="shared" ref="U222" si="150">P222-I222</f>
        <v>-0.39180000000000004</v>
      </c>
      <c r="V222" s="55">
        <f t="shared" ref="V222" si="151">Q222-J222</f>
        <v>-3.8300000000000001E-2</v>
      </c>
    </row>
    <row r="223" spans="1:22">
      <c r="A223" s="177">
        <v>189</v>
      </c>
      <c r="B223" s="170" t="s">
        <v>243</v>
      </c>
      <c r="C223" s="171" t="s">
        <v>226</v>
      </c>
      <c r="D223" s="26">
        <v>245269536.59999999</v>
      </c>
      <c r="E223" s="27">
        <f t="shared" ref="E223" si="152">(D223/$D$225)</f>
        <v>3.7423936794595608E-3</v>
      </c>
      <c r="F223" s="32">
        <v>1183.8399999999999</v>
      </c>
      <c r="G223" s="32">
        <v>1183.8399999999999</v>
      </c>
      <c r="H223" s="29">
        <v>142</v>
      </c>
      <c r="I223" s="47">
        <v>-2.0000000000000001E-4</v>
      </c>
      <c r="J223" s="47">
        <v>7.4099999999999999E-2</v>
      </c>
      <c r="K223" s="26">
        <v>245397555.75999999</v>
      </c>
      <c r="L223" s="27">
        <f t="shared" ref="L223" si="153">(K223/$K$225)</f>
        <v>3.7070518371543604E-3</v>
      </c>
      <c r="M223" s="32">
        <v>1184.46</v>
      </c>
      <c r="N223" s="32">
        <v>1184.46</v>
      </c>
      <c r="O223" s="29">
        <v>145</v>
      </c>
      <c r="P223" s="47">
        <v>-2.0000000000000001E-4</v>
      </c>
      <c r="Q223" s="47">
        <v>7.4399999999999994E-2</v>
      </c>
      <c r="R223" s="54">
        <f t="shared" ref="R223" si="154">((K223-D223)/D223)</f>
        <v>5.2195295744688263E-4</v>
      </c>
      <c r="S223" s="54">
        <f t="shared" ref="S223" si="155">((N223-G223)/G223)</f>
        <v>5.2371942154355177E-4</v>
      </c>
      <c r="T223" s="54">
        <f t="shared" ref="T223" si="156">((O223-H223)/H223)</f>
        <v>2.1126760563380281E-2</v>
      </c>
      <c r="U223" s="54">
        <f t="shared" ref="U223" si="157">P223-I223</f>
        <v>0</v>
      </c>
      <c r="V223" s="55">
        <f t="shared" ref="V223" si="158">Q223-J223</f>
        <v>2.9999999999999472E-4</v>
      </c>
    </row>
    <row r="224" spans="1:22">
      <c r="A224" s="177">
        <v>190</v>
      </c>
      <c r="B224" s="170" t="s">
        <v>288</v>
      </c>
      <c r="C224" s="171" t="s">
        <v>289</v>
      </c>
      <c r="D224" s="26">
        <v>90841818.700000003</v>
      </c>
      <c r="E224" s="27">
        <f t="shared" ref="E224" si="159">(D224/$D$225)</f>
        <v>1.3860907997226238E-3</v>
      </c>
      <c r="F224" s="32">
        <v>106.98</v>
      </c>
      <c r="G224" s="32">
        <v>109.19</v>
      </c>
      <c r="H224" s="29">
        <v>227</v>
      </c>
      <c r="I224" s="47">
        <v>3.0599999999999998E-3</v>
      </c>
      <c r="J224" s="47">
        <v>4.7E-2</v>
      </c>
      <c r="K224" s="26">
        <v>99064361.170000002</v>
      </c>
      <c r="L224" s="27">
        <f t="shared" ref="L224" si="160">(K224/$K$225)</f>
        <v>1.4964970654839402E-3</v>
      </c>
      <c r="M224" s="32">
        <v>107.38</v>
      </c>
      <c r="N224" s="32">
        <v>109.59</v>
      </c>
      <c r="O224" s="29">
        <v>261</v>
      </c>
      <c r="P224" s="47">
        <v>3.7000000000000002E-3</v>
      </c>
      <c r="Q224" s="47">
        <v>4.5900000000000003E-2</v>
      </c>
      <c r="R224" s="54">
        <f t="shared" ref="R224" si="161">((K224-D224)/D224)</f>
        <v>9.0514947715374161E-2</v>
      </c>
      <c r="S224" s="54">
        <f t="shared" ref="S224" si="162">((N224-G224)/G224)</f>
        <v>3.6633391336203468E-3</v>
      </c>
      <c r="T224" s="54">
        <f t="shared" ref="T224" si="163">((O224-H224)/H224)</f>
        <v>0.14977973568281938</v>
      </c>
      <c r="U224" s="54">
        <f t="shared" ref="U224" si="164">P224-I224</f>
        <v>6.4000000000000038E-4</v>
      </c>
      <c r="V224" s="55">
        <f t="shared" ref="V224" si="165">Q224-J224</f>
        <v>-1.0999999999999968E-3</v>
      </c>
    </row>
    <row r="225" spans="1:22">
      <c r="A225" s="33"/>
      <c r="B225" s="34"/>
      <c r="C225" s="68" t="s">
        <v>51</v>
      </c>
      <c r="D225" s="45">
        <f>SUM(D203:D224)</f>
        <v>65538144195.299995</v>
      </c>
      <c r="E225" s="37">
        <f>(D225/$D$226)</f>
        <v>1.0159459168780503E-2</v>
      </c>
      <c r="F225" s="38"/>
      <c r="G225" s="71"/>
      <c r="H225" s="81">
        <f>SUM(H203:H224)</f>
        <v>36170</v>
      </c>
      <c r="I225" s="78"/>
      <c r="J225" s="78"/>
      <c r="K225" s="45">
        <f>SUM(K203:K224)</f>
        <v>66197497779.900002</v>
      </c>
      <c r="L225" s="37">
        <f>(K225/$K$226)</f>
        <v>1.0178223851483672E-2</v>
      </c>
      <c r="M225" s="38"/>
      <c r="N225" s="71"/>
      <c r="O225" s="40">
        <f>SUM(O203:O224)</f>
        <v>36343</v>
      </c>
      <c r="P225" s="78"/>
      <c r="Q225" s="78"/>
      <c r="R225" s="54">
        <f t="shared" si="137"/>
        <v>1.0060608103811566E-2</v>
      </c>
      <c r="S225" s="54" t="e">
        <f t="shared" si="138"/>
        <v>#DIV/0!</v>
      </c>
      <c r="T225" s="54">
        <f t="shared" si="139"/>
        <v>4.7829693115841862E-3</v>
      </c>
      <c r="U225" s="54">
        <f t="shared" si="140"/>
        <v>0</v>
      </c>
      <c r="V225" s="55">
        <f t="shared" si="141"/>
        <v>0</v>
      </c>
    </row>
    <row r="226" spans="1:22">
      <c r="A226" s="82"/>
      <c r="B226" s="82"/>
      <c r="C226" s="83" t="s">
        <v>244</v>
      </c>
      <c r="D226" s="84">
        <f>SUM(D25,D70,D112,D154,D163,D194,D199,D225)</f>
        <v>6450948136756.6641</v>
      </c>
      <c r="E226" s="85"/>
      <c r="F226" s="85"/>
      <c r="G226" s="86"/>
      <c r="H226" s="84">
        <f>SUM(H25,H70,H112,H154,H163,H194,H199,H225)</f>
        <v>957178</v>
      </c>
      <c r="I226" s="108"/>
      <c r="J226" s="108"/>
      <c r="K226" s="84">
        <f>SUM(K25,K70,K112,K154,K163,K194,K199,K225)</f>
        <v>6503835909469.6514</v>
      </c>
      <c r="L226" s="85"/>
      <c r="M226" s="85"/>
      <c r="N226" s="86"/>
      <c r="O226" s="84">
        <f>SUM(O25,O70,O112,O154,O163,O194,O199,O225)</f>
        <v>963873</v>
      </c>
      <c r="P226" s="109"/>
      <c r="Q226" s="84"/>
      <c r="R226" s="115">
        <f t="shared" si="137"/>
        <v>8.1984495289366306E-3</v>
      </c>
      <c r="S226" s="115"/>
      <c r="T226" s="115"/>
      <c r="U226" s="115"/>
      <c r="V226" s="115"/>
    </row>
    <row r="227" spans="1:22" ht="6.75" customHeight="1">
      <c r="A227" s="33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34"/>
    </row>
    <row r="228" spans="1:22" ht="14.4" customHeight="1">
      <c r="A228" s="180" t="s">
        <v>245</v>
      </c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</row>
    <row r="229" spans="1:22" ht="14.4" customHeight="1">
      <c r="A229" s="172">
        <v>1</v>
      </c>
      <c r="B229" s="170" t="s">
        <v>310</v>
      </c>
      <c r="C229" s="171" t="s">
        <v>21</v>
      </c>
      <c r="D229" s="26">
        <v>1847068097.1222701</v>
      </c>
      <c r="E229" s="27">
        <f t="shared" ref="E229:E232" si="166">(D229/$D$225)</f>
        <v>2.8183100388349581E-2</v>
      </c>
      <c r="F229" s="32">
        <v>1553.0501943000002</v>
      </c>
      <c r="G229" s="32">
        <v>1553.0501943000002</v>
      </c>
      <c r="H229" s="29">
        <v>48</v>
      </c>
      <c r="I229" s="47">
        <v>6.1800000000000001E-2</v>
      </c>
      <c r="J229" s="47">
        <v>4.0399999999999998E-2</v>
      </c>
      <c r="K229" s="26">
        <f>1215663.36*W135</f>
        <v>1866089331.2413442</v>
      </c>
      <c r="L229" s="27">
        <f>(K229/$K$234)</f>
        <v>0.10008095837505711</v>
      </c>
      <c r="M229" s="32">
        <f>1.0146*W135</f>
        <v>1557.44945334</v>
      </c>
      <c r="N229" s="32">
        <f>1.0146*W135</f>
        <v>1557.44945334</v>
      </c>
      <c r="O229" s="29">
        <v>48</v>
      </c>
      <c r="P229" s="47">
        <v>6.1699999999999998E-2</v>
      </c>
      <c r="Q229" s="47">
        <v>4.1599999999999998E-2</v>
      </c>
      <c r="R229" s="54">
        <f t="shared" ref="R229" si="167">((K229-D229)/D229)</f>
        <v>1.0298068679064494E-2</v>
      </c>
      <c r="S229" s="54">
        <f t="shared" ref="S229" si="168">((N229-G229)/G229)</f>
        <v>2.8326573449757001E-3</v>
      </c>
      <c r="T229" s="54">
        <f t="shared" ref="T229" si="169">((O229-H229)/H229)</f>
        <v>0</v>
      </c>
      <c r="U229" s="54">
        <f t="shared" ref="U229" si="170">P229-I229</f>
        <v>-1.0000000000000286E-4</v>
      </c>
      <c r="V229" s="55">
        <f t="shared" ref="V229" si="171">Q229-J229</f>
        <v>1.1999999999999997E-3</v>
      </c>
    </row>
    <row r="230" spans="1:22" ht="14.4" customHeight="1">
      <c r="A230" s="172">
        <v>2</v>
      </c>
      <c r="B230" s="170" t="s">
        <v>246</v>
      </c>
      <c r="C230" s="171" t="s">
        <v>184</v>
      </c>
      <c r="D230" s="26">
        <v>4458764576.4200001</v>
      </c>
      <c r="E230" s="27">
        <f t="shared" ref="E230" si="172">(D230/$D$225)</f>
        <v>6.8033122255234016E-2</v>
      </c>
      <c r="F230" s="32">
        <v>123.2</v>
      </c>
      <c r="G230" s="32">
        <v>123.2</v>
      </c>
      <c r="H230" s="29">
        <v>9</v>
      </c>
      <c r="I230" s="47">
        <v>0.23849999999999999</v>
      </c>
      <c r="J230" s="47">
        <v>0.23169999999999999</v>
      </c>
      <c r="K230" s="26">
        <v>4505900635.0299997</v>
      </c>
      <c r="L230" s="27">
        <f>(K230/$K$234)</f>
        <v>0.24165769898946926</v>
      </c>
      <c r="M230" s="32">
        <v>123.2</v>
      </c>
      <c r="N230" s="32">
        <v>123.2</v>
      </c>
      <c r="O230" s="29">
        <v>9</v>
      </c>
      <c r="P230" s="47">
        <v>0.27829999999999999</v>
      </c>
      <c r="Q230" s="47">
        <v>0.27229999999999999</v>
      </c>
      <c r="R230" s="54">
        <f t="shared" ref="R230" si="173">((K230-D230)/D230)</f>
        <v>1.0571551334931841E-2</v>
      </c>
      <c r="S230" s="54">
        <f t="shared" ref="S230" si="174">((N230-G230)/G230)</f>
        <v>0</v>
      </c>
      <c r="T230" s="54">
        <f t="shared" ref="T230" si="175">((O230-H230)/H230)</f>
        <v>0</v>
      </c>
      <c r="U230" s="54">
        <f t="shared" ref="U230" si="176">P230-I230</f>
        <v>3.9800000000000002E-2</v>
      </c>
      <c r="V230" s="55">
        <f t="shared" ref="V230" si="177">Q230-J230</f>
        <v>4.0599999999999997E-2</v>
      </c>
    </row>
    <row r="231" spans="1:22" ht="14.4" customHeight="1">
      <c r="A231" s="172">
        <v>3</v>
      </c>
      <c r="B231" s="170" t="s">
        <v>308</v>
      </c>
      <c r="C231" s="171" t="s">
        <v>29</v>
      </c>
      <c r="D231" s="26">
        <v>584045505.86129999</v>
      </c>
      <c r="E231" s="27">
        <f t="shared" si="166"/>
        <v>8.9115356107868585E-3</v>
      </c>
      <c r="F231" s="32">
        <v>161558.796</v>
      </c>
      <c r="G231" s="32">
        <v>161558.796</v>
      </c>
      <c r="H231" s="29">
        <v>4</v>
      </c>
      <c r="I231" s="47">
        <v>6.7999999999999996E-3</v>
      </c>
      <c r="J231" s="47">
        <v>5.1999999999999998E-2</v>
      </c>
      <c r="K231" s="26">
        <f>391847.28*1535.94</f>
        <v>601853911.24320006</v>
      </c>
      <c r="L231" s="27">
        <f>(K231/$K$234)</f>
        <v>3.2278259797416872E-2</v>
      </c>
      <c r="M231" s="32">
        <f>105.62*1535.94</f>
        <v>162225.98280000003</v>
      </c>
      <c r="N231" s="32">
        <f>105.62*1535.94</f>
        <v>162225.98280000003</v>
      </c>
      <c r="O231" s="29">
        <v>5</v>
      </c>
      <c r="P231" s="47">
        <v>4.0000000000000001E-3</v>
      </c>
      <c r="Q231" s="47">
        <v>5.62E-2</v>
      </c>
      <c r="R231" s="54">
        <f t="shared" ref="R231:R232" si="178">((K231-D231)/D231)</f>
        <v>3.0491468906412987E-2</v>
      </c>
      <c r="S231" s="54">
        <f t="shared" ref="S231:S232" si="179">((N231-G231)/G231)</f>
        <v>4.129684155358678E-3</v>
      </c>
      <c r="T231" s="54">
        <f t="shared" ref="T231:T232" si="180">((O231-H231)/H231)</f>
        <v>0.25</v>
      </c>
      <c r="U231" s="54">
        <f t="shared" ref="U231:U232" si="181">P231-I231</f>
        <v>-2.7999999999999995E-3</v>
      </c>
      <c r="V231" s="55">
        <f t="shared" ref="V231:V232" si="182">Q231-J231</f>
        <v>4.2000000000000023E-3</v>
      </c>
    </row>
    <row r="232" spans="1:22" ht="14.4" customHeight="1">
      <c r="A232" s="172">
        <v>4</v>
      </c>
      <c r="B232" s="170" t="s">
        <v>295</v>
      </c>
      <c r="C232" s="171" t="s">
        <v>39</v>
      </c>
      <c r="D232" s="26">
        <v>11400205782.290001</v>
      </c>
      <c r="E232" s="27">
        <f t="shared" si="166"/>
        <v>0.1739476441126869</v>
      </c>
      <c r="F232" s="32">
        <v>1.18</v>
      </c>
      <c r="G232" s="32">
        <v>1.18</v>
      </c>
      <c r="H232" s="29">
        <v>16</v>
      </c>
      <c r="I232" s="47">
        <v>5.3E-3</v>
      </c>
      <c r="J232" s="47">
        <v>0.2203</v>
      </c>
      <c r="K232" s="26">
        <v>11543248090.280001</v>
      </c>
      <c r="L232" s="27">
        <f>(K232/$K$234)</f>
        <v>0.61908040108014462</v>
      </c>
      <c r="M232" s="32">
        <v>1.2</v>
      </c>
      <c r="N232" s="32">
        <v>1.2</v>
      </c>
      <c r="O232" s="29">
        <v>16</v>
      </c>
      <c r="P232" s="47">
        <v>1.1599999999999999E-2</v>
      </c>
      <c r="Q232" s="47">
        <v>0.23430000000000001</v>
      </c>
      <c r="R232" s="54">
        <f t="shared" si="178"/>
        <v>1.2547344383222733E-2</v>
      </c>
      <c r="S232" s="54">
        <f t="shared" si="179"/>
        <v>1.6949152542372899E-2</v>
      </c>
      <c r="T232" s="54">
        <f t="shared" si="180"/>
        <v>0</v>
      </c>
      <c r="U232" s="54">
        <f t="shared" si="181"/>
        <v>6.2999999999999992E-3</v>
      </c>
      <c r="V232" s="55">
        <f t="shared" si="182"/>
        <v>1.4000000000000012E-2</v>
      </c>
    </row>
    <row r="233" spans="1:22" ht="14.4" customHeight="1">
      <c r="A233" s="172">
        <v>5</v>
      </c>
      <c r="B233" s="170" t="s">
        <v>313</v>
      </c>
      <c r="C233" s="171" t="s">
        <v>50</v>
      </c>
      <c r="D233" s="26">
        <v>128047394.52</v>
      </c>
      <c r="E233" s="27">
        <f t="shared" ref="E233" si="183">(D233/$D$225)</f>
        <v>1.9537842594142723E-3</v>
      </c>
      <c r="F233" s="32">
        <v>1.0714999999999999</v>
      </c>
      <c r="G233" s="32">
        <v>1.0714999999999999</v>
      </c>
      <c r="H233" s="29">
        <v>12</v>
      </c>
      <c r="I233" s="47">
        <v>-1.67E-2</v>
      </c>
      <c r="J233" s="47">
        <v>7.1499999999999994E-2</v>
      </c>
      <c r="K233" s="26">
        <v>128706009.56</v>
      </c>
      <c r="L233" s="27">
        <f>(K233/$K$234)</f>
        <v>6.9026817579121245E-3</v>
      </c>
      <c r="M233" s="32">
        <v>1.0686</v>
      </c>
      <c r="N233" s="32">
        <v>1.0686</v>
      </c>
      <c r="O233" s="29">
        <v>12</v>
      </c>
      <c r="P233" s="47">
        <v>-3.2000000000000002E-3</v>
      </c>
      <c r="Q233" s="47">
        <v>6.8599999999999994E-2</v>
      </c>
      <c r="R233" s="54">
        <f t="shared" ref="R233:R234" si="184">((K233-D233)/D233)</f>
        <v>5.1435255084174014E-3</v>
      </c>
      <c r="S233" s="54">
        <f t="shared" ref="S233" si="185">((N233-G233)/G233)</f>
        <v>-2.7064862342509595E-3</v>
      </c>
      <c r="T233" s="54">
        <f t="shared" ref="T233" si="186">((O233-H233)/H233)</f>
        <v>0</v>
      </c>
      <c r="U233" s="54">
        <f t="shared" ref="U233" si="187">P233-I233</f>
        <v>1.35E-2</v>
      </c>
      <c r="V233" s="55">
        <f t="shared" ref="V233" si="188">Q233-J233</f>
        <v>-2.8999999999999998E-3</v>
      </c>
    </row>
    <row r="234" spans="1:22" ht="14.4" customHeight="1">
      <c r="A234" s="87"/>
      <c r="B234" s="87"/>
      <c r="C234" s="87" t="s">
        <v>51</v>
      </c>
      <c r="D234" s="87">
        <f>SUM(D229:D233)</f>
        <v>18418131356.213573</v>
      </c>
      <c r="E234" s="87"/>
      <c r="F234" s="87"/>
      <c r="G234" s="87"/>
      <c r="H234" s="87">
        <f>SUM(H229:H233)</f>
        <v>89</v>
      </c>
      <c r="I234" s="87"/>
      <c r="J234" s="87"/>
      <c r="K234" s="87">
        <f>SUM(K229:K233)</f>
        <v>18645797977.354546</v>
      </c>
      <c r="L234" s="37"/>
      <c r="M234" s="87"/>
      <c r="N234" s="87"/>
      <c r="O234" s="87">
        <f>SUM(O229:O233)</f>
        <v>90</v>
      </c>
      <c r="P234" s="87"/>
      <c r="Q234" s="87"/>
      <c r="R234" s="115">
        <f t="shared" si="184"/>
        <v>1.2361005399397704E-2</v>
      </c>
      <c r="S234" s="87"/>
      <c r="T234" s="87"/>
      <c r="U234" s="87"/>
      <c r="V234" s="87"/>
    </row>
    <row r="235" spans="1:22" ht="6" customHeight="1">
      <c r="A235" s="33"/>
      <c r="B235" s="129"/>
      <c r="C235" s="6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34"/>
    </row>
    <row r="236" spans="1:22" ht="15.6">
      <c r="A236" s="180" t="s">
        <v>247</v>
      </c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</row>
    <row r="237" spans="1:22">
      <c r="A237" s="172">
        <v>1</v>
      </c>
      <c r="B237" s="170" t="s">
        <v>248</v>
      </c>
      <c r="C237" s="171" t="s">
        <v>249</v>
      </c>
      <c r="D237" s="26">
        <v>114390469985</v>
      </c>
      <c r="E237" s="27">
        <f>(D237/$D$239)</f>
        <v>0.88792650378056803</v>
      </c>
      <c r="F237" s="57">
        <v>108.35</v>
      </c>
      <c r="G237" s="57">
        <v>108.35</v>
      </c>
      <c r="H237" s="29">
        <v>0</v>
      </c>
      <c r="I237" s="47">
        <v>0.23899999999999999</v>
      </c>
      <c r="J237" s="47">
        <v>0.23899999999999999</v>
      </c>
      <c r="K237" s="26">
        <v>114390469985</v>
      </c>
      <c r="L237" s="27">
        <f>(K237/$K$239)</f>
        <v>0.88763069038001541</v>
      </c>
      <c r="M237" s="57">
        <v>108.35</v>
      </c>
      <c r="N237" s="57">
        <v>108.35</v>
      </c>
      <c r="O237" s="29">
        <v>0</v>
      </c>
      <c r="P237" s="47">
        <v>0.23899999999999999</v>
      </c>
      <c r="Q237" s="47">
        <v>0.23899999999999999</v>
      </c>
      <c r="R237" s="54">
        <f>((K237-D237)/D237)</f>
        <v>0</v>
      </c>
      <c r="S237" s="54">
        <f>((N237-G237)/G237)</f>
        <v>0</v>
      </c>
      <c r="T237" s="54" t="e">
        <f>((O237-H237)/H237)</f>
        <v>#DIV/0!</v>
      </c>
      <c r="U237" s="54">
        <f>P237-I237</f>
        <v>0</v>
      </c>
      <c r="V237" s="55">
        <f>Q237-J237</f>
        <v>0</v>
      </c>
    </row>
    <row r="238" spans="1:22" ht="14.4" customHeight="1">
      <c r="A238" s="172">
        <v>2</v>
      </c>
      <c r="B238" s="170" t="s">
        <v>250</v>
      </c>
      <c r="C238" s="171" t="s">
        <v>50</v>
      </c>
      <c r="D238" s="26">
        <v>14438289487.719999</v>
      </c>
      <c r="E238" s="27">
        <f>(D238/$D$239)</f>
        <v>0.112073496219432</v>
      </c>
      <c r="F238" s="88">
        <v>1000000</v>
      </c>
      <c r="G238" s="88">
        <v>1000000</v>
      </c>
      <c r="H238" s="29">
        <v>26</v>
      </c>
      <c r="I238" s="47">
        <v>0.2205</v>
      </c>
      <c r="J238" s="47">
        <v>0.2205</v>
      </c>
      <c r="K238" s="26">
        <v>14481223191.84</v>
      </c>
      <c r="L238" s="27">
        <f>(K238/$K$239)</f>
        <v>0.11236930961998468</v>
      </c>
      <c r="M238" s="88">
        <v>1000000</v>
      </c>
      <c r="N238" s="88">
        <v>1000000</v>
      </c>
      <c r="O238" s="29">
        <v>26</v>
      </c>
      <c r="P238" s="47">
        <v>0.21920000000000001</v>
      </c>
      <c r="Q238" s="47">
        <v>0.21920000000000001</v>
      </c>
      <c r="R238" s="54">
        <f>((K238-D238)/D238)</f>
        <v>2.9736004501445031E-3</v>
      </c>
      <c r="S238" s="54">
        <f>((N238-G238)/G238)</f>
        <v>0</v>
      </c>
      <c r="T238" s="54">
        <f>((O238-H238)/H238)</f>
        <v>0</v>
      </c>
      <c r="U238" s="54">
        <f>P238-I238</f>
        <v>-1.2999999999999956E-3</v>
      </c>
      <c r="V238" s="55">
        <f>Q238-J238</f>
        <v>-1.2999999999999956E-3</v>
      </c>
    </row>
    <row r="239" spans="1:22" ht="15" customHeight="1">
      <c r="A239" s="82"/>
      <c r="B239" s="82"/>
      <c r="C239" s="83" t="s">
        <v>251</v>
      </c>
      <c r="D239" s="87">
        <f>SUM(D237:D238)</f>
        <v>128828759472.72</v>
      </c>
      <c r="E239" s="89"/>
      <c r="F239" s="90"/>
      <c r="G239" s="90"/>
      <c r="H239" s="87">
        <f>SUM(H237:H238)</f>
        <v>26</v>
      </c>
      <c r="I239" s="110"/>
      <c r="J239" s="110"/>
      <c r="K239" s="87">
        <f>SUM(K237:K238)</f>
        <v>128871693176.84</v>
      </c>
      <c r="L239" s="89"/>
      <c r="M239" s="90"/>
      <c r="N239" s="90"/>
      <c r="O239" s="87">
        <f>SUM(O237:O238)</f>
        <v>26</v>
      </c>
      <c r="P239" s="110"/>
      <c r="Q239" s="87"/>
      <c r="R239" s="115">
        <f>((K239-D239)/D239)</f>
        <v>3.3326179880732688E-4</v>
      </c>
      <c r="S239" s="116"/>
      <c r="T239" s="116"/>
      <c r="U239" s="115"/>
      <c r="V239" s="117"/>
    </row>
    <row r="240" spans="1:22" ht="4.5" customHeight="1">
      <c r="A240" s="33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</row>
    <row r="241" spans="1:26" ht="15.6">
      <c r="A241" s="180" t="s">
        <v>252</v>
      </c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</row>
    <row r="242" spans="1:26">
      <c r="A242" s="172">
        <v>1</v>
      </c>
      <c r="B242" s="170" t="s">
        <v>253</v>
      </c>
      <c r="C242" s="171" t="s">
        <v>78</v>
      </c>
      <c r="D242" s="91">
        <v>1378007636.79</v>
      </c>
      <c r="E242" s="92">
        <f t="shared" ref="E242:E253" si="189">(D242/$D$254)</f>
        <v>8.0170344254627698E-2</v>
      </c>
      <c r="F242" s="88">
        <v>336.67</v>
      </c>
      <c r="G242" s="88">
        <v>336.67</v>
      </c>
      <c r="H242" s="93">
        <v>266</v>
      </c>
      <c r="I242" s="49">
        <v>-7.4999999999999997E-3</v>
      </c>
      <c r="J242" s="49">
        <v>0.38090000000000002</v>
      </c>
      <c r="K242" s="91">
        <v>1339729952.8499999</v>
      </c>
      <c r="L242" s="92">
        <f t="shared" ref="L242:L253" si="190">(K242/$K$254)</f>
        <v>7.971761948471992E-2</v>
      </c>
      <c r="M242" s="88">
        <v>327.35000000000002</v>
      </c>
      <c r="N242" s="88">
        <v>327.35000000000002</v>
      </c>
      <c r="O242" s="93">
        <v>266</v>
      </c>
      <c r="P242" s="49">
        <v>-2.7699999999999999E-2</v>
      </c>
      <c r="Q242" s="49">
        <v>0.34260000000000002</v>
      </c>
      <c r="R242" s="54">
        <f>((K242-D242)/D242)</f>
        <v>-2.7777555739216375E-2</v>
      </c>
      <c r="S242" s="54">
        <f>((N242-G242)/G242)</f>
        <v>-2.7682894228769992E-2</v>
      </c>
      <c r="T242" s="54">
        <f>((O242-H242)/H242)</f>
        <v>0</v>
      </c>
      <c r="U242" s="54">
        <f>P242-I242</f>
        <v>-2.0199999999999999E-2</v>
      </c>
      <c r="V242" s="55">
        <f>Q242-J242</f>
        <v>-3.8300000000000001E-2</v>
      </c>
    </row>
    <row r="243" spans="1:26">
      <c r="A243" s="172">
        <v>2</v>
      </c>
      <c r="B243" s="170" t="s">
        <v>254</v>
      </c>
      <c r="C243" s="171" t="s">
        <v>226</v>
      </c>
      <c r="D243" s="91">
        <v>1833182009.0899999</v>
      </c>
      <c r="E243" s="92">
        <f t="shared" si="189"/>
        <v>0.10665168234661403</v>
      </c>
      <c r="F243" s="88">
        <v>52.14</v>
      </c>
      <c r="G243" s="88">
        <v>57.63</v>
      </c>
      <c r="H243" s="93">
        <v>238</v>
      </c>
      <c r="I243" s="49">
        <v>-1.2E-2</v>
      </c>
      <c r="J243" s="49">
        <v>0.70079999999999998</v>
      </c>
      <c r="K243" s="91">
        <v>1781747305.7</v>
      </c>
      <c r="L243" s="92">
        <f t="shared" si="190"/>
        <v>0.10601886852761915</v>
      </c>
      <c r="M243" s="88">
        <v>50.68</v>
      </c>
      <c r="N243" s="88">
        <v>56.01</v>
      </c>
      <c r="O243" s="93">
        <v>238</v>
      </c>
      <c r="P243" s="49">
        <v>-2.81E-2</v>
      </c>
      <c r="Q243" s="49">
        <v>0.65310000000000001</v>
      </c>
      <c r="R243" s="54">
        <f t="shared" ref="R243:R254" si="191">((K243-D243)/D243)</f>
        <v>-2.8057608647126257E-2</v>
      </c>
      <c r="S243" s="54">
        <f t="shared" ref="S243:S254" si="192">((N243-G243)/G243)</f>
        <v>-2.8110359187923033E-2</v>
      </c>
      <c r="T243" s="54">
        <f t="shared" ref="T243:T254" si="193">((O243-H243)/H243)</f>
        <v>0</v>
      </c>
      <c r="U243" s="54">
        <f t="shared" ref="U243:U254" si="194">P243-I243</f>
        <v>-1.61E-2</v>
      </c>
      <c r="V243" s="55">
        <f t="shared" ref="V243:V254" si="195">Q243-J243</f>
        <v>-4.7699999999999965E-2</v>
      </c>
    </row>
    <row r="244" spans="1:26">
      <c r="A244" s="172">
        <v>3</v>
      </c>
      <c r="B244" s="170" t="s">
        <v>255</v>
      </c>
      <c r="C244" s="171" t="s">
        <v>41</v>
      </c>
      <c r="D244" s="91">
        <v>545558718.87</v>
      </c>
      <c r="E244" s="92">
        <f t="shared" si="189"/>
        <v>3.1739759008016954E-2</v>
      </c>
      <c r="F244" s="88">
        <v>40.700000000000003</v>
      </c>
      <c r="G244" s="88">
        <v>41.2</v>
      </c>
      <c r="H244" s="93">
        <v>195</v>
      </c>
      <c r="I244" s="49">
        <v>-1.18E-2</v>
      </c>
      <c r="J244" s="49">
        <v>0.4234</v>
      </c>
      <c r="K244" s="91">
        <v>532289574.36000001</v>
      </c>
      <c r="L244" s="92">
        <f t="shared" si="190"/>
        <v>3.167269467570448E-2</v>
      </c>
      <c r="M244" s="88">
        <v>39.71</v>
      </c>
      <c r="N244" s="88">
        <v>40.229999999999997</v>
      </c>
      <c r="O244" s="93">
        <v>195</v>
      </c>
      <c r="P244" s="49">
        <v>-2.4299999999999999E-2</v>
      </c>
      <c r="Q244" s="49">
        <v>0.38879999999999998</v>
      </c>
      <c r="R244" s="54">
        <f t="shared" si="191"/>
        <v>-2.432211978480334E-2</v>
      </c>
      <c r="S244" s="54">
        <f t="shared" si="192"/>
        <v>-2.3543689320388493E-2</v>
      </c>
      <c r="T244" s="54">
        <f t="shared" si="193"/>
        <v>0</v>
      </c>
      <c r="U244" s="54">
        <f t="shared" si="194"/>
        <v>-1.2499999999999999E-2</v>
      </c>
      <c r="V244" s="55">
        <f t="shared" si="195"/>
        <v>-3.460000000000002E-2</v>
      </c>
    </row>
    <row r="245" spans="1:26">
      <c r="A245" s="172">
        <v>4</v>
      </c>
      <c r="B245" s="170" t="s">
        <v>256</v>
      </c>
      <c r="C245" s="171" t="s">
        <v>41</v>
      </c>
      <c r="D245" s="91">
        <v>1176273876.5599999</v>
      </c>
      <c r="E245" s="92">
        <f t="shared" si="189"/>
        <v>6.8433787378140445E-2</v>
      </c>
      <c r="F245" s="88">
        <v>88.27</v>
      </c>
      <c r="G245" s="88">
        <v>88.89</v>
      </c>
      <c r="H245" s="93">
        <v>230</v>
      </c>
      <c r="I245" s="49">
        <v>-1.9800000000000002E-2</v>
      </c>
      <c r="J245" s="49">
        <v>0.3306</v>
      </c>
      <c r="K245" s="91">
        <v>1160858964.73</v>
      </c>
      <c r="L245" s="92">
        <f t="shared" si="190"/>
        <v>6.9074303391448613E-2</v>
      </c>
      <c r="M245" s="88">
        <v>87.11</v>
      </c>
      <c r="N245" s="88">
        <v>87.76</v>
      </c>
      <c r="O245" s="93">
        <v>230</v>
      </c>
      <c r="P245" s="49">
        <v>-1.3100000000000001E-2</v>
      </c>
      <c r="Q245" s="49">
        <v>0.31309999999999999</v>
      </c>
      <c r="R245" s="54">
        <f t="shared" si="191"/>
        <v>-1.3104866253665911E-2</v>
      </c>
      <c r="S245" s="54">
        <f t="shared" si="192"/>
        <v>-1.2712341095736253E-2</v>
      </c>
      <c r="T245" s="54">
        <f t="shared" si="193"/>
        <v>0</v>
      </c>
      <c r="U245" s="54">
        <f t="shared" si="194"/>
        <v>6.7000000000000011E-3</v>
      </c>
      <c r="V245" s="55">
        <f t="shared" si="195"/>
        <v>-1.7500000000000016E-2</v>
      </c>
    </row>
    <row r="246" spans="1:26">
      <c r="A246" s="172">
        <v>5</v>
      </c>
      <c r="B246" s="170" t="s">
        <v>257</v>
      </c>
      <c r="C246" s="171" t="s">
        <v>258</v>
      </c>
      <c r="D246" s="91">
        <v>1594495013.3399999</v>
      </c>
      <c r="E246" s="92">
        <f t="shared" si="189"/>
        <v>9.2765243616161244E-2</v>
      </c>
      <c r="F246" s="88">
        <v>46600</v>
      </c>
      <c r="G246" s="88">
        <v>46600</v>
      </c>
      <c r="H246" s="93">
        <v>271</v>
      </c>
      <c r="I246" s="49">
        <v>-1.7999999999999999E-2</v>
      </c>
      <c r="J246" s="49">
        <v>0.27</v>
      </c>
      <c r="K246" s="91">
        <v>1597476694.27</v>
      </c>
      <c r="L246" s="92">
        <f t="shared" si="190"/>
        <v>9.50542599862155E-2</v>
      </c>
      <c r="M246" s="88">
        <v>46960</v>
      </c>
      <c r="N246" s="88">
        <v>50340</v>
      </c>
      <c r="O246" s="93">
        <v>296</v>
      </c>
      <c r="P246" s="49">
        <v>2E-3</v>
      </c>
      <c r="Q246" s="49">
        <v>0.27</v>
      </c>
      <c r="R246" s="54">
        <f t="shared" si="191"/>
        <v>1.8699844810140351E-3</v>
      </c>
      <c r="S246" s="54">
        <f t="shared" si="192"/>
        <v>8.0257510729613735E-2</v>
      </c>
      <c r="T246" s="54">
        <f t="shared" si="193"/>
        <v>9.2250922509225092E-2</v>
      </c>
      <c r="U246" s="54">
        <f t="shared" si="194"/>
        <v>1.9999999999999997E-2</v>
      </c>
      <c r="V246" s="55">
        <f t="shared" si="195"/>
        <v>0</v>
      </c>
    </row>
    <row r="247" spans="1:26">
      <c r="A247" s="172">
        <v>6</v>
      </c>
      <c r="B247" s="170" t="s">
        <v>259</v>
      </c>
      <c r="C247" s="171" t="s">
        <v>260</v>
      </c>
      <c r="D247" s="91">
        <v>935471079.03999996</v>
      </c>
      <c r="E247" s="92">
        <f t="shared" si="189"/>
        <v>5.4424254586561437E-2</v>
      </c>
      <c r="F247" s="88">
        <v>592</v>
      </c>
      <c r="G247" s="88">
        <v>592</v>
      </c>
      <c r="H247" s="93">
        <v>149</v>
      </c>
      <c r="I247" s="49">
        <v>-3.73E-2</v>
      </c>
      <c r="J247" s="49">
        <v>0.4219</v>
      </c>
      <c r="K247" s="91">
        <v>913786522.52999997</v>
      </c>
      <c r="L247" s="92">
        <f t="shared" si="190"/>
        <v>5.4372813072029534E-2</v>
      </c>
      <c r="M247" s="88">
        <v>592.01</v>
      </c>
      <c r="N247" s="88">
        <v>592.01</v>
      </c>
      <c r="O247" s="93">
        <v>149</v>
      </c>
      <c r="P247" s="49">
        <v>-2.3199999999999998E-2</v>
      </c>
      <c r="Q247" s="49">
        <v>0.38950000000000001</v>
      </c>
      <c r="R247" s="54">
        <f t="shared" si="191"/>
        <v>-2.3180360137112027E-2</v>
      </c>
      <c r="S247" s="54">
        <f t="shared" si="192"/>
        <v>1.689189189187653E-5</v>
      </c>
      <c r="T247" s="54">
        <f t="shared" si="193"/>
        <v>0</v>
      </c>
      <c r="U247" s="54">
        <f t="shared" si="194"/>
        <v>1.4100000000000001E-2</v>
      </c>
      <c r="V247" s="55">
        <f t="shared" si="195"/>
        <v>-3.2399999999999984E-2</v>
      </c>
    </row>
    <row r="248" spans="1:26">
      <c r="A248" s="172">
        <v>7</v>
      </c>
      <c r="B248" s="170" t="s">
        <v>261</v>
      </c>
      <c r="C248" s="171" t="s">
        <v>260</v>
      </c>
      <c r="D248" s="91">
        <v>994818040.64999998</v>
      </c>
      <c r="E248" s="92">
        <f t="shared" si="189"/>
        <v>5.7876968646857277E-2</v>
      </c>
      <c r="F248" s="88">
        <v>499</v>
      </c>
      <c r="G248" s="88">
        <v>499</v>
      </c>
      <c r="H248" s="93">
        <v>733</v>
      </c>
      <c r="I248" s="49">
        <v>-1.9199999999999998E-2</v>
      </c>
      <c r="J248" s="49">
        <v>0.36380000000000001</v>
      </c>
      <c r="K248" s="91">
        <v>965111235.48000002</v>
      </c>
      <c r="L248" s="92">
        <f t="shared" si="190"/>
        <v>5.7426774751699966E-2</v>
      </c>
      <c r="M248" s="88">
        <v>425</v>
      </c>
      <c r="N248" s="88">
        <v>425</v>
      </c>
      <c r="O248" s="93">
        <v>733</v>
      </c>
      <c r="P248" s="49">
        <v>-2.9899999999999999E-2</v>
      </c>
      <c r="Q248" s="49">
        <v>0.32340000000000002</v>
      </c>
      <c r="R248" s="54">
        <f t="shared" si="191"/>
        <v>-2.9861546490039477E-2</v>
      </c>
      <c r="S248" s="54">
        <f t="shared" si="192"/>
        <v>-0.14829659318637275</v>
      </c>
      <c r="T248" s="54">
        <f t="shared" si="193"/>
        <v>0</v>
      </c>
      <c r="U248" s="54">
        <f t="shared" si="194"/>
        <v>-1.0700000000000001E-2</v>
      </c>
      <c r="V248" s="55">
        <f t="shared" si="195"/>
        <v>-4.0399999999999991E-2</v>
      </c>
    </row>
    <row r="249" spans="1:26">
      <c r="A249" s="172">
        <v>8</v>
      </c>
      <c r="B249" s="170" t="s">
        <v>262</v>
      </c>
      <c r="C249" s="171" t="s">
        <v>263</v>
      </c>
      <c r="D249" s="91">
        <v>113116656.16</v>
      </c>
      <c r="E249" s="92">
        <f t="shared" si="189"/>
        <v>6.5809513845688167E-3</v>
      </c>
      <c r="F249" s="88">
        <v>31.88</v>
      </c>
      <c r="G249" s="88">
        <v>31.98</v>
      </c>
      <c r="H249" s="93">
        <v>137</v>
      </c>
      <c r="I249" s="49">
        <v>0.19939999999999999</v>
      </c>
      <c r="J249" s="49">
        <v>1.2383999999999999</v>
      </c>
      <c r="K249" s="91">
        <v>115331480.26000001</v>
      </c>
      <c r="L249" s="92">
        <f t="shared" si="190"/>
        <v>6.8625404981189882E-3</v>
      </c>
      <c r="M249" s="88">
        <v>32.14</v>
      </c>
      <c r="N249" s="88">
        <v>32.24</v>
      </c>
      <c r="O249" s="93">
        <v>143</v>
      </c>
      <c r="P249" s="49">
        <v>-0.15579999999999999</v>
      </c>
      <c r="Q249" s="49">
        <v>0.88949999999999996</v>
      </c>
      <c r="R249" s="54">
        <f t="shared" si="191"/>
        <v>1.9579999755891024E-2</v>
      </c>
      <c r="S249" s="54">
        <f t="shared" si="192"/>
        <v>8.1300813008130576E-3</v>
      </c>
      <c r="T249" s="54">
        <f t="shared" si="193"/>
        <v>4.3795620437956206E-2</v>
      </c>
      <c r="U249" s="54">
        <f t="shared" si="194"/>
        <v>-0.35519999999999996</v>
      </c>
      <c r="V249" s="55">
        <f t="shared" si="195"/>
        <v>-0.34889999999999999</v>
      </c>
    </row>
    <row r="250" spans="1:26">
      <c r="A250" s="172">
        <v>9</v>
      </c>
      <c r="B250" s="170" t="s">
        <v>264</v>
      </c>
      <c r="C250" s="171" t="s">
        <v>263</v>
      </c>
      <c r="D250" s="94">
        <v>1000973002.36</v>
      </c>
      <c r="E250" s="92">
        <f t="shared" si="189"/>
        <v>5.8235054760454014E-2</v>
      </c>
      <c r="F250" s="88">
        <v>15.98</v>
      </c>
      <c r="G250" s="88">
        <v>16.079999999999998</v>
      </c>
      <c r="H250" s="93">
        <v>190</v>
      </c>
      <c r="I250" s="49">
        <v>0</v>
      </c>
      <c r="J250" s="49">
        <v>0.46789999999999998</v>
      </c>
      <c r="K250" s="94">
        <v>966903324.13999999</v>
      </c>
      <c r="L250" s="92">
        <f t="shared" si="190"/>
        <v>5.7533408959270567E-2</v>
      </c>
      <c r="M250" s="88">
        <v>15.42</v>
      </c>
      <c r="N250" s="88">
        <v>15.52</v>
      </c>
      <c r="O250" s="93">
        <v>191</v>
      </c>
      <c r="P250" s="49">
        <v>3.0999999999999999E-3</v>
      </c>
      <c r="Q250" s="49">
        <v>0.47249999999999998</v>
      </c>
      <c r="R250" s="54">
        <f t="shared" si="191"/>
        <v>-3.4036560566242789E-2</v>
      </c>
      <c r="S250" s="54">
        <f t="shared" si="192"/>
        <v>-3.4825870646766094E-2</v>
      </c>
      <c r="T250" s="54">
        <f t="shared" si="193"/>
        <v>5.263157894736842E-3</v>
      </c>
      <c r="U250" s="54">
        <f t="shared" si="194"/>
        <v>3.0999999999999999E-3</v>
      </c>
      <c r="V250" s="55">
        <f t="shared" si="195"/>
        <v>4.599999999999993E-3</v>
      </c>
    </row>
    <row r="251" spans="1:26" ht="15" customHeight="1">
      <c r="A251" s="172">
        <v>10</v>
      </c>
      <c r="B251" s="170" t="s">
        <v>265</v>
      </c>
      <c r="C251" s="171" t="s">
        <v>263</v>
      </c>
      <c r="D251" s="91">
        <v>118088297.81</v>
      </c>
      <c r="E251" s="92">
        <f t="shared" si="189"/>
        <v>6.8701937747776354E-3</v>
      </c>
      <c r="F251" s="88">
        <v>141.94</v>
      </c>
      <c r="G251" s="88">
        <v>143.94</v>
      </c>
      <c r="H251" s="93">
        <v>320</v>
      </c>
      <c r="I251" s="49">
        <v>5.2400000000000002E-2</v>
      </c>
      <c r="J251" s="49">
        <v>7.8E-2</v>
      </c>
      <c r="K251" s="91">
        <v>117763800.06</v>
      </c>
      <c r="L251" s="92">
        <f t="shared" si="190"/>
        <v>7.0072702206045315E-3</v>
      </c>
      <c r="M251" s="88">
        <v>141.55000000000001</v>
      </c>
      <c r="N251" s="88">
        <v>143.55000000000001</v>
      </c>
      <c r="O251" s="93">
        <v>328</v>
      </c>
      <c r="P251" s="49">
        <v>0.18099999999999999</v>
      </c>
      <c r="Q251" s="49">
        <v>0.2732</v>
      </c>
      <c r="R251" s="54">
        <f t="shared" si="191"/>
        <v>-2.747924697179611E-3</v>
      </c>
      <c r="S251" s="54">
        <f t="shared" si="192"/>
        <v>-2.7094622759482171E-3</v>
      </c>
      <c r="T251" s="54">
        <f t="shared" si="193"/>
        <v>2.5000000000000001E-2</v>
      </c>
      <c r="U251" s="54">
        <f t="shared" si="194"/>
        <v>0.12859999999999999</v>
      </c>
      <c r="V251" s="55">
        <f t="shared" si="195"/>
        <v>0.19519999999999998</v>
      </c>
    </row>
    <row r="252" spans="1:26">
      <c r="A252" s="172">
        <v>11</v>
      </c>
      <c r="B252" s="170" t="s">
        <v>266</v>
      </c>
      <c r="C252" s="171" t="s">
        <v>263</v>
      </c>
      <c r="D252" s="91">
        <v>7402822016.1599998</v>
      </c>
      <c r="E252" s="92">
        <f t="shared" si="189"/>
        <v>0.43068468827486484</v>
      </c>
      <c r="F252" s="88">
        <v>53.06</v>
      </c>
      <c r="G252" s="88">
        <v>53.26</v>
      </c>
      <c r="H252" s="93">
        <v>357</v>
      </c>
      <c r="I252" s="49">
        <v>-1.6899999999999998E-2</v>
      </c>
      <c r="J252" s="49">
        <v>0.39629999999999999</v>
      </c>
      <c r="K252" s="91">
        <v>7227551375.04</v>
      </c>
      <c r="L252" s="92">
        <f t="shared" si="190"/>
        <v>0.43005919894231986</v>
      </c>
      <c r="M252" s="88">
        <v>51.84</v>
      </c>
      <c r="N252" s="88">
        <v>51.84</v>
      </c>
      <c r="O252" s="93">
        <v>369</v>
      </c>
      <c r="P252" s="49">
        <v>4.7600000000000003E-2</v>
      </c>
      <c r="Q252" s="49">
        <v>0.46279999999999999</v>
      </c>
      <c r="R252" s="54">
        <f t="shared" si="191"/>
        <v>-2.3676192773160371E-2</v>
      </c>
      <c r="S252" s="54">
        <f t="shared" si="192"/>
        <v>-2.6661659782200427E-2</v>
      </c>
      <c r="T252" s="54">
        <f t="shared" si="193"/>
        <v>3.3613445378151259E-2</v>
      </c>
      <c r="U252" s="54">
        <f t="shared" si="194"/>
        <v>6.4500000000000002E-2</v>
      </c>
      <c r="V252" s="55">
        <f t="shared" si="195"/>
        <v>6.6500000000000004E-2</v>
      </c>
    </row>
    <row r="253" spans="1:26">
      <c r="A253" s="172">
        <v>12</v>
      </c>
      <c r="B253" s="170" t="s">
        <v>267</v>
      </c>
      <c r="C253" s="171" t="s">
        <v>263</v>
      </c>
      <c r="D253" s="94">
        <v>95689593.930000007</v>
      </c>
      <c r="E253" s="92">
        <f t="shared" si="189"/>
        <v>5.5670719683556585E-3</v>
      </c>
      <c r="F253" s="88">
        <v>54.41</v>
      </c>
      <c r="G253" s="88">
        <v>54.61</v>
      </c>
      <c r="H253" s="93">
        <v>121</v>
      </c>
      <c r="I253" s="49">
        <v>-7.3000000000000001E-3</v>
      </c>
      <c r="J253" s="49">
        <v>0.29270000000000002</v>
      </c>
      <c r="K253" s="94">
        <v>87395074.890000001</v>
      </c>
      <c r="L253" s="92">
        <f t="shared" si="190"/>
        <v>5.2002474902489984E-3</v>
      </c>
      <c r="M253" s="88">
        <v>49.83</v>
      </c>
      <c r="N253" s="88">
        <v>50.03</v>
      </c>
      <c r="O253" s="93">
        <v>130</v>
      </c>
      <c r="P253" s="49">
        <v>-7.5800000000000006E-2</v>
      </c>
      <c r="Q253" s="49">
        <v>0.19470000000000001</v>
      </c>
      <c r="R253" s="54">
        <f t="shared" si="191"/>
        <v>-8.6681515714945048E-2</v>
      </c>
      <c r="S253" s="54">
        <f t="shared" si="192"/>
        <v>-8.3867423548800557E-2</v>
      </c>
      <c r="T253" s="54">
        <f t="shared" si="193"/>
        <v>7.43801652892562E-2</v>
      </c>
      <c r="U253" s="54">
        <f t="shared" si="194"/>
        <v>-6.8500000000000005E-2</v>
      </c>
      <c r="V253" s="55">
        <f t="shared" si="195"/>
        <v>-9.8000000000000004E-2</v>
      </c>
    </row>
    <row r="254" spans="1:26">
      <c r="A254" s="125"/>
      <c r="B254" s="125"/>
      <c r="C254" s="126" t="s">
        <v>268</v>
      </c>
      <c r="D254" s="87">
        <f>SUM(D242:D253)</f>
        <v>17188495940.759998</v>
      </c>
      <c r="E254" s="89"/>
      <c r="F254" s="89"/>
      <c r="G254" s="90"/>
      <c r="H254" s="87">
        <f>SUM(H242:H253)</f>
        <v>3207</v>
      </c>
      <c r="I254" s="110"/>
      <c r="J254" s="110"/>
      <c r="K254" s="87">
        <f>SUM(K242:K253)</f>
        <v>16805945304.309998</v>
      </c>
      <c r="L254" s="89"/>
      <c r="M254" s="89"/>
      <c r="N254" s="90"/>
      <c r="O254" s="87">
        <f>SUM(O242:O253)</f>
        <v>3268</v>
      </c>
      <c r="P254" s="110"/>
      <c r="Q254" s="110"/>
      <c r="R254" s="54">
        <f t="shared" si="191"/>
        <v>-2.2256201925314363E-2</v>
      </c>
      <c r="S254" s="54" t="e">
        <f t="shared" si="192"/>
        <v>#DIV/0!</v>
      </c>
      <c r="T254" s="54">
        <f t="shared" si="193"/>
        <v>1.9020891799189272E-2</v>
      </c>
      <c r="U254" s="54">
        <f t="shared" si="194"/>
        <v>0</v>
      </c>
      <c r="V254" s="55">
        <f t="shared" si="195"/>
        <v>0</v>
      </c>
      <c r="Z254" s="62"/>
    </row>
    <row r="255" spans="1:26">
      <c r="A255" s="95"/>
      <c r="B255" s="95"/>
      <c r="C255" s="96" t="s">
        <v>269</v>
      </c>
      <c r="D255" s="97">
        <f>SUM(D226,D234,D239,D254)</f>
        <v>6615383523526.3574</v>
      </c>
      <c r="E255" s="98"/>
      <c r="F255" s="98"/>
      <c r="G255" s="99"/>
      <c r="H255" s="97">
        <f>SUM(H226,H234,H239,H254)</f>
        <v>960500</v>
      </c>
      <c r="I255" s="111"/>
      <c r="J255" s="111"/>
      <c r="K255" s="97">
        <f>SUM(K226,K234,K239,K254)</f>
        <v>6668159345928.1553</v>
      </c>
      <c r="L255" s="98"/>
      <c r="M255" s="98"/>
      <c r="N255" s="97"/>
      <c r="O255" s="97">
        <f>SUM(O226,O234,O239,O254)</f>
        <v>967257</v>
      </c>
      <c r="P255" s="112"/>
      <c r="Q255" s="97"/>
      <c r="R255" s="118"/>
      <c r="S255" s="119"/>
      <c r="T255" s="119"/>
      <c r="U255" s="120"/>
      <c r="V255" s="120"/>
      <c r="Z255" s="62"/>
    </row>
    <row r="256" spans="1:26">
      <c r="A256" s="100" t="s">
        <v>270</v>
      </c>
      <c r="B256" s="123" t="s">
        <v>327</v>
      </c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</row>
    <row r="257" spans="2:11">
      <c r="B257" s="122"/>
    </row>
    <row r="258" spans="2:11">
      <c r="B258" s="122"/>
      <c r="C258" s="102"/>
      <c r="D258" s="103"/>
      <c r="K258" s="103"/>
    </row>
    <row r="259" spans="2:11" ht="15">
      <c r="B259" s="104"/>
      <c r="C259" s="105"/>
      <c r="D259" s="106"/>
      <c r="F259" s="107"/>
      <c r="G259" s="107"/>
      <c r="I259" s="113"/>
      <c r="J259" s="114"/>
    </row>
    <row r="260" spans="2:11">
      <c r="C260" s="122"/>
    </row>
    <row r="262" spans="2:11">
      <c r="B262" s="102"/>
    </row>
  </sheetData>
  <sheetProtection algorithmName="SHA-512" hashValue="SDxFYA9A7YDKQZLJfskqvNTsrSSpYNhZTt7gPnv49djFKPBhyLbrCxWpZBChru4AbU4WxuK7fmPKrkaQZjwLfA==" saltValue="HBoii1q18VDt0m6K8aGdF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1:V71"/>
    <mergeCell ref="A72:V72"/>
    <mergeCell ref="B113:V113"/>
    <mergeCell ref="A114:V114"/>
    <mergeCell ref="A115:V115"/>
    <mergeCell ref="B133:V133"/>
    <mergeCell ref="A134:V134"/>
    <mergeCell ref="B155:V155"/>
    <mergeCell ref="A156:V156"/>
    <mergeCell ref="B164:V164"/>
    <mergeCell ref="A165:V165"/>
    <mergeCell ref="B195:V195"/>
    <mergeCell ref="A196:V196"/>
    <mergeCell ref="B200:V200"/>
    <mergeCell ref="A201:V201"/>
    <mergeCell ref="A202:V202"/>
    <mergeCell ref="A228:V228"/>
    <mergeCell ref="A236:V236"/>
    <mergeCell ref="B240:V240"/>
    <mergeCell ref="A241:V241"/>
    <mergeCell ref="B205:V205"/>
    <mergeCell ref="A206:V206"/>
    <mergeCell ref="B220:V220"/>
    <mergeCell ref="A221:V221"/>
    <mergeCell ref="B227:U227"/>
  </mergeCells>
  <pageMargins left="0.7" right="0.7" top="0.75" bottom="0.75" header="0.3" footer="0.3"/>
  <pageSetup paperSize="9" orientation="portrait" horizontalDpi="300" verticalDpi="300" r:id="rId1"/>
  <ignoredErrors>
    <ignoredError sqref="L97 E97 E77 L49 E49 L34 E34 L139 E139" formula="1"/>
    <ignoredError sqref="S163 S25 S70 S112 S154 S194 S199 S225 S254 T237:T238 R50:T50 R139 R127:T127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H7" sqref="H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8"/>
      <c r="B1" s="148"/>
      <c r="C1" s="148"/>
      <c r="D1" s="148"/>
      <c r="E1" s="15"/>
      <c r="F1" s="15"/>
      <c r="G1" s="15"/>
    </row>
    <row r="2" spans="1:7" ht="27.6">
      <c r="A2" s="150" t="s">
        <v>271</v>
      </c>
      <c r="B2" s="151" t="s">
        <v>324</v>
      </c>
      <c r="C2" s="151" t="s">
        <v>328</v>
      </c>
      <c r="D2" s="152"/>
      <c r="E2" s="15"/>
      <c r="F2" s="15"/>
      <c r="G2" s="15"/>
    </row>
    <row r="3" spans="1:7">
      <c r="A3" s="153" t="s">
        <v>15</v>
      </c>
      <c r="B3" s="154">
        <f t="shared" ref="B3:C10" si="0">B13</f>
        <v>69.783062986465694</v>
      </c>
      <c r="C3" s="154">
        <f t="shared" si="0"/>
        <v>68.712705350806601</v>
      </c>
      <c r="D3" s="152"/>
      <c r="E3" s="15"/>
      <c r="F3" s="15"/>
      <c r="G3" s="15"/>
    </row>
    <row r="4" spans="1:7" ht="15.6" customHeight="1">
      <c r="A4" s="150" t="s">
        <v>52</v>
      </c>
      <c r="B4" s="155">
        <f t="shared" si="0"/>
        <v>3655.0060283440098</v>
      </c>
      <c r="C4" s="155">
        <f t="shared" si="0"/>
        <v>3698.9862289786583</v>
      </c>
      <c r="D4" s="152"/>
      <c r="E4" s="15"/>
      <c r="F4" s="15"/>
      <c r="G4" s="15"/>
    </row>
    <row r="5" spans="1:7" ht="16.2" customHeight="1">
      <c r="A5" s="150" t="s">
        <v>272</v>
      </c>
      <c r="B5" s="154">
        <f t="shared" si="0"/>
        <v>231.12019692210995</v>
      </c>
      <c r="C5" s="154">
        <f t="shared" si="0"/>
        <v>231.15068674354004</v>
      </c>
      <c r="D5" s="152"/>
      <c r="E5" s="15"/>
      <c r="F5" s="15"/>
      <c r="G5" s="15"/>
    </row>
    <row r="6" spans="1:7">
      <c r="A6" s="150" t="s">
        <v>152</v>
      </c>
      <c r="B6" s="155">
        <f t="shared" si="0"/>
        <v>1982.5903663462841</v>
      </c>
      <c r="C6" s="155">
        <f t="shared" si="0"/>
        <v>1991.9229508334918</v>
      </c>
      <c r="D6" s="152"/>
      <c r="E6" s="15"/>
      <c r="F6" s="15"/>
      <c r="G6" s="15"/>
    </row>
    <row r="7" spans="1:7">
      <c r="A7" s="150" t="s">
        <v>273</v>
      </c>
      <c r="B7" s="154">
        <f t="shared" si="0"/>
        <v>362.21827083088999</v>
      </c>
      <c r="C7" s="154">
        <f t="shared" si="0"/>
        <v>362.86661947615005</v>
      </c>
      <c r="D7" s="152"/>
      <c r="E7" s="15"/>
      <c r="F7" s="15"/>
      <c r="G7" s="15"/>
    </row>
    <row r="8" spans="1:7">
      <c r="A8" s="150" t="s">
        <v>189</v>
      </c>
      <c r="B8" s="156">
        <f t="shared" si="0"/>
        <v>76.228983622506107</v>
      </c>
      <c r="C8" s="156">
        <f t="shared" si="0"/>
        <v>75.659187090104211</v>
      </c>
      <c r="D8" s="152"/>
      <c r="E8" s="15"/>
      <c r="F8" s="15"/>
      <c r="G8" s="15"/>
    </row>
    <row r="9" spans="1:7">
      <c r="A9" s="150" t="s">
        <v>219</v>
      </c>
      <c r="B9" s="154">
        <f t="shared" si="0"/>
        <v>8.4630835091000005</v>
      </c>
      <c r="C9" s="154">
        <f t="shared" si="0"/>
        <v>8.3400332170000002</v>
      </c>
      <c r="D9" s="152"/>
      <c r="E9" s="15"/>
      <c r="F9" s="15"/>
      <c r="G9" s="15"/>
    </row>
    <row r="10" spans="1:7">
      <c r="A10" s="150" t="s">
        <v>274</v>
      </c>
      <c r="B10" s="154">
        <f t="shared" si="0"/>
        <v>65.538144195299992</v>
      </c>
      <c r="C10" s="154">
        <f t="shared" si="0"/>
        <v>66.197497779900004</v>
      </c>
      <c r="D10" s="152"/>
      <c r="E10" s="15"/>
      <c r="F10" s="15"/>
      <c r="G10" s="15"/>
    </row>
    <row r="11" spans="1:7">
      <c r="A11" s="150"/>
      <c r="B11" s="154"/>
      <c r="C11" s="154"/>
      <c r="D11" s="152"/>
      <c r="E11" s="15"/>
      <c r="F11" s="15"/>
      <c r="G11" s="15"/>
    </row>
    <row r="12" spans="1:7">
      <c r="A12" s="148"/>
      <c r="B12" s="148"/>
      <c r="C12" s="148"/>
      <c r="D12" s="148"/>
      <c r="E12" s="15"/>
      <c r="F12" s="15"/>
      <c r="G12" s="15"/>
    </row>
    <row r="13" spans="1:7">
      <c r="A13" s="157" t="s">
        <v>15</v>
      </c>
      <c r="B13" s="158">
        <f>'Weekly Valuation'!D25/1000000000</f>
        <v>69.783062986465694</v>
      </c>
      <c r="C13" s="159">
        <f>'Weekly Valuation'!K25/1000000000</f>
        <v>68.712705350806601</v>
      </c>
      <c r="D13" s="148"/>
      <c r="E13" s="15"/>
      <c r="F13" s="15"/>
      <c r="G13" s="15"/>
    </row>
    <row r="14" spans="1:7">
      <c r="A14" s="160" t="s">
        <v>52</v>
      </c>
      <c r="B14" s="158">
        <f>'Weekly Valuation'!D70/1000000000</f>
        <v>3655.0060283440098</v>
      </c>
      <c r="C14" s="161">
        <f>'Weekly Valuation'!K70/1000000000</f>
        <v>3698.9862289786583</v>
      </c>
      <c r="D14" s="148"/>
      <c r="E14" s="15"/>
      <c r="F14" s="15"/>
      <c r="G14" s="15"/>
    </row>
    <row r="15" spans="1:7">
      <c r="A15" s="160" t="s">
        <v>272</v>
      </c>
      <c r="B15" s="158">
        <f>'Weekly Valuation'!D112/1000000000</f>
        <v>231.12019692210995</v>
      </c>
      <c r="C15" s="159">
        <f>'Weekly Valuation'!K112/1000000000</f>
        <v>231.15068674354004</v>
      </c>
      <c r="D15" s="148"/>
      <c r="E15" s="15"/>
      <c r="F15" s="15"/>
      <c r="G15" s="15"/>
    </row>
    <row r="16" spans="1:7">
      <c r="A16" s="160" t="s">
        <v>152</v>
      </c>
      <c r="B16" s="158">
        <f>'Weekly Valuation'!D154/1000000000</f>
        <v>1982.5903663462841</v>
      </c>
      <c r="C16" s="161">
        <f>'Weekly Valuation'!K154/1000000000</f>
        <v>1991.9229508334918</v>
      </c>
      <c r="D16" s="148"/>
      <c r="E16" s="15"/>
      <c r="F16" s="15"/>
      <c r="G16" s="15"/>
    </row>
    <row r="17" spans="1:7">
      <c r="A17" s="160" t="s">
        <v>273</v>
      </c>
      <c r="B17" s="158">
        <f>'Weekly Valuation'!D163/1000000000</f>
        <v>362.21827083088999</v>
      </c>
      <c r="C17" s="159">
        <f>'Weekly Valuation'!K163/1000000000</f>
        <v>362.86661947615005</v>
      </c>
      <c r="D17" s="148"/>
      <c r="E17" s="15"/>
      <c r="F17" s="15"/>
      <c r="G17" s="15"/>
    </row>
    <row r="18" spans="1:7">
      <c r="A18" s="160" t="s">
        <v>189</v>
      </c>
      <c r="B18" s="158">
        <f>'Weekly Valuation'!D194/1000000000</f>
        <v>76.228983622506107</v>
      </c>
      <c r="C18" s="162">
        <f>'Weekly Valuation'!K194/1000000000</f>
        <v>75.659187090104211</v>
      </c>
      <c r="D18" s="148"/>
      <c r="E18" s="15"/>
      <c r="F18" s="15"/>
      <c r="G18" s="15"/>
    </row>
    <row r="19" spans="1:7">
      <c r="A19" s="160" t="s">
        <v>219</v>
      </c>
      <c r="B19" s="158">
        <f>'Weekly Valuation'!D199/1000000000</f>
        <v>8.4630835091000005</v>
      </c>
      <c r="C19" s="159">
        <f>'Weekly Valuation'!K199/1000000000</f>
        <v>8.3400332170000002</v>
      </c>
      <c r="D19" s="148"/>
      <c r="E19" s="15"/>
      <c r="F19" s="15"/>
      <c r="G19" s="15"/>
    </row>
    <row r="20" spans="1:7">
      <c r="A20" s="160" t="s">
        <v>274</v>
      </c>
      <c r="B20" s="158">
        <f>'Weekly Valuation'!D225/1000000000</f>
        <v>65.538144195299992</v>
      </c>
      <c r="C20" s="159">
        <f>'Weekly Valuation'!K225/1000000000</f>
        <v>66.197497779900004</v>
      </c>
      <c r="D20" s="148"/>
      <c r="E20" s="15"/>
      <c r="F20" s="15"/>
      <c r="G20" s="15"/>
    </row>
    <row r="21" spans="1:7">
      <c r="A21" s="145"/>
      <c r="B21" s="148"/>
      <c r="C21" s="147"/>
      <c r="D21" s="148"/>
      <c r="E21" s="15"/>
      <c r="F21" s="15"/>
      <c r="G21" s="15"/>
    </row>
    <row r="22" spans="1:7">
      <c r="A22" s="145"/>
      <c r="B22" s="148"/>
      <c r="C22" s="146"/>
      <c r="D22" s="148"/>
      <c r="E22" s="15"/>
      <c r="F22" s="15"/>
      <c r="G22" s="15"/>
    </row>
    <row r="23" spans="1:7">
      <c r="A23" s="136"/>
      <c r="B23" s="137"/>
      <c r="C23" s="135"/>
      <c r="D23" s="19"/>
      <c r="E23" s="15"/>
      <c r="F23" s="15"/>
      <c r="G23" s="15"/>
    </row>
    <row r="24" spans="1:7">
      <c r="A24" s="134"/>
      <c r="B24" s="133"/>
      <c r="C24" s="133"/>
      <c r="D24" s="15"/>
      <c r="E24" s="15"/>
      <c r="F24" s="15"/>
      <c r="G24" s="15"/>
    </row>
    <row r="25" spans="1:7">
      <c r="A25" s="134"/>
      <c r="B25" s="133"/>
      <c r="C25" s="133"/>
      <c r="D25" s="15"/>
      <c r="E25" s="15"/>
      <c r="F25" s="15"/>
      <c r="G25" s="15"/>
    </row>
    <row r="26" spans="1:7">
      <c r="A26" s="136"/>
      <c r="B26" s="137"/>
      <c r="C26" s="137"/>
      <c r="D26" s="19"/>
      <c r="E26" s="19"/>
      <c r="F26" s="19"/>
      <c r="G26" s="15"/>
    </row>
    <row r="27" spans="1:7">
      <c r="A27" s="136"/>
      <c r="B27" s="137"/>
      <c r="C27" s="137"/>
      <c r="D27" s="19"/>
      <c r="E27" s="19"/>
      <c r="F27" s="19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k7jxBcldWxMI/3PkFDNEoIxz0iRcz97UL1zbaUI93t2liCkCFlZN3AFtwob6OuuBuuPIuFU3c8/9oIraKTyMKg==" saltValue="jgPU/uOPtMg0N4tiEwBZ1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2" sqref="J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3" t="s">
        <v>271</v>
      </c>
      <c r="B1" s="144">
        <v>45891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5" t="s">
        <v>219</v>
      </c>
      <c r="B2" s="146">
        <f>'Weekly Valuation'!K199</f>
        <v>8340033217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5" t="s">
        <v>15</v>
      </c>
      <c r="B3" s="146">
        <f>'Weekly Valuation'!K25</f>
        <v>68712705350.806602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5" t="s">
        <v>274</v>
      </c>
      <c r="B4" s="135">
        <f>'Weekly Valuation'!K225</f>
        <v>66197497779.900002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5" t="s">
        <v>189</v>
      </c>
      <c r="B5" s="146">
        <f>'Weekly Valuation'!K194</f>
        <v>75659187090.104218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5" t="s">
        <v>273</v>
      </c>
      <c r="B6" s="146">
        <f>'Weekly Valuation'!K163</f>
        <v>362866619476.15002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5" t="s">
        <v>272</v>
      </c>
      <c r="B7" s="146">
        <f>'Weekly Valuation'!K112</f>
        <v>231150686743.54004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5" t="s">
        <v>152</v>
      </c>
      <c r="B8" s="147">
        <f>'Weekly Valuation'!K154</f>
        <v>1991922950833.4917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5" t="s">
        <v>52</v>
      </c>
      <c r="B9" s="147">
        <f>'Weekly Valuation'!K70</f>
        <v>3698986228978.6582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8"/>
      <c r="B10" s="148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5"/>
      <c r="B11" s="149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5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7"/>
      <c r="B13" s="137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7"/>
      <c r="B14" s="137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5"/>
      <c r="B15" s="135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7"/>
      <c r="B16" s="137"/>
      <c r="C16" s="19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7"/>
      <c r="B17" s="137"/>
      <c r="C17" s="19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1"/>
      <c r="B18" s="13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1"/>
      <c r="B19" s="13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1"/>
      <c r="B20" s="1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4"/>
      <c r="B21" s="13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20"/>
    </row>
    <row r="33" spans="1:17" ht="15" customHeight="1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20"/>
    </row>
  </sheetData>
  <sheetProtection algorithmName="SHA-512" hashValue="Z/S0jusb/LCglRzlGbv4SQvo0uEnFntX6tud2etbDVaZmGyKRFm4xRyhQL75ayXxPBbA8MvOe3rrLJmxmHnb1Q==" saltValue="cGoACrqqXbv4LAcVmtA5C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38" t="s">
        <v>275</v>
      </c>
      <c r="B2" s="139">
        <v>45842</v>
      </c>
      <c r="C2" s="139">
        <v>45849</v>
      </c>
      <c r="D2" s="139">
        <v>45856</v>
      </c>
      <c r="E2" s="139">
        <v>45863</v>
      </c>
      <c r="F2" s="139">
        <v>45870</v>
      </c>
      <c r="G2" s="139">
        <v>45877</v>
      </c>
      <c r="H2" s="139">
        <v>45884</v>
      </c>
      <c r="I2" s="139">
        <v>45891</v>
      </c>
      <c r="J2" s="19"/>
      <c r="K2" s="19"/>
      <c r="L2" s="15"/>
      <c r="M2" s="15"/>
    </row>
    <row r="3" spans="1:13">
      <c r="A3" s="138" t="s">
        <v>276</v>
      </c>
      <c r="B3" s="140">
        <f t="shared" ref="B3:I3" si="0">B4</f>
        <v>5912.1449998326807</v>
      </c>
      <c r="C3" s="140">
        <f t="shared" si="0"/>
        <v>6009.0237740152752</v>
      </c>
      <c r="D3" s="140">
        <f t="shared" si="0"/>
        <v>6080.0352810801669</v>
      </c>
      <c r="E3" s="140">
        <f t="shared" si="0"/>
        <v>6160.1611789888411</v>
      </c>
      <c r="F3" s="140">
        <f t="shared" si="0"/>
        <v>6280.3086656737469</v>
      </c>
      <c r="G3" s="140">
        <f t="shared" si="0"/>
        <v>6385.4792470095699</v>
      </c>
      <c r="H3" s="140">
        <f t="shared" si="0"/>
        <v>6450.9481367566641</v>
      </c>
      <c r="I3" s="140">
        <f t="shared" si="0"/>
        <v>6503.8359094696516</v>
      </c>
      <c r="J3" s="19"/>
      <c r="K3" s="19"/>
      <c r="L3" s="15"/>
      <c r="M3" s="15"/>
    </row>
    <row r="4" spans="1:13">
      <c r="A4" s="19"/>
      <c r="B4" s="141">
        <f>'NAV Trend'!C10/1000000000</f>
        <v>5912.1449998326807</v>
      </c>
      <c r="C4" s="141">
        <f>'NAV Trend'!D10/1000000000</f>
        <v>6009.0237740152752</v>
      </c>
      <c r="D4" s="141">
        <f>'NAV Trend'!E10/1000000000</f>
        <v>6080.0352810801669</v>
      </c>
      <c r="E4" s="141">
        <f>'NAV Trend'!F10/1000000000</f>
        <v>6160.1611789888411</v>
      </c>
      <c r="F4" s="141">
        <f>'NAV Trend'!G10/1000000000</f>
        <v>6280.3086656737469</v>
      </c>
      <c r="G4" s="141">
        <f>'NAV Trend'!H10/1000000000</f>
        <v>6385.4792470095699</v>
      </c>
      <c r="H4" s="142">
        <f>'NAV Trend'!I10/1000000000</f>
        <v>6450.9481367566641</v>
      </c>
      <c r="I4" s="142">
        <f>'NAV Trend'!J10/1000000000</f>
        <v>6503.8359094696516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xoMykFiYUYr6k8fztyL1y211DZ49esylQEaLe1lzo9wjU4wFpKTPOHnBm9/dRkSHAIqjM3a38HSDurzUF/Xjpg==" saltValue="nH3XX5D0wu9uimV39GB4R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D7" sqref="D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38" t="s">
        <v>275</v>
      </c>
      <c r="B2" s="139">
        <v>45842</v>
      </c>
      <c r="C2" s="139">
        <v>45849</v>
      </c>
      <c r="D2" s="139">
        <v>45856</v>
      </c>
      <c r="E2" s="139">
        <v>45863</v>
      </c>
      <c r="F2" s="139">
        <v>45870</v>
      </c>
      <c r="G2" s="139">
        <v>45877</v>
      </c>
      <c r="H2" s="139">
        <v>45884</v>
      </c>
      <c r="I2" s="139">
        <v>45891</v>
      </c>
      <c r="J2" s="19"/>
      <c r="K2" s="15"/>
      <c r="L2" s="15"/>
      <c r="M2" s="15"/>
      <c r="N2" s="15"/>
    </row>
    <row r="3" spans="1:14">
      <c r="A3" s="138" t="s">
        <v>277</v>
      </c>
      <c r="B3" s="140">
        <f t="shared" ref="B3:I3" si="0">B4</f>
        <v>14.538175757549999</v>
      </c>
      <c r="C3" s="140">
        <f t="shared" si="0"/>
        <v>15.344019261460002</v>
      </c>
      <c r="D3" s="140">
        <f t="shared" si="0"/>
        <v>16.012018416058002</v>
      </c>
      <c r="E3" s="140">
        <f t="shared" si="0"/>
        <v>16.301542614265998</v>
      </c>
      <c r="F3" s="140">
        <f t="shared" si="0"/>
        <v>17.113558632019</v>
      </c>
      <c r="G3" s="140">
        <f t="shared" si="0"/>
        <v>17.395938297309996</v>
      </c>
      <c r="H3" s="140">
        <f t="shared" si="0"/>
        <v>17.188495940759999</v>
      </c>
      <c r="I3" s="140">
        <f t="shared" si="0"/>
        <v>16.805945304309997</v>
      </c>
      <c r="J3" s="19"/>
      <c r="K3" s="15"/>
      <c r="L3" s="15"/>
      <c r="M3" s="15"/>
      <c r="N3" s="15"/>
    </row>
    <row r="4" spans="1:14">
      <c r="A4" s="19"/>
      <c r="B4" s="141">
        <f>'NAV Trend'!C16/1000000000</f>
        <v>14.538175757549999</v>
      </c>
      <c r="C4" s="141">
        <f>'NAV Trend'!D16/1000000000</f>
        <v>15.344019261460002</v>
      </c>
      <c r="D4" s="141">
        <f>'NAV Trend'!E16/1000000000</f>
        <v>16.012018416058002</v>
      </c>
      <c r="E4" s="141">
        <f>'NAV Trend'!F16/1000000000</f>
        <v>16.301542614265998</v>
      </c>
      <c r="F4" s="141">
        <f>'NAV Trend'!G16/1000000000</f>
        <v>17.113558632019</v>
      </c>
      <c r="G4" s="141">
        <f>'NAV Trend'!H16/1000000000</f>
        <v>17.395938297309996</v>
      </c>
      <c r="H4" s="141">
        <f>'NAV Trend'!I16/1000000000</f>
        <v>17.188495940759999</v>
      </c>
      <c r="I4" s="142">
        <f>'NAV Trend'!J16/1000000000</f>
        <v>16.805945304309997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TPKn3Wo6DCm6SwWdXAGmGepracfplp5Y0gDRvrho0uBdeBsUmIpRIzE3jNlFzUz7Q//btgIDM/a/teXsCUD4hA==" saltValue="hAxK9UXIy6Fz7HJpJ2r7P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45835</v>
      </c>
      <c r="C1" s="2">
        <v>45842</v>
      </c>
      <c r="D1" s="2">
        <v>45849</v>
      </c>
      <c r="E1" s="2">
        <v>45856</v>
      </c>
      <c r="F1" s="2">
        <v>45863</v>
      </c>
      <c r="G1" s="2">
        <v>45870</v>
      </c>
      <c r="H1" s="2">
        <v>45877</v>
      </c>
      <c r="I1" s="2">
        <v>45884</v>
      </c>
      <c r="J1" s="2">
        <v>45891</v>
      </c>
    </row>
    <row r="2" spans="1:11">
      <c r="A2" s="3" t="s">
        <v>15</v>
      </c>
      <c r="B2" s="4">
        <v>47767435566.352699</v>
      </c>
      <c r="C2" s="4">
        <v>48773441499.2379</v>
      </c>
      <c r="D2" s="4">
        <v>52269878832.034996</v>
      </c>
      <c r="E2" s="4">
        <v>54748473127.3489</v>
      </c>
      <c r="F2" s="4">
        <v>61687226257.696495</v>
      </c>
      <c r="G2" s="4">
        <v>67229657165.516502</v>
      </c>
      <c r="H2" s="4">
        <v>70540930810.876495</v>
      </c>
      <c r="I2" s="4">
        <v>69783062986.465698</v>
      </c>
      <c r="J2" s="4">
        <v>68712705350.806602</v>
      </c>
    </row>
    <row r="3" spans="1:11">
      <c r="A3" s="3" t="s">
        <v>52</v>
      </c>
      <c r="B3" s="4">
        <v>3143972127991.3154</v>
      </c>
      <c r="C3" s="4">
        <v>3240091962076.584</v>
      </c>
      <c r="D3" s="4">
        <v>3306800238955.9248</v>
      </c>
      <c r="E3" s="4">
        <v>3358188060555.9185</v>
      </c>
      <c r="F3" s="4">
        <v>3426266000665.1895</v>
      </c>
      <c r="G3" s="4">
        <v>3516123821226.8936</v>
      </c>
      <c r="H3" s="4">
        <v>3593469633868.4741</v>
      </c>
      <c r="I3" s="4">
        <v>3655006028344.0098</v>
      </c>
      <c r="J3" s="4">
        <v>3698986228978.6582</v>
      </c>
    </row>
    <row r="4" spans="1:11">
      <c r="A4" s="3" t="s">
        <v>272</v>
      </c>
      <c r="B4" s="5">
        <v>209229734710.64914</v>
      </c>
      <c r="C4" s="5">
        <v>209302612953.89981</v>
      </c>
      <c r="D4" s="5">
        <v>217097119596.70132</v>
      </c>
      <c r="E4" s="5">
        <v>217434885807.0386</v>
      </c>
      <c r="F4" s="5">
        <v>217689331860.23923</v>
      </c>
      <c r="G4" s="5">
        <v>220851958545.65424</v>
      </c>
      <c r="H4" s="5">
        <v>229152303163.27002</v>
      </c>
      <c r="I4" s="5">
        <v>231120196922.10995</v>
      </c>
      <c r="J4" s="5">
        <v>231150686743.54004</v>
      </c>
    </row>
    <row r="5" spans="1:11">
      <c r="A5" s="3" t="s">
        <v>152</v>
      </c>
      <c r="B5" s="4">
        <v>1919903068979.0251</v>
      </c>
      <c r="C5" s="4">
        <v>1920430716545.5254</v>
      </c>
      <c r="D5" s="4">
        <v>1936146669670.2039</v>
      </c>
      <c r="E5" s="4">
        <v>1944523128036.5657</v>
      </c>
      <c r="F5" s="4">
        <v>1950379079099.77</v>
      </c>
      <c r="G5" s="4">
        <v>1966523400379.8149</v>
      </c>
      <c r="H5" s="4">
        <v>1980083846272.4412</v>
      </c>
      <c r="I5" s="4">
        <v>1982590366346.2842</v>
      </c>
      <c r="J5" s="4">
        <v>1991922950833.4917</v>
      </c>
    </row>
    <row r="6" spans="1:11">
      <c r="A6" s="3" t="s">
        <v>273</v>
      </c>
      <c r="B6" s="6">
        <v>358384976471.11237</v>
      </c>
      <c r="C6" s="6">
        <v>359566481710.30396</v>
      </c>
      <c r="D6" s="6">
        <v>360494145775.05426</v>
      </c>
      <c r="E6" s="6">
        <v>364310838344.93243</v>
      </c>
      <c r="F6" s="6">
        <v>359289716719.88489</v>
      </c>
      <c r="G6" s="6">
        <v>360521402538.07672</v>
      </c>
      <c r="H6" s="6">
        <v>361415805737.66992</v>
      </c>
      <c r="I6" s="6">
        <v>362218270830.89001</v>
      </c>
      <c r="J6" s="6">
        <v>362866619476.15002</v>
      </c>
    </row>
    <row r="7" spans="1:11">
      <c r="A7" s="3" t="s">
        <v>189</v>
      </c>
      <c r="B7" s="7">
        <v>65741491816.116287</v>
      </c>
      <c r="C7" s="7">
        <v>66337534088.000557</v>
      </c>
      <c r="D7" s="7">
        <v>67084468156.605881</v>
      </c>
      <c r="E7" s="7">
        <v>70484807160.729034</v>
      </c>
      <c r="F7" s="7">
        <v>73150059573.293945</v>
      </c>
      <c r="G7" s="7">
        <v>75728715664.741028</v>
      </c>
      <c r="H7" s="7">
        <v>76852575641.817932</v>
      </c>
      <c r="I7" s="7">
        <v>76228983622.506104</v>
      </c>
      <c r="J7" s="7">
        <v>75659187090.104218</v>
      </c>
    </row>
    <row r="8" spans="1:11">
      <c r="A8" s="3" t="s">
        <v>219</v>
      </c>
      <c r="B8" s="6">
        <v>6771356167.3599997</v>
      </c>
      <c r="C8" s="6">
        <v>6807247820.3100004</v>
      </c>
      <c r="D8" s="6">
        <v>7283906888.0599995</v>
      </c>
      <c r="E8" s="6">
        <v>7482268171.8400002</v>
      </c>
      <c r="F8" s="6">
        <v>8047780571.3400002</v>
      </c>
      <c r="G8" s="6">
        <v>8530161255.6800003</v>
      </c>
      <c r="H8" s="6">
        <v>8604936686.8199997</v>
      </c>
      <c r="I8" s="6">
        <v>8463083509.1000004</v>
      </c>
      <c r="J8" s="6">
        <v>8340033217</v>
      </c>
    </row>
    <row r="9" spans="1:11">
      <c r="A9" s="3" t="s">
        <v>274</v>
      </c>
      <c r="B9" s="6">
        <v>60500393707.422546</v>
      </c>
      <c r="C9" s="6">
        <v>60835003138.819405</v>
      </c>
      <c r="D9" s="6">
        <v>61847346140.690552</v>
      </c>
      <c r="E9" s="6">
        <v>62862819875.793411</v>
      </c>
      <c r="F9" s="6">
        <v>63651984241.427292</v>
      </c>
      <c r="G9" s="6">
        <v>64799548897.370361</v>
      </c>
      <c r="H9" s="6">
        <v>65359214828.200005</v>
      </c>
      <c r="I9" s="6">
        <v>65538144195.299995</v>
      </c>
      <c r="J9" s="6">
        <v>66197497779.900002</v>
      </c>
    </row>
    <row r="10" spans="1:11" ht="15.6">
      <c r="A10" s="8" t="s">
        <v>278</v>
      </c>
      <c r="B10" s="9">
        <f t="shared" ref="B10:J10" si="0">SUM(B2:B9)</f>
        <v>5812270585409.3535</v>
      </c>
      <c r="C10" s="9">
        <f t="shared" si="0"/>
        <v>5912144999832.6807</v>
      </c>
      <c r="D10" s="9">
        <f t="shared" si="0"/>
        <v>6009023774015.2754</v>
      </c>
      <c r="E10" s="9">
        <f t="shared" si="0"/>
        <v>6080035281080.167</v>
      </c>
      <c r="F10" s="9">
        <f t="shared" si="0"/>
        <v>6160161178988.8408</v>
      </c>
      <c r="G10" s="9">
        <f t="shared" si="0"/>
        <v>6280308665673.7471</v>
      </c>
      <c r="H10" s="9">
        <f t="shared" si="0"/>
        <v>6385479247009.5703</v>
      </c>
      <c r="I10" s="9">
        <f t="shared" si="0"/>
        <v>6450948136756.6641</v>
      </c>
      <c r="J10" s="9">
        <f t="shared" si="0"/>
        <v>6503835909469.6514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1" t="s">
        <v>280</v>
      </c>
      <c r="C12" s="13">
        <f>(B10+C10)/2</f>
        <v>5862207792621.0176</v>
      </c>
      <c r="D12" s="14">
        <f t="shared" ref="D12:J12" si="1">(C10+D10)/2</f>
        <v>5960584386923.9785</v>
      </c>
      <c r="E12" s="14">
        <f t="shared" si="1"/>
        <v>6044529527547.7207</v>
      </c>
      <c r="F12" s="14">
        <f t="shared" si="1"/>
        <v>6120098230034.5039</v>
      </c>
      <c r="G12" s="14">
        <f t="shared" si="1"/>
        <v>6220234922331.2939</v>
      </c>
      <c r="H12" s="14">
        <f t="shared" si="1"/>
        <v>6332893956341.6582</v>
      </c>
      <c r="I12" s="14">
        <f t="shared" si="1"/>
        <v>6418213691883.1172</v>
      </c>
      <c r="J12" s="14">
        <f t="shared" si="1"/>
        <v>6477392023113.1582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45835</v>
      </c>
      <c r="C15" s="2">
        <v>45842</v>
      </c>
      <c r="D15" s="2">
        <v>45849</v>
      </c>
      <c r="E15" s="2">
        <v>45856</v>
      </c>
      <c r="F15" s="2">
        <v>45863</v>
      </c>
      <c r="G15" s="2">
        <v>45870</v>
      </c>
      <c r="H15" s="2">
        <v>45877</v>
      </c>
      <c r="I15" s="2">
        <v>45884</v>
      </c>
      <c r="J15" s="2">
        <v>45891</v>
      </c>
      <c r="K15" s="15"/>
    </row>
    <row r="16" spans="1:11">
      <c r="A16" s="16" t="s">
        <v>281</v>
      </c>
      <c r="B16" s="17">
        <v>14649626500.49</v>
      </c>
      <c r="C16" s="17">
        <v>14538175757.549999</v>
      </c>
      <c r="D16" s="17">
        <v>15344019261.460001</v>
      </c>
      <c r="E16" s="17">
        <v>16012018416.058001</v>
      </c>
      <c r="F16" s="17">
        <v>16301542614.265999</v>
      </c>
      <c r="G16" s="17">
        <v>17113558632.019001</v>
      </c>
      <c r="H16" s="17">
        <v>17395938297.309998</v>
      </c>
      <c r="I16" s="17">
        <v>17188495940.759998</v>
      </c>
      <c r="J16" s="17">
        <v>16805945304.309998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7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e2kjyhdGtGOc0suqBjqcF9WgD1vgcw9qougIokuYZK9W6gVXFjdKlFufuaG8fO0ulEV+t0f0bGfp3gYcKDXk8Q==" saltValue="pZXc9BIngz9knPkiSpO8s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2025-08-29T10:01:55Z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