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23040" windowHeight="9072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Valuation'!$W$133</definedName>
    <definedName name="NFEM_RATE" localSheetId="0">'Weekly Valuation'!$W$133</definedName>
  </definedNames>
  <calcPr calcId="162913"/>
</workbook>
</file>

<file path=xl/calcChain.xml><?xml version="1.0" encoding="utf-8"?>
<calcChain xmlns="http://schemas.openxmlformats.org/spreadsheetml/2006/main">
  <c r="E147" i="1" l="1"/>
  <c r="E148" i="1"/>
  <c r="E149" i="1"/>
  <c r="N130" i="1" l="1"/>
  <c r="M130" i="1"/>
  <c r="K130" i="1"/>
  <c r="K127" i="1"/>
  <c r="N129" i="1" l="1"/>
  <c r="M129" i="1"/>
  <c r="K129" i="1"/>
  <c r="K125" i="1" l="1"/>
  <c r="N121" i="1"/>
  <c r="M121" i="1"/>
  <c r="K121" i="1"/>
  <c r="K140" i="1"/>
  <c r="N139" i="1"/>
  <c r="M139" i="1"/>
  <c r="K139" i="1"/>
  <c r="N134" i="1"/>
  <c r="M134" i="1"/>
  <c r="K134" i="1"/>
  <c r="N149" i="1" l="1"/>
  <c r="M149" i="1"/>
  <c r="K149" i="1"/>
  <c r="N145" i="1"/>
  <c r="M145" i="1"/>
  <c r="K145" i="1"/>
  <c r="M118" i="1"/>
  <c r="N118" i="1"/>
  <c r="K118" i="1"/>
  <c r="M126" i="1"/>
  <c r="N146" i="1"/>
  <c r="M146" i="1"/>
  <c r="K146" i="1"/>
  <c r="N143" i="1"/>
  <c r="M143" i="1"/>
  <c r="K143" i="1"/>
  <c r="N133" i="1" l="1"/>
  <c r="M133" i="1"/>
  <c r="K133" i="1"/>
  <c r="M141" i="1" l="1"/>
  <c r="N148" i="1" l="1"/>
  <c r="M148" i="1"/>
  <c r="K148" i="1"/>
  <c r="N120" i="1" l="1"/>
  <c r="M120" i="1"/>
  <c r="K120" i="1"/>
  <c r="N142" i="1"/>
  <c r="M142" i="1"/>
  <c r="K142" i="1"/>
  <c r="N128" i="1"/>
  <c r="M128" i="1"/>
  <c r="K128" i="1"/>
  <c r="N136" i="1"/>
  <c r="M136" i="1"/>
  <c r="K136" i="1"/>
  <c r="N225" i="1"/>
  <c r="M225" i="1"/>
  <c r="K225" i="1"/>
  <c r="N117" i="1"/>
  <c r="M117" i="1"/>
  <c r="K117" i="1"/>
  <c r="N116" i="1"/>
  <c r="M116" i="1"/>
  <c r="K116" i="1"/>
  <c r="K115" i="1" l="1"/>
  <c r="N114" i="1"/>
  <c r="M114" i="1"/>
  <c r="K114" i="1"/>
  <c r="N227" i="1" l="1"/>
  <c r="M227" i="1"/>
  <c r="K227" i="1"/>
  <c r="N124" i="1"/>
  <c r="M124" i="1"/>
  <c r="N123" i="1"/>
  <c r="M123" i="1"/>
  <c r="K124" i="1"/>
  <c r="K123" i="1"/>
  <c r="N119" i="1" l="1"/>
  <c r="K119" i="1"/>
  <c r="G227" i="1" l="1"/>
  <c r="F227" i="1"/>
  <c r="G225" i="1"/>
  <c r="F225" i="1"/>
  <c r="D227" i="1"/>
  <c r="D225" i="1"/>
  <c r="M119" i="1" l="1"/>
  <c r="N127" i="1" l="1"/>
  <c r="M127" i="1"/>
  <c r="N140" i="1" l="1"/>
  <c r="M140" i="1"/>
  <c r="N138" i="1" l="1"/>
  <c r="M138" i="1"/>
  <c r="N141" i="1"/>
  <c r="K126" i="1" l="1"/>
  <c r="N126" i="1" l="1"/>
  <c r="R179" i="1" l="1"/>
  <c r="R81" i="1" l="1"/>
  <c r="R82" i="1"/>
  <c r="R104" i="1" l="1"/>
  <c r="S104" i="1"/>
  <c r="T104" i="1"/>
  <c r="U104" i="1"/>
  <c r="V104" i="1"/>
  <c r="R15" i="1" l="1"/>
  <c r="V228" i="1" l="1"/>
  <c r="U228" i="1"/>
  <c r="T228" i="1"/>
  <c r="S228" i="1"/>
  <c r="R228" i="1"/>
  <c r="R234" i="1"/>
  <c r="R154" i="1" l="1"/>
  <c r="S154" i="1"/>
  <c r="T154" i="1"/>
  <c r="U154" i="1"/>
  <c r="V154" i="1"/>
  <c r="R126" i="1" l="1"/>
  <c r="R125" i="1"/>
  <c r="S133" i="1"/>
  <c r="R133" i="1"/>
  <c r="S149" i="1"/>
  <c r="R149" i="1"/>
  <c r="S121" i="1"/>
  <c r="S140" i="1"/>
  <c r="R140" i="1"/>
  <c r="R127" i="1"/>
  <c r="S145" i="1"/>
  <c r="R145" i="1"/>
  <c r="S136" i="1"/>
  <c r="R136" i="1"/>
  <c r="S120" i="1"/>
  <c r="R120" i="1"/>
  <c r="K159" i="1"/>
  <c r="L156" i="1" s="1"/>
  <c r="V218" i="1"/>
  <c r="U218" i="1"/>
  <c r="T218" i="1"/>
  <c r="S218" i="1"/>
  <c r="R218" i="1"/>
  <c r="K195" i="1"/>
  <c r="L218" i="1" s="1"/>
  <c r="D195" i="1"/>
  <c r="B19" i="2" s="1"/>
  <c r="B9" i="2" s="1"/>
  <c r="V219" i="1"/>
  <c r="U219" i="1"/>
  <c r="T219" i="1"/>
  <c r="S219" i="1"/>
  <c r="R219" i="1"/>
  <c r="K221" i="1"/>
  <c r="L208" i="1" s="1"/>
  <c r="D221" i="1"/>
  <c r="S134" i="1"/>
  <c r="S148" i="1"/>
  <c r="R115" i="1"/>
  <c r="S143" i="1"/>
  <c r="R143" i="1"/>
  <c r="R128" i="1"/>
  <c r="S114" i="1"/>
  <c r="V234" i="1"/>
  <c r="M125" i="1"/>
  <c r="N125" i="1"/>
  <c r="S125" i="1" s="1"/>
  <c r="V226" i="1"/>
  <c r="U226" i="1"/>
  <c r="T226" i="1"/>
  <c r="S226" i="1"/>
  <c r="R226" i="1"/>
  <c r="K230" i="1"/>
  <c r="S138" i="1"/>
  <c r="U142" i="1"/>
  <c r="V142" i="1"/>
  <c r="N115" i="1"/>
  <c r="S115" i="1" s="1"/>
  <c r="M115" i="1"/>
  <c r="R227" i="1"/>
  <c r="S227" i="1"/>
  <c r="T227" i="1"/>
  <c r="U227" i="1"/>
  <c r="V227" i="1"/>
  <c r="V52" i="1"/>
  <c r="U52" i="1"/>
  <c r="T52" i="1"/>
  <c r="S52" i="1"/>
  <c r="R52" i="1"/>
  <c r="R148" i="1"/>
  <c r="V148" i="1"/>
  <c r="U148" i="1"/>
  <c r="T148" i="1"/>
  <c r="R167" i="1"/>
  <c r="S167" i="1"/>
  <c r="T167" i="1"/>
  <c r="U167" i="1"/>
  <c r="V167" i="1"/>
  <c r="V143" i="1"/>
  <c r="U143" i="1"/>
  <c r="T143" i="1"/>
  <c r="R58" i="1"/>
  <c r="V58" i="1"/>
  <c r="U58" i="1"/>
  <c r="S58" i="1"/>
  <c r="T58" i="1"/>
  <c r="R32" i="1"/>
  <c r="V32" i="1"/>
  <c r="U32" i="1"/>
  <c r="T32" i="1"/>
  <c r="S32" i="1"/>
  <c r="T137" i="1"/>
  <c r="V125" i="1"/>
  <c r="U125" i="1"/>
  <c r="T125" i="1"/>
  <c r="R45" i="1"/>
  <c r="S45" i="1"/>
  <c r="T45" i="1"/>
  <c r="U45" i="1"/>
  <c r="V45" i="1"/>
  <c r="O230" i="1"/>
  <c r="H230" i="1"/>
  <c r="D230" i="1"/>
  <c r="V225" i="1"/>
  <c r="U225" i="1"/>
  <c r="T225" i="1"/>
  <c r="S225" i="1"/>
  <c r="R225" i="1"/>
  <c r="V136" i="1"/>
  <c r="U136" i="1"/>
  <c r="T136" i="1"/>
  <c r="V82" i="1"/>
  <c r="U82" i="1"/>
  <c r="T82" i="1"/>
  <c r="S82" i="1"/>
  <c r="R171" i="1"/>
  <c r="V23" i="1"/>
  <c r="U23" i="1"/>
  <c r="T23" i="1"/>
  <c r="S23" i="1"/>
  <c r="R23" i="1"/>
  <c r="O221" i="1"/>
  <c r="H221" i="1"/>
  <c r="V220" i="1"/>
  <c r="U220" i="1"/>
  <c r="T220" i="1"/>
  <c r="S220" i="1"/>
  <c r="R220" i="1"/>
  <c r="R31" i="1"/>
  <c r="R117" i="1"/>
  <c r="S117" i="1"/>
  <c r="T117" i="1"/>
  <c r="U117" i="1"/>
  <c r="V117" i="1"/>
  <c r="R53" i="1"/>
  <c r="R212" i="1"/>
  <c r="V204" i="1"/>
  <c r="U204" i="1"/>
  <c r="T204" i="1"/>
  <c r="S204" i="1"/>
  <c r="R204" i="1"/>
  <c r="T145" i="1"/>
  <c r="U145" i="1"/>
  <c r="V145" i="1"/>
  <c r="R6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R94" i="1"/>
  <c r="V34" i="1"/>
  <c r="U34" i="1"/>
  <c r="T34" i="1"/>
  <c r="S34" i="1"/>
  <c r="R34" i="1"/>
  <c r="V76" i="1"/>
  <c r="V49" i="1"/>
  <c r="U49" i="1"/>
  <c r="T49" i="1"/>
  <c r="S49" i="1"/>
  <c r="R49" i="1"/>
  <c r="J10" i="4"/>
  <c r="I4" i="5" s="1"/>
  <c r="I3" i="5" s="1"/>
  <c r="I10" i="4"/>
  <c r="H4" i="5" s="1"/>
  <c r="H3" i="5" s="1"/>
  <c r="H10" i="4"/>
  <c r="G4" i="5" s="1"/>
  <c r="G3" i="5" s="1"/>
  <c r="G10" i="4"/>
  <c r="F4" i="5" s="1"/>
  <c r="F3" i="5" s="1"/>
  <c r="F10" i="4"/>
  <c r="E10" i="4"/>
  <c r="D10" i="4"/>
  <c r="E12" i="4" s="1"/>
  <c r="C10" i="4"/>
  <c r="B10" i="4"/>
  <c r="I4" i="6"/>
  <c r="I3" i="6" s="1"/>
  <c r="H4" i="6"/>
  <c r="H3" i="6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V250" i="1"/>
  <c r="U250" i="1"/>
  <c r="S250" i="1"/>
  <c r="O250" i="1"/>
  <c r="K250" i="1"/>
  <c r="L247" i="1" s="1"/>
  <c r="H250" i="1"/>
  <c r="D250" i="1"/>
  <c r="E238" i="1" s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V246" i="1"/>
  <c r="U246" i="1"/>
  <c r="T246" i="1"/>
  <c r="S246" i="1"/>
  <c r="R246" i="1"/>
  <c r="V245" i="1"/>
  <c r="U245" i="1"/>
  <c r="T245" i="1"/>
  <c r="S245" i="1"/>
  <c r="R245" i="1"/>
  <c r="V244" i="1"/>
  <c r="U244" i="1"/>
  <c r="T244" i="1"/>
  <c r="S244" i="1"/>
  <c r="R244" i="1"/>
  <c r="V243" i="1"/>
  <c r="U243" i="1"/>
  <c r="T243" i="1"/>
  <c r="S243" i="1"/>
  <c r="R243" i="1"/>
  <c r="V242" i="1"/>
  <c r="U242" i="1"/>
  <c r="T242" i="1"/>
  <c r="S242" i="1"/>
  <c r="R242" i="1"/>
  <c r="V241" i="1"/>
  <c r="U241" i="1"/>
  <c r="T241" i="1"/>
  <c r="S241" i="1"/>
  <c r="R241" i="1"/>
  <c r="V240" i="1"/>
  <c r="U240" i="1"/>
  <c r="T240" i="1"/>
  <c r="S240" i="1"/>
  <c r="R240" i="1"/>
  <c r="V239" i="1"/>
  <c r="U239" i="1"/>
  <c r="T239" i="1"/>
  <c r="S239" i="1"/>
  <c r="R239" i="1"/>
  <c r="V238" i="1"/>
  <c r="U238" i="1"/>
  <c r="T238" i="1"/>
  <c r="S238" i="1"/>
  <c r="R238" i="1"/>
  <c r="O235" i="1"/>
  <c r="K235" i="1"/>
  <c r="L233" i="1" s="1"/>
  <c r="H235" i="1"/>
  <c r="D235" i="1"/>
  <c r="E233" i="1" s="1"/>
  <c r="U234" i="1"/>
  <c r="T234" i="1"/>
  <c r="S234" i="1"/>
  <c r="V233" i="1"/>
  <c r="U233" i="1"/>
  <c r="T233" i="1"/>
  <c r="S233" i="1"/>
  <c r="R233" i="1"/>
  <c r="V229" i="1"/>
  <c r="U229" i="1"/>
  <c r="T229" i="1"/>
  <c r="S229" i="1"/>
  <c r="R229" i="1"/>
  <c r="V221" i="1"/>
  <c r="U221" i="1"/>
  <c r="S221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8" i="1"/>
  <c r="U208" i="1"/>
  <c r="T208" i="1"/>
  <c r="S208" i="1"/>
  <c r="R208" i="1"/>
  <c r="V207" i="1"/>
  <c r="U207" i="1"/>
  <c r="T207" i="1"/>
  <c r="S207" i="1"/>
  <c r="R207" i="1"/>
  <c r="V206" i="1"/>
  <c r="U206" i="1"/>
  <c r="T206" i="1"/>
  <c r="S206" i="1"/>
  <c r="R206" i="1"/>
  <c r="V205" i="1"/>
  <c r="U205" i="1"/>
  <c r="T205" i="1"/>
  <c r="S205" i="1"/>
  <c r="R205" i="1"/>
  <c r="V203" i="1"/>
  <c r="U203" i="1"/>
  <c r="T203" i="1"/>
  <c r="S203" i="1"/>
  <c r="R203" i="1"/>
  <c r="V200" i="1"/>
  <c r="U200" i="1"/>
  <c r="T200" i="1"/>
  <c r="S200" i="1"/>
  <c r="R200" i="1"/>
  <c r="V199" i="1"/>
  <c r="U199" i="1"/>
  <c r="T199" i="1"/>
  <c r="S199" i="1"/>
  <c r="R199" i="1"/>
  <c r="V195" i="1"/>
  <c r="U195" i="1"/>
  <c r="S195" i="1"/>
  <c r="O195" i="1"/>
  <c r="H195" i="1"/>
  <c r="V194" i="1"/>
  <c r="U194" i="1"/>
  <c r="T194" i="1"/>
  <c r="S194" i="1"/>
  <c r="R194" i="1"/>
  <c r="V193" i="1"/>
  <c r="U193" i="1"/>
  <c r="T193" i="1"/>
  <c r="S193" i="1"/>
  <c r="R193" i="1"/>
  <c r="V190" i="1"/>
  <c r="U190" i="1"/>
  <c r="S190" i="1"/>
  <c r="O190" i="1"/>
  <c r="K190" i="1"/>
  <c r="L179" i="1" s="1"/>
  <c r="H190" i="1"/>
  <c r="D190" i="1"/>
  <c r="E167" i="1" s="1"/>
  <c r="V159" i="1"/>
  <c r="U159" i="1"/>
  <c r="S159" i="1"/>
  <c r="O159" i="1"/>
  <c r="H159" i="1"/>
  <c r="D159" i="1"/>
  <c r="E153" i="1" s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3" i="1"/>
  <c r="U153" i="1"/>
  <c r="T153" i="1"/>
  <c r="S153" i="1"/>
  <c r="R153" i="1"/>
  <c r="V150" i="1"/>
  <c r="U150" i="1"/>
  <c r="S150" i="1"/>
  <c r="O150" i="1"/>
  <c r="H150" i="1"/>
  <c r="V149" i="1"/>
  <c r="U149" i="1"/>
  <c r="T149" i="1"/>
  <c r="V147" i="1"/>
  <c r="U147" i="1"/>
  <c r="T147" i="1"/>
  <c r="S147" i="1"/>
  <c r="R147" i="1"/>
  <c r="V146" i="1"/>
  <c r="U146" i="1"/>
  <c r="T146" i="1"/>
  <c r="S146" i="1"/>
  <c r="V144" i="1"/>
  <c r="U144" i="1"/>
  <c r="T144" i="1"/>
  <c r="S144" i="1"/>
  <c r="R144" i="1"/>
  <c r="T142" i="1"/>
  <c r="S142" i="1"/>
  <c r="V141" i="1"/>
  <c r="U141" i="1"/>
  <c r="T141" i="1"/>
  <c r="R141" i="1"/>
  <c r="S141" i="1"/>
  <c r="V140" i="1"/>
  <c r="U140" i="1"/>
  <c r="T140" i="1"/>
  <c r="V139" i="1"/>
  <c r="U139" i="1"/>
  <c r="T139" i="1"/>
  <c r="S139" i="1"/>
  <c r="R139" i="1"/>
  <c r="V138" i="1"/>
  <c r="U138" i="1"/>
  <c r="T138" i="1"/>
  <c r="R138" i="1"/>
  <c r="V137" i="1"/>
  <c r="U137" i="1"/>
  <c r="S137" i="1"/>
  <c r="R137" i="1"/>
  <c r="V135" i="1"/>
  <c r="U135" i="1"/>
  <c r="T135" i="1"/>
  <c r="S135" i="1"/>
  <c r="R135" i="1"/>
  <c r="V134" i="1"/>
  <c r="U134" i="1"/>
  <c r="T134" i="1"/>
  <c r="V133" i="1"/>
  <c r="U133" i="1"/>
  <c r="T133" i="1"/>
  <c r="V130" i="1"/>
  <c r="U130" i="1"/>
  <c r="T130" i="1"/>
  <c r="S130" i="1"/>
  <c r="V129" i="1"/>
  <c r="U129" i="1"/>
  <c r="T129" i="1"/>
  <c r="S129" i="1"/>
  <c r="R129" i="1"/>
  <c r="V128" i="1"/>
  <c r="U128" i="1"/>
  <c r="T128" i="1"/>
  <c r="S128" i="1"/>
  <c r="V127" i="1"/>
  <c r="U127" i="1"/>
  <c r="T127" i="1"/>
  <c r="S127" i="1"/>
  <c r="V126" i="1"/>
  <c r="U126" i="1"/>
  <c r="T126" i="1"/>
  <c r="S126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V120" i="1"/>
  <c r="U120" i="1"/>
  <c r="T120" i="1"/>
  <c r="V119" i="1"/>
  <c r="U119" i="1"/>
  <c r="T119" i="1"/>
  <c r="S119" i="1"/>
  <c r="V118" i="1"/>
  <c r="U118" i="1"/>
  <c r="T118" i="1"/>
  <c r="S118" i="1"/>
  <c r="V116" i="1"/>
  <c r="U116" i="1"/>
  <c r="T116" i="1"/>
  <c r="S116" i="1"/>
  <c r="V115" i="1"/>
  <c r="U115" i="1"/>
  <c r="T115" i="1"/>
  <c r="V114" i="1"/>
  <c r="U114" i="1"/>
  <c r="T114" i="1"/>
  <c r="R114" i="1"/>
  <c r="V110" i="1"/>
  <c r="U110" i="1"/>
  <c r="S110" i="1"/>
  <c r="O110" i="1"/>
  <c r="K110" i="1"/>
  <c r="H110" i="1"/>
  <c r="D110" i="1"/>
  <c r="E96" i="1" s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1" i="1"/>
  <c r="U81" i="1"/>
  <c r="T81" i="1"/>
  <c r="S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U77" i="1"/>
  <c r="V77" i="1" s="1"/>
  <c r="T77" i="1"/>
  <c r="S77" i="1"/>
  <c r="R77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69" i="1"/>
  <c r="U69" i="1"/>
  <c r="S69" i="1"/>
  <c r="O69" i="1"/>
  <c r="K69" i="1"/>
  <c r="L40" i="1" s="1"/>
  <c r="H69" i="1"/>
  <c r="D69" i="1"/>
  <c r="B14" i="2" s="1"/>
  <c r="B4" i="2" s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V51" i="1"/>
  <c r="U51" i="1"/>
  <c r="T51" i="1"/>
  <c r="S51" i="1"/>
  <c r="R51" i="1"/>
  <c r="V50" i="1"/>
  <c r="U50" i="1"/>
  <c r="T50" i="1"/>
  <c r="S50" i="1"/>
  <c r="R50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L19" i="1" s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D4" i="5"/>
  <c r="D3" i="5" s="1"/>
  <c r="D150" i="1"/>
  <c r="E139" i="1" s="1"/>
  <c r="R116" i="1"/>
  <c r="R119" i="1"/>
  <c r="R130" i="1"/>
  <c r="R134" i="1"/>
  <c r="R142" i="1"/>
  <c r="R146" i="1"/>
  <c r="L36" i="1" l="1"/>
  <c r="L205" i="1"/>
  <c r="T195" i="1"/>
  <c r="L104" i="1"/>
  <c r="L78" i="1"/>
  <c r="D12" i="4"/>
  <c r="L203" i="1"/>
  <c r="F12" i="4"/>
  <c r="E88" i="1"/>
  <c r="E234" i="1"/>
  <c r="E98" i="1"/>
  <c r="E100" i="1"/>
  <c r="G12" i="4"/>
  <c r="E157" i="1"/>
  <c r="E4" i="5"/>
  <c r="E3" i="5" s="1"/>
  <c r="E91" i="1"/>
  <c r="E104" i="1"/>
  <c r="E78" i="1"/>
  <c r="L170" i="1"/>
  <c r="L188" i="1"/>
  <c r="L189" i="1"/>
  <c r="E103" i="1"/>
  <c r="E90" i="1"/>
  <c r="I12" i="4"/>
  <c r="H12" i="4"/>
  <c r="E45" i="1"/>
  <c r="E193" i="1"/>
  <c r="E194" i="1"/>
  <c r="E108" i="1"/>
  <c r="E13" i="1"/>
  <c r="E17" i="1"/>
  <c r="E15" i="1"/>
  <c r="E34" i="1"/>
  <c r="E14" i="1"/>
  <c r="C4" i="5"/>
  <c r="C3" i="5" s="1"/>
  <c r="C12" i="4"/>
  <c r="B4" i="5"/>
  <c r="B3" i="5" s="1"/>
  <c r="T159" i="1"/>
  <c r="E89" i="1"/>
  <c r="E106" i="1"/>
  <c r="E85" i="1"/>
  <c r="E79" i="1"/>
  <c r="E93" i="1"/>
  <c r="E248" i="1"/>
  <c r="E77" i="1"/>
  <c r="E74" i="1"/>
  <c r="E181" i="1"/>
  <c r="E109" i="1"/>
  <c r="E72" i="1"/>
  <c r="E185" i="1"/>
  <c r="E84" i="1"/>
  <c r="E81" i="1"/>
  <c r="T110" i="1"/>
  <c r="E80" i="1"/>
  <c r="E75" i="1"/>
  <c r="E140" i="1"/>
  <c r="E107" i="1"/>
  <c r="E97" i="1"/>
  <c r="B15" i="2"/>
  <c r="B5" i="2" s="1"/>
  <c r="E86" i="1"/>
  <c r="B16" i="2"/>
  <c r="B6" i="2" s="1"/>
  <c r="E82" i="1"/>
  <c r="E105" i="1"/>
  <c r="E102" i="1"/>
  <c r="E101" i="1"/>
  <c r="E16" i="1"/>
  <c r="E9" i="1"/>
  <c r="E20" i="1"/>
  <c r="E243" i="1"/>
  <c r="E18" i="1"/>
  <c r="B13" i="2"/>
  <c r="B3" i="2" s="1"/>
  <c r="E6" i="1"/>
  <c r="E10" i="1"/>
  <c r="E24" i="1"/>
  <c r="E11" i="1"/>
  <c r="E204" i="1"/>
  <c r="E228" i="1"/>
  <c r="E12" i="1"/>
  <c r="E21" i="1"/>
  <c r="E7" i="1"/>
  <c r="E22" i="1"/>
  <c r="E8" i="1"/>
  <c r="E126" i="1"/>
  <c r="E19" i="1"/>
  <c r="L234" i="1"/>
  <c r="R235" i="1"/>
  <c r="L101" i="1"/>
  <c r="L227" i="1"/>
  <c r="L228" i="1"/>
  <c r="L226" i="1"/>
  <c r="R230" i="1"/>
  <c r="E205" i="1"/>
  <c r="B20" i="2"/>
  <c r="B10" i="2" s="1"/>
  <c r="E203" i="1"/>
  <c r="E210" i="1"/>
  <c r="E208" i="1"/>
  <c r="E226" i="1"/>
  <c r="E225" i="1"/>
  <c r="E213" i="1"/>
  <c r="E220" i="1"/>
  <c r="E211" i="1"/>
  <c r="E218" i="1"/>
  <c r="E180" i="1"/>
  <c r="E188" i="1"/>
  <c r="E169" i="1"/>
  <c r="E163" i="1"/>
  <c r="E175" i="1"/>
  <c r="E184" i="1"/>
  <c r="E48" i="1"/>
  <c r="E166" i="1"/>
  <c r="E186" i="1"/>
  <c r="E177" i="1"/>
  <c r="E168" i="1"/>
  <c r="E189" i="1"/>
  <c r="E179" i="1"/>
  <c r="E164" i="1"/>
  <c r="E176" i="1"/>
  <c r="E170" i="1"/>
  <c r="E182" i="1"/>
  <c r="E171" i="1"/>
  <c r="E183" i="1"/>
  <c r="E162" i="1"/>
  <c r="E187" i="1"/>
  <c r="E174" i="1"/>
  <c r="E165" i="1"/>
  <c r="E178" i="1"/>
  <c r="E172" i="1"/>
  <c r="B18" i="2"/>
  <c r="B8" i="2" s="1"/>
  <c r="E173" i="1"/>
  <c r="E156" i="1"/>
  <c r="E158" i="1"/>
  <c r="E143" i="1"/>
  <c r="E116" i="1"/>
  <c r="E133" i="1"/>
  <c r="E145" i="1"/>
  <c r="E125" i="1"/>
  <c r="E117" i="1"/>
  <c r="E141" i="1"/>
  <c r="E118" i="1"/>
  <c r="E136" i="1"/>
  <c r="L225" i="1"/>
  <c r="L158" i="1"/>
  <c r="L153" i="1"/>
  <c r="B6" i="3"/>
  <c r="L229" i="1"/>
  <c r="T221" i="1"/>
  <c r="L155" i="1"/>
  <c r="L154" i="1"/>
  <c r="L157" i="1"/>
  <c r="C17" i="2"/>
  <c r="C7" i="2" s="1"/>
  <c r="E247" i="1"/>
  <c r="E245" i="1"/>
  <c r="L239" i="1"/>
  <c r="R195" i="1"/>
  <c r="L194" i="1"/>
  <c r="L193" i="1"/>
  <c r="B2" i="3"/>
  <c r="C19" i="2"/>
  <c r="C9" i="2" s="1"/>
  <c r="L210" i="1"/>
  <c r="L200" i="1"/>
  <c r="L211" i="1"/>
  <c r="L213" i="1"/>
  <c r="C20" i="2"/>
  <c r="C10" i="2" s="1"/>
  <c r="L199" i="1"/>
  <c r="L215" i="1"/>
  <c r="L209" i="1"/>
  <c r="L206" i="1"/>
  <c r="B4" i="3"/>
  <c r="L204" i="1"/>
  <c r="L214" i="1"/>
  <c r="L212" i="1"/>
  <c r="T25" i="1"/>
  <c r="L23" i="1"/>
  <c r="L11" i="1"/>
  <c r="B3" i="3"/>
  <c r="L20" i="1"/>
  <c r="L17" i="1"/>
  <c r="L22" i="1"/>
  <c r="L16" i="1"/>
  <c r="L18" i="1"/>
  <c r="L7" i="1"/>
  <c r="L13" i="1"/>
  <c r="L14" i="1"/>
  <c r="L12" i="1"/>
  <c r="L9" i="1"/>
  <c r="L10" i="1"/>
  <c r="L34" i="1"/>
  <c r="L8" i="1"/>
  <c r="L6" i="1"/>
  <c r="L24" i="1"/>
  <c r="C13" i="2"/>
  <c r="C3" i="2" s="1"/>
  <c r="L21" i="1"/>
  <c r="R25" i="1"/>
  <c r="L15" i="1"/>
  <c r="L94" i="1"/>
  <c r="L90" i="1"/>
  <c r="L248" i="1"/>
  <c r="L243" i="1"/>
  <c r="L245" i="1"/>
  <c r="L241" i="1"/>
  <c r="L207" i="1"/>
  <c r="L219" i="1"/>
  <c r="L220" i="1"/>
  <c r="E30" i="1"/>
  <c r="T250" i="1"/>
  <c r="L246" i="1"/>
  <c r="L249" i="1"/>
  <c r="L244" i="1"/>
  <c r="L242" i="1"/>
  <c r="L240" i="1"/>
  <c r="L238" i="1"/>
  <c r="K150" i="1"/>
  <c r="R118" i="1"/>
  <c r="R121" i="1"/>
  <c r="T69" i="1"/>
  <c r="L32" i="1"/>
  <c r="E55" i="1"/>
  <c r="L33" i="1"/>
  <c r="L43" i="1"/>
  <c r="E68" i="1"/>
  <c r="L63" i="1"/>
  <c r="L62" i="1"/>
  <c r="L67" i="1"/>
  <c r="E63" i="1"/>
  <c r="L47" i="1"/>
  <c r="E46" i="1"/>
  <c r="L31" i="1"/>
  <c r="E35" i="1"/>
  <c r="E61" i="1"/>
  <c r="E43" i="1"/>
  <c r="L29" i="1"/>
  <c r="E47" i="1"/>
  <c r="E31" i="1"/>
  <c r="E66" i="1"/>
  <c r="E95" i="1"/>
  <c r="L60" i="1"/>
  <c r="L42" i="1"/>
  <c r="E28" i="1"/>
  <c r="L46" i="1"/>
  <c r="L30" i="1"/>
  <c r="E64" i="1"/>
  <c r="L44" i="1"/>
  <c r="E59" i="1"/>
  <c r="E41" i="1"/>
  <c r="E44" i="1"/>
  <c r="E29" i="1"/>
  <c r="E62" i="1"/>
  <c r="E58" i="1"/>
  <c r="L57" i="1"/>
  <c r="E42" i="1"/>
  <c r="L28" i="1"/>
  <c r="E60" i="1"/>
  <c r="B9" i="3"/>
  <c r="E56" i="1"/>
  <c r="E39" i="1"/>
  <c r="L41" i="1"/>
  <c r="E57" i="1"/>
  <c r="L95" i="1"/>
  <c r="L68" i="1"/>
  <c r="L55" i="1"/>
  <c r="E40" i="1"/>
  <c r="L51" i="1"/>
  <c r="L49" i="1"/>
  <c r="L52" i="1"/>
  <c r="E67" i="1"/>
  <c r="E54" i="1"/>
  <c r="E38" i="1"/>
  <c r="L39" i="1"/>
  <c r="L54" i="1"/>
  <c r="E49" i="1"/>
  <c r="L45" i="1"/>
  <c r="E52" i="1"/>
  <c r="C14" i="2"/>
  <c r="C4" i="2" s="1"/>
  <c r="L66" i="1"/>
  <c r="L53" i="1"/>
  <c r="L37" i="1"/>
  <c r="L65" i="1"/>
  <c r="L35" i="1"/>
  <c r="L58" i="1"/>
  <c r="E65" i="1"/>
  <c r="E51" i="1"/>
  <c r="E36" i="1"/>
  <c r="L38" i="1"/>
  <c r="E50" i="1"/>
  <c r="L56" i="1"/>
  <c r="E32" i="1"/>
  <c r="L64" i="1"/>
  <c r="L50" i="1"/>
  <c r="E33" i="1"/>
  <c r="E37" i="1"/>
  <c r="E53" i="1"/>
  <c r="L59" i="1"/>
  <c r="L61" i="1"/>
  <c r="R69" i="1"/>
  <c r="E241" i="1"/>
  <c r="E239" i="1"/>
  <c r="E242" i="1"/>
  <c r="E244" i="1"/>
  <c r="E246" i="1"/>
  <c r="E249" i="1"/>
  <c r="E240" i="1"/>
  <c r="R250" i="1"/>
  <c r="E219" i="1"/>
  <c r="E206" i="1"/>
  <c r="E199" i="1"/>
  <c r="E200" i="1"/>
  <c r="E215" i="1"/>
  <c r="E209" i="1"/>
  <c r="E227" i="1"/>
  <c r="E229" i="1"/>
  <c r="E214" i="1"/>
  <c r="R221" i="1"/>
  <c r="E212" i="1"/>
  <c r="T190" i="1"/>
  <c r="H222" i="1"/>
  <c r="H251" i="1" s="1"/>
  <c r="B17" i="2"/>
  <c r="B7" i="2" s="1"/>
  <c r="E155" i="1"/>
  <c r="R159" i="1"/>
  <c r="T150" i="1"/>
  <c r="E122" i="1"/>
  <c r="E135" i="1"/>
  <c r="E123" i="1"/>
  <c r="E146" i="1"/>
  <c r="E128" i="1"/>
  <c r="E127" i="1"/>
  <c r="E138" i="1"/>
  <c r="E142" i="1"/>
  <c r="E130" i="1"/>
  <c r="E144" i="1"/>
  <c r="E134" i="1"/>
  <c r="E124" i="1"/>
  <c r="E119" i="1"/>
  <c r="E114" i="1"/>
  <c r="E137" i="1"/>
  <c r="E129" i="1"/>
  <c r="E115" i="1"/>
  <c r="E121" i="1"/>
  <c r="E83" i="1"/>
  <c r="E99" i="1"/>
  <c r="E94" i="1"/>
  <c r="E73" i="1"/>
  <c r="E87" i="1"/>
  <c r="E92" i="1"/>
  <c r="D222" i="1"/>
  <c r="E25" i="1" s="1"/>
  <c r="J12" i="4"/>
  <c r="O222" i="1"/>
  <c r="O251" i="1" s="1"/>
  <c r="L171" i="1"/>
  <c r="L182" i="1"/>
  <c r="R190" i="1"/>
  <c r="B5" i="3"/>
  <c r="L162" i="1"/>
  <c r="L183" i="1"/>
  <c r="L48" i="1"/>
  <c r="L174" i="1"/>
  <c r="L173" i="1"/>
  <c r="L186" i="1"/>
  <c r="L172" i="1"/>
  <c r="L165" i="1"/>
  <c r="L166" i="1"/>
  <c r="L181" i="1"/>
  <c r="L178" i="1"/>
  <c r="C18" i="2"/>
  <c r="C8" i="2" s="1"/>
  <c r="L177" i="1"/>
  <c r="L185" i="1"/>
  <c r="L167" i="1"/>
  <c r="L184" i="1"/>
  <c r="L163" i="1"/>
  <c r="L169" i="1"/>
  <c r="L164" i="1"/>
  <c r="L175" i="1"/>
  <c r="L176" i="1"/>
  <c r="L187" i="1"/>
  <c r="L180" i="1"/>
  <c r="L168" i="1"/>
  <c r="L72" i="1"/>
  <c r="L98" i="1"/>
  <c r="L75" i="1"/>
  <c r="L96" i="1"/>
  <c r="L99" i="1"/>
  <c r="L106" i="1"/>
  <c r="L92" i="1"/>
  <c r="L73" i="1"/>
  <c r="L82" i="1"/>
  <c r="L136" i="1"/>
  <c r="L83" i="1"/>
  <c r="E76" i="1"/>
  <c r="L88" i="1"/>
  <c r="R110" i="1"/>
  <c r="L91" i="1"/>
  <c r="L86" i="1"/>
  <c r="L80" i="1"/>
  <c r="L84" i="1"/>
  <c r="C15" i="2"/>
  <c r="C5" i="2" s="1"/>
  <c r="L89" i="1"/>
  <c r="L97" i="1"/>
  <c r="L105" i="1"/>
  <c r="L81" i="1"/>
  <c r="B7" i="3"/>
  <c r="L87" i="1"/>
  <c r="L79" i="1"/>
  <c r="L107" i="1"/>
  <c r="L77" i="1"/>
  <c r="L102" i="1"/>
  <c r="L76" i="1"/>
  <c r="L93" i="1"/>
  <c r="L103" i="1"/>
  <c r="L109" i="1"/>
  <c r="L100" i="1"/>
  <c r="L74" i="1"/>
  <c r="L85" i="1"/>
  <c r="L108" i="1"/>
  <c r="L134" i="1" l="1"/>
  <c r="L147" i="1"/>
  <c r="L118" i="1"/>
  <c r="L135" i="1"/>
  <c r="L142" i="1"/>
  <c r="B8" i="3"/>
  <c r="L137" i="1"/>
  <c r="L128" i="1"/>
  <c r="L146" i="1"/>
  <c r="L143" i="1"/>
  <c r="L123" i="1"/>
  <c r="L140" i="1"/>
  <c r="L129" i="1"/>
  <c r="L124" i="1"/>
  <c r="R150" i="1"/>
  <c r="L121" i="1"/>
  <c r="L120" i="1"/>
  <c r="C16" i="2"/>
  <c r="C6" i="2" s="1"/>
  <c r="L145" i="1"/>
  <c r="K222" i="1"/>
  <c r="L150" i="1" s="1"/>
  <c r="L117" i="1"/>
  <c r="L116" i="1"/>
  <c r="L130" i="1"/>
  <c r="L148" i="1"/>
  <c r="L119" i="1"/>
  <c r="L114" i="1"/>
  <c r="L141" i="1"/>
  <c r="L139" i="1"/>
  <c r="L122" i="1"/>
  <c r="L138" i="1"/>
  <c r="L125" i="1"/>
  <c r="L144" i="1"/>
  <c r="L126" i="1"/>
  <c r="L133" i="1"/>
  <c r="L115" i="1"/>
  <c r="L127" i="1"/>
  <c r="L149" i="1"/>
  <c r="E221" i="1"/>
  <c r="D251" i="1"/>
  <c r="E159" i="1"/>
  <c r="E195" i="1"/>
  <c r="E110" i="1"/>
  <c r="E190" i="1"/>
  <c r="E150" i="1"/>
  <c r="E69" i="1"/>
  <c r="L25" i="1" l="1"/>
  <c r="L69" i="1"/>
  <c r="L159" i="1"/>
  <c r="R222" i="1"/>
  <c r="L195" i="1"/>
  <c r="L190" i="1"/>
  <c r="K251" i="1"/>
  <c r="L221" i="1"/>
  <c r="L110" i="1"/>
</calcChain>
</file>

<file path=xl/sharedStrings.xml><?xml version="1.0" encoding="utf-8"?>
<sst xmlns="http://schemas.openxmlformats.org/spreadsheetml/2006/main" count="513" uniqueCount="324">
  <si>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</si>
  <si>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</si>
  <si>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</si>
  <si>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</si>
  <si>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</si>
  <si>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</si>
  <si>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</si>
  <si>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</si>
  <si>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</si>
  <si>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</si>
  <si>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</si>
  <si>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</si>
  <si>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</si>
  <si>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</si>
  <si>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</si>
  <si>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</si>
  <si>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</si>
  <si>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</si>
  <si>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</si>
  <si>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</si>
  <si>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</si>
  <si>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</si>
  <si>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</si>
  <si>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</si>
  <si>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</si>
  <si>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</si>
  <si>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</si>
  <si>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</si>
  <si>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</si>
  <si>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</si>
  <si>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</si>
  <si>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</si>
  <si>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</si>
  <si>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</si>
  <si>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</si>
  <si>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</si>
  <si>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</si>
  <si>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</si>
  <si>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</si>
  <si>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</si>
  <si>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</si>
  <si>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</si>
  <si>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</si>
  <si>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</si>
  <si>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</si>
  <si>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</si>
  <si>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</si>
  <si>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</si>
  <si>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</si>
  <si>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</si>
  <si>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</si>
  <si>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</si>
  <si>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</si>
  <si>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</si>
  <si>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</si>
  <si>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</si>
  <si>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</si>
  <si>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</si>
  <si>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</si>
  <si>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</si>
  <si>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</si>
  <si>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</si>
  <si>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</si>
  <si>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</si>
  <si>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</si>
  <si>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</si>
  <si>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</si>
  <si>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</si>
  <si>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</si>
  <si>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</si>
  <si>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</si>
  <si>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</si>
  <si>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</si>
  <si>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</si>
  <si>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</si>
  <si>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</si>
  <si>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</si>
  <si>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</si>
  <si>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</si>
  <si>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</si>
  <si>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</si>
  <si>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</si>
  <si>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</si>
  <si>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</si>
  <si>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</si>
  <si>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</si>
  <si>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</si>
  <si>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</si>
  <si>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</si>
  <si>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</si>
  <si>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</si>
  <si>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</si>
  <si>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</si>
  <si>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</si>
  <si>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</si>
  <si>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</si>
  <si>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</si>
  <si>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</si>
  <si>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</si>
  <si>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</si>
  <si>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</si>
  <si>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</si>
  <si>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</si>
  <si>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</si>
  <si>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</si>
  <si>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</si>
  <si>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</si>
  <si>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</si>
  <si>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</si>
  <si>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</si>
  <si>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</si>
  <si>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</si>
  <si>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</si>
  <si>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</si>
  <si>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</si>
  <si>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</si>
  <si>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</si>
  <si>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</si>
  <si>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</si>
  <si>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</si>
  <si>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</si>
  <si>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</si>
  <si>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</si>
  <si>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</si>
  <si>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</si>
  <si>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</si>
  <si>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</si>
  <si>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</si>
  <si>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</si>
  <si>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</si>
  <si>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</si>
  <si>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</si>
  <si>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</si>
  <si>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</si>
  <si>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</si>
  <si>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</si>
  <si>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</si>
  <si>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</si>
  <si>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</si>
  <si>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</si>
  <si>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</si>
  <si>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</si>
  <si>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</si>
  <si>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</si>
  <si>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</si>
  <si>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</si>
  <si>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</si>
  <si>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</si>
  <si>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</si>
  <si>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</si>
  <si>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</si>
  <si>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</si>
  <si>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</si>
  <si>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</si>
  <si>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</si>
  <si>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</si>
  <si>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</si>
  <si>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</si>
  <si>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</si>
  <si>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</si>
  <si>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</si>
  <si>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</si>
  <si>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</si>
  <si>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</si>
  <si>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</si>
  <si>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</si>
  <si>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</si>
  <si>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</si>
  <si>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</si>
  <si>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</si>
  <si>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</si>
  <si>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</si>
  <si>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</si>
  <si>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</si>
  <si>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</si>
  <si>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</si>
  <si>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</si>
  <si>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</si>
  <si>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</si>
  <si>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</si>
  <si>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</si>
  <si>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</si>
  <si>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</si>
  <si>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</si>
  <si>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</si>
  <si>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</si>
  <si>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</si>
  <si>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</si>
  <si>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</si>
  <si>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</si>
  <si>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</si>
  <si>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</si>
  <si>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</si>
  <si>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</si>
  <si>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</si>
  <si>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</si>
  <si>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</si>
  <si>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</si>
  <si>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</si>
  <si>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</si>
  <si>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</si>
  <si>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</si>
  <si>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</si>
  <si>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</si>
  <si>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</si>
  <si>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</si>
  <si>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</si>
  <si>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</si>
  <si>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</si>
  <si>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</si>
  <si>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</si>
  <si>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</si>
  <si>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</si>
  <si>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</si>
  <si>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</si>
  <si>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</si>
  <si>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</si>
  <si>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</si>
  <si>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</si>
  <si>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</si>
  <si>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</si>
  <si>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</si>
  <si>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</si>
  <si>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</si>
  <si>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</si>
  <si>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</si>
  <si>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</si>
  <si>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</si>
  <si>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</si>
  <si>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</si>
  <si>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</si>
  <si>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</si>
  <si>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</si>
  <si>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</si>
  <si>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</si>
  <si>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</si>
  <si>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</si>
  <si>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</si>
  <si>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</si>
  <si>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</si>
  <si>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</si>
  <si>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</si>
  <si>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</si>
  <si>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</si>
  <si>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</si>
  <si>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</si>
  <si>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</si>
  <si>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</si>
  <si>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</si>
  <si>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</si>
  <si>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</si>
  <si>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</si>
  <si>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</si>
  <si>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</si>
  <si>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</si>
  <si>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</si>
  <si>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</si>
  <si>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</si>
  <si>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</si>
  <si>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</si>
  <si>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</si>
  <si>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</si>
  <si>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</si>
  <si>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</si>
  <si>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</si>
  <si>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</si>
  <si>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</si>
  <si>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</si>
  <si>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</si>
  <si>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</si>
  <si>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</si>
  <si>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</si>
  <si>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</si>
  <si>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</si>
  <si>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</si>
  <si>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</si>
  <si>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</si>
  <si>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</si>
  <si>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</si>
  <si>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</si>
  <si>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</si>
  <si>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</si>
  <si>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</si>
  <si>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</si>
  <si>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</si>
  <si>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</si>
  <si>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</si>
  <si>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</si>
  <si>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</si>
  <si>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</si>
  <si>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</si>
  <si>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</si>
  <si>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</si>
  <si>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</si>
  <si>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</si>
  <si>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</si>
  <si>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FSL Money Market Fund</t>
  </si>
  <si>
    <t>FSL Asset Management Limited</t>
  </si>
  <si>
    <t>FSL Eurobond Fund</t>
  </si>
  <si>
    <t>AVA GAM Money Market Fund</t>
  </si>
  <si>
    <t>Guaranty Trust Dollar Fund</t>
  </si>
  <si>
    <t>Parthian Capital Limited</t>
  </si>
  <si>
    <t>Parthian Money Market Fund</t>
  </si>
  <si>
    <t>Parthian Dollar Fixed Income Fund</t>
  </si>
  <si>
    <t>CardinalStone Balanced Fund</t>
  </si>
  <si>
    <t>Vetiva USD Fixed Income Fund</t>
  </si>
  <si>
    <t>Mango Asset Management Limited</t>
  </si>
  <si>
    <t>Mango Naira Money Market Fund</t>
  </si>
  <si>
    <t>FBN Blended Dollar Fund</t>
  </si>
  <si>
    <t>ValuAlliance Money Market Fund</t>
  </si>
  <si>
    <t>ARM Specialized Dollar Fund</t>
  </si>
  <si>
    <t>ARM Halal Balanced Fund</t>
  </si>
  <si>
    <t>MOFI Real Estate Investment Fund</t>
  </si>
  <si>
    <t>United Capital Children Investment Fund</t>
  </si>
  <si>
    <t>Trustbanc Fixed Income Fund</t>
  </si>
  <si>
    <t>First Asset Management Limited</t>
  </si>
  <si>
    <t>Week Ended August 1, 2025</t>
  </si>
  <si>
    <t>NFEM RATE NG₦/US$ as at 8th August, 2025 = N1533.5652</t>
  </si>
  <si>
    <t>WEEKLY VALUATION REPORT OF COLLECTIVE INVESTMENT SCHEMES AS AT WEEK ENDED FRIDAY, AUGUST 8, 2025</t>
  </si>
  <si>
    <t>NAV, Unit Price and Yield as at Week Ended August 1, 2025</t>
  </si>
  <si>
    <t>NAV, Unit Price and Yield as at Week Ended August 8, 2025</t>
  </si>
  <si>
    <t>% Change (Current from Previous)</t>
  </si>
  <si>
    <t>Difference</t>
  </si>
  <si>
    <t>Week Ended August 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</si>
</sst>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  <numFmt numFmtId="167" formatCode="_-* #,##0.0000_-;\-* #,##0.0000_-;_-* &quot;-&quot;??_-;_-@_-"/>
  </numFmts>
  <fonts count="5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8"/>
      <color rgb="FF424242"/>
      <name val="Arial"/>
      <family val="2"/>
    </font>
    <font>
      <sz val="8"/>
      <color theme="0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rgb="FF000000"/>
      <name val="Arial"/>
      <family val="2"/>
    </font>
    <font>
      <b/>
      <sz val="18"/>
      <color theme="0"/>
      <name val="Ebrima"/>
    </font>
    <font>
      <b/>
      <sz val="8"/>
      <color theme="4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9">
    <xf numFmtId="0" fontId="0" fillId="0" borderId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1" fillId="5" borderId="0" applyNumberFormat="0" applyBorder="0" applyAlignment="0" applyProtection="0"/>
    <xf numFmtId="0" fontId="11" fillId="17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43" fontId="32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3" fillId="21" borderId="0" applyNumberFormat="0" applyBorder="0" applyAlignment="0" applyProtection="0"/>
    <xf numFmtId="0" fontId="34" fillId="0" borderId="0"/>
    <xf numFmtId="0" fontId="37" fillId="0" borderId="0"/>
    <xf numFmtId="0" fontId="35" fillId="0" borderId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4" fillId="0" borderId="1" xfId="0" applyFont="1" applyBorder="1" applyAlignment="1">
      <alignment horizontal="right"/>
    </xf>
    <xf numFmtId="16" fontId="5" fillId="2" borderId="1" xfId="0" applyNumberFormat="1" applyFont="1" applyFill="1" applyBorder="1"/>
    <xf numFmtId="0" fontId="5" fillId="0" borderId="1" xfId="0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4" fontId="6" fillId="2" borderId="1" xfId="0" applyNumberFormat="1" applyFont="1" applyFill="1" applyBorder="1"/>
    <xf numFmtId="4" fontId="7" fillId="2" borderId="1" xfId="0" applyNumberFormat="1" applyFont="1" applyFill="1" applyBorder="1"/>
    <xf numFmtId="164" fontId="6" fillId="2" borderId="1" xfId="1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horizontal="right"/>
    </xf>
    <xf numFmtId="43" fontId="8" fillId="3" borderId="1" xfId="0" applyNumberFormat="1" applyFont="1" applyFill="1" applyBorder="1"/>
    <xf numFmtId="0" fontId="7" fillId="0" borderId="0" xfId="0" applyFont="1"/>
    <xf numFmtId="164" fontId="7" fillId="0" borderId="0" xfId="1" applyFont="1"/>
    <xf numFmtId="0" fontId="4" fillId="4" borderId="1" xfId="0" applyFont="1" applyFill="1" applyBorder="1" applyAlignment="1">
      <alignment horizontal="right"/>
    </xf>
    <xf numFmtId="43" fontId="4" fillId="4" borderId="1" xfId="0" applyNumberFormat="1" applyFont="1" applyFill="1" applyBorder="1"/>
    <xf numFmtId="164" fontId="4" fillId="4" borderId="1" xfId="1" applyFont="1" applyFill="1" applyBorder="1"/>
    <xf numFmtId="0" fontId="9" fillId="0" borderId="0" xfId="0" applyFont="1"/>
    <xf numFmtId="0" fontId="10" fillId="0" borderId="1" xfId="0" applyFont="1" applyBorder="1" applyAlignment="1">
      <alignment horizontal="right"/>
    </xf>
    <xf numFmtId="164" fontId="6" fillId="0" borderId="1" xfId="1" applyFont="1" applyBorder="1"/>
    <xf numFmtId="164" fontId="9" fillId="0" borderId="0" xfId="1" applyFont="1"/>
    <xf numFmtId="0" fontId="11" fillId="0" borderId="0" xfId="0" applyFont="1"/>
    <xf numFmtId="0" fontId="7" fillId="2" borderId="0" xfId="0" applyFont="1" applyFill="1" applyAlignment="1">
      <alignment wrapText="1"/>
    </xf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164" fontId="16" fillId="2" borderId="1" xfId="10" applyFont="1" applyFill="1" applyBorder="1"/>
    <xf numFmtId="10" fontId="16" fillId="8" borderId="1" xfId="2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/>
    </xf>
    <xf numFmtId="4" fontId="16" fillId="2" borderId="1" xfId="0" applyNumberFormat="1" applyFont="1" applyFill="1" applyBorder="1"/>
    <xf numFmtId="164" fontId="14" fillId="10" borderId="1" xfId="1" applyFont="1" applyFill="1" applyBorder="1" applyAlignment="1">
      <alignment horizontal="center"/>
    </xf>
    <xf numFmtId="164" fontId="16" fillId="2" borderId="1" xfId="1" applyFont="1" applyFill="1" applyBorder="1"/>
    <xf numFmtId="0" fontId="14" fillId="0" borderId="1" xfId="0" applyFont="1" applyBorder="1"/>
    <xf numFmtId="0" fontId="14" fillId="2" borderId="1" xfId="0" applyFont="1" applyFill="1" applyBorder="1"/>
    <xf numFmtId="0" fontId="13" fillId="2" borderId="1" xfId="0" applyFont="1" applyFill="1" applyBorder="1" applyAlignment="1">
      <alignment horizontal="right"/>
    </xf>
    <xf numFmtId="164" fontId="13" fillId="2" borderId="1" xfId="1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0" fontId="16" fillId="2" borderId="1" xfId="2" applyNumberFormat="1" applyFont="1" applyFill="1" applyBorder="1" applyAlignment="1">
      <alignment horizontal="center" vertical="top" wrapText="1"/>
    </xf>
    <xf numFmtId="4" fontId="16" fillId="2" borderId="1" xfId="1" applyNumberFormat="1" applyFont="1" applyFill="1" applyBorder="1" applyAlignment="1">
      <alignment vertical="top" wrapText="1"/>
    </xf>
    <xf numFmtId="164" fontId="13" fillId="10" borderId="1" xfId="1" applyFont="1" applyFill="1" applyBorder="1" applyAlignment="1">
      <alignment horizontal="center"/>
    </xf>
    <xf numFmtId="164" fontId="16" fillId="2" borderId="1" xfId="10" applyFont="1" applyFill="1" applyBorder="1" applyAlignment="1">
      <alignment horizontal="right"/>
    </xf>
    <xf numFmtId="4" fontId="16" fillId="2" borderId="1" xfId="1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 wrapText="1"/>
    </xf>
    <xf numFmtId="164" fontId="16" fillId="2" borderId="1" xfId="10" applyFont="1" applyFill="1" applyBorder="1" applyAlignment="1">
      <alignment horizontal="right" wrapText="1"/>
    </xf>
    <xf numFmtId="164" fontId="13" fillId="2" borderId="1" xfId="1" applyFont="1" applyFill="1" applyBorder="1" applyAlignment="1">
      <alignment horizontal="right"/>
    </xf>
    <xf numFmtId="164" fontId="12" fillId="3" borderId="1" xfId="1" applyFont="1" applyFill="1" applyBorder="1" applyAlignment="1">
      <alignment horizontal="center" vertical="top"/>
    </xf>
    <xf numFmtId="10" fontId="16" fillId="10" borderId="1" xfId="2" applyNumberFormat="1" applyFont="1" applyFill="1" applyBorder="1" applyAlignment="1">
      <alignment horizontal="center"/>
    </xf>
    <xf numFmtId="10" fontId="14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 vertical="top" wrapText="1"/>
    </xf>
    <xf numFmtId="10" fontId="16" fillId="10" borderId="1" xfId="2" applyNumberFormat="1" applyFont="1" applyFill="1" applyBorder="1" applyAlignment="1">
      <alignment horizontal="center" wrapText="1"/>
    </xf>
    <xf numFmtId="10" fontId="16" fillId="8" borderId="1" xfId="2" applyNumberFormat="1" applyFont="1" applyFill="1" applyBorder="1" applyAlignment="1">
      <alignment horizontal="center" wrapText="1"/>
    </xf>
    <xf numFmtId="10" fontId="16" fillId="10" borderId="1" xfId="1" applyNumberFormat="1" applyFont="1" applyFill="1" applyBorder="1" applyAlignment="1">
      <alignment horizontal="center"/>
    </xf>
    <xf numFmtId="10" fontId="16" fillId="3" borderId="1" xfId="2" applyNumberFormat="1" applyFont="1" applyFill="1" applyBorder="1" applyAlignment="1">
      <alignment horizontal="center" vertical="top" wrapText="1"/>
    </xf>
    <xf numFmtId="10" fontId="14" fillId="3" borderId="1" xfId="2" applyNumberFormat="1" applyFont="1" applyFill="1" applyBorder="1" applyAlignment="1">
      <alignment horizontal="center" vertical="top" wrapText="1"/>
    </xf>
    <xf numFmtId="10" fontId="14" fillId="3" borderId="1" xfId="1" applyNumberFormat="1" applyFont="1" applyFill="1" applyBorder="1" applyAlignment="1">
      <alignment horizontal="center" vertical="top" wrapText="1"/>
    </xf>
    <xf numFmtId="10" fontId="18" fillId="11" borderId="0" xfId="0" applyNumberFormat="1" applyFont="1" applyFill="1" applyAlignment="1">
      <alignment horizontal="right" vertical="center" wrapText="1"/>
    </xf>
    <xf numFmtId="2" fontId="16" fillId="2" borderId="1" xfId="0" applyNumberFormat="1" applyFont="1" applyFill="1" applyBorder="1"/>
    <xf numFmtId="164" fontId="16" fillId="2" borderId="1" xfId="10" applyFont="1" applyFill="1" applyBorder="1" applyAlignment="1">
      <alignment wrapText="1"/>
    </xf>
    <xf numFmtId="164" fontId="16" fillId="12" borderId="1" xfId="1" applyFont="1" applyFill="1" applyBorder="1" applyAlignment="1">
      <alignment horizontal="center"/>
    </xf>
    <xf numFmtId="10" fontId="16" fillId="12" borderId="1" xfId="2" applyNumberFormat="1" applyFont="1" applyFill="1" applyBorder="1" applyAlignment="1">
      <alignment horizontal="center"/>
    </xf>
    <xf numFmtId="10" fontId="16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0" fillId="0" borderId="0" xfId="1" applyFont="1"/>
    <xf numFmtId="4" fontId="21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2" fillId="11" borderId="0" xfId="0" applyNumberFormat="1" applyFont="1" applyFill="1" applyAlignment="1">
      <alignment horizontal="right" vertical="center" wrapText="1"/>
    </xf>
    <xf numFmtId="0" fontId="13" fillId="0" borderId="1" xfId="0" applyFont="1" applyBorder="1" applyAlignment="1">
      <alignment horizontal="right"/>
    </xf>
    <xf numFmtId="4" fontId="24" fillId="0" borderId="1" xfId="0" applyNumberFormat="1" applyFont="1" applyFill="1" applyBorder="1" applyAlignment="1" applyProtection="1"/>
    <xf numFmtId="0" fontId="25" fillId="2" borderId="1" xfId="0" applyFont="1" applyFill="1" applyBorder="1"/>
    <xf numFmtId="4" fontId="16" fillId="2" borderId="1" xfId="1" applyNumberFormat="1" applyFont="1" applyFill="1" applyBorder="1" applyAlignment="1">
      <alignment horizontal="right" vertical="top" wrapText="1"/>
    </xf>
    <xf numFmtId="164" fontId="13" fillId="2" borderId="1" xfId="1" applyFont="1" applyFill="1" applyBorder="1"/>
    <xf numFmtId="43" fontId="16" fillId="2" borderId="1" xfId="0" applyNumberFormat="1" applyFont="1" applyFill="1" applyBorder="1"/>
    <xf numFmtId="4" fontId="16" fillId="2" borderId="1" xfId="10" applyNumberFormat="1" applyFont="1" applyFill="1" applyBorder="1" applyAlignment="1">
      <alignment horizontal="right"/>
    </xf>
    <xf numFmtId="4" fontId="16" fillId="2" borderId="1" xfId="0" applyNumberFormat="1" applyFont="1" applyFill="1" applyBorder="1" applyAlignment="1">
      <alignment horizontal="right" wrapText="1"/>
    </xf>
    <xf numFmtId="4" fontId="16" fillId="2" borderId="1" xfId="10" applyNumberFormat="1" applyFont="1" applyFill="1" applyBorder="1" applyAlignment="1">
      <alignment horizontal="right" wrapText="1"/>
    </xf>
    <xf numFmtId="4" fontId="16" fillId="10" borderId="1" xfId="1" applyNumberFormat="1" applyFont="1" applyFill="1" applyBorder="1" applyAlignment="1">
      <alignment horizontal="center"/>
    </xf>
    <xf numFmtId="4" fontId="16" fillId="10" borderId="1" xfId="1" applyNumberFormat="1" applyFont="1" applyFill="1" applyBorder="1" applyAlignment="1">
      <alignment horizontal="center" vertical="top" wrapText="1"/>
    </xf>
    <xf numFmtId="43" fontId="16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3" fillId="10" borderId="1" xfId="1" applyNumberFormat="1" applyFont="1" applyFill="1" applyBorder="1" applyAlignment="1">
      <alignment horizontal="right" vertical="top" wrapText="1"/>
    </xf>
    <xf numFmtId="0" fontId="16" fillId="15" borderId="1" xfId="0" applyFont="1" applyFill="1" applyBorder="1" applyAlignment="1">
      <alignment horizontal="right" vertical="center"/>
    </xf>
    <xf numFmtId="0" fontId="13" fillId="15" borderId="1" xfId="0" applyFont="1" applyFill="1" applyBorder="1" applyAlignment="1">
      <alignment horizontal="right" vertical="center"/>
    </xf>
    <xf numFmtId="164" fontId="13" fillId="15" borderId="1" xfId="1" applyFont="1" applyFill="1" applyBorder="1" applyAlignment="1">
      <alignment horizontal="right" vertical="center" wrapText="1"/>
    </xf>
    <xf numFmtId="10" fontId="16" fillId="15" borderId="1" xfId="1" applyNumberFormat="1" applyFont="1" applyFill="1" applyBorder="1" applyAlignment="1">
      <alignment horizontal="right" vertical="center" wrapText="1"/>
    </xf>
    <xf numFmtId="4" fontId="16" fillId="15" borderId="1" xfId="1" applyNumberFormat="1" applyFont="1" applyFill="1" applyBorder="1" applyAlignment="1">
      <alignment horizontal="right" vertical="center" wrapText="1"/>
    </xf>
    <xf numFmtId="164" fontId="13" fillId="15" borderId="1" xfId="1" applyFont="1" applyFill="1" applyBorder="1" applyAlignment="1">
      <alignment horizontal="right" vertical="top" wrapText="1"/>
    </xf>
    <xf numFmtId="4" fontId="16" fillId="2" borderId="1" xfId="10" applyNumberFormat="1" applyFont="1" applyFill="1" applyBorder="1" applyAlignment="1">
      <alignment horizontal="right" vertical="top" wrapText="1"/>
    </xf>
    <xf numFmtId="164" fontId="26" fillId="15" borderId="1" xfId="1" applyFont="1" applyFill="1" applyBorder="1" applyAlignment="1">
      <alignment horizontal="right" vertical="top" wrapText="1"/>
    </xf>
    <xf numFmtId="4" fontId="16" fillId="15" borderId="1" xfId="1" applyNumberFormat="1" applyFont="1" applyFill="1" applyBorder="1" applyAlignment="1">
      <alignment horizontal="right" vertical="top" wrapText="1"/>
    </xf>
    <xf numFmtId="164" fontId="16" fillId="2" borderId="1" xfId="10" applyFont="1" applyFill="1" applyBorder="1" applyAlignment="1">
      <alignment horizontal="right" vertical="top" wrapText="1"/>
    </xf>
    <xf numFmtId="10" fontId="16" fillId="8" borderId="1" xfId="2" applyNumberFormat="1" applyFont="1" applyFill="1" applyBorder="1" applyAlignment="1">
      <alignment horizontal="center" vertical="top" wrapText="1"/>
    </xf>
    <xf numFmtId="164" fontId="16" fillId="10" borderId="1" xfId="1" applyFont="1" applyFill="1" applyBorder="1" applyAlignment="1">
      <alignment horizontal="center" vertical="top" wrapText="1"/>
    </xf>
    <xf numFmtId="164" fontId="16" fillId="2" borderId="1" xfId="1" applyFont="1" applyFill="1" applyBorder="1" applyAlignment="1">
      <alignment horizontal="right" vertical="top" wrapText="1"/>
    </xf>
    <xf numFmtId="0" fontId="16" fillId="16" borderId="1" xfId="0" applyFont="1" applyFill="1" applyBorder="1" applyAlignment="1">
      <alignment horizontal="right" vertical="top" wrapText="1"/>
    </xf>
    <xf numFmtId="0" fontId="23" fillId="16" borderId="1" xfId="0" applyFont="1" applyFill="1" applyBorder="1" applyAlignment="1">
      <alignment horizontal="right" vertical="top" wrapText="1"/>
    </xf>
    <xf numFmtId="164" fontId="23" fillId="16" borderId="1" xfId="1" applyFont="1" applyFill="1" applyBorder="1" applyAlignment="1">
      <alignment horizontal="right" vertical="top" wrapText="1"/>
    </xf>
    <xf numFmtId="164" fontId="27" fillId="16" borderId="1" xfId="1" applyFont="1" applyFill="1" applyBorder="1" applyAlignment="1">
      <alignment horizontal="right" vertical="top" wrapText="1"/>
    </xf>
    <xf numFmtId="4" fontId="27" fillId="16" borderId="1" xfId="0" applyNumberFormat="1" applyFont="1" applyFill="1" applyBorder="1" applyAlignment="1">
      <alignment horizontal="right"/>
    </xf>
    <xf numFmtId="0" fontId="28" fillId="6" borderId="1" xfId="0" applyFont="1" applyFill="1" applyBorder="1" applyAlignment="1">
      <alignment horizontal="right" vertical="center"/>
    </xf>
    <xf numFmtId="0" fontId="11" fillId="6" borderId="1" xfId="0" applyFont="1" applyFill="1" applyBorder="1"/>
    <xf numFmtId="0" fontId="29" fillId="0" borderId="0" xfId="0" applyFont="1"/>
    <xf numFmtId="43" fontId="0" fillId="0" borderId="0" xfId="0" applyNumberFormat="1"/>
    <xf numFmtId="0" fontId="30" fillId="0" borderId="0" xfId="0" applyFont="1"/>
    <xf numFmtId="0" fontId="25" fillId="2" borderId="0" xfId="0" applyFont="1" applyFill="1" applyAlignment="1">
      <alignment wrapText="1"/>
    </xf>
    <xf numFmtId="43" fontId="30" fillId="0" borderId="0" xfId="11" applyFont="1" applyBorder="1"/>
    <xf numFmtId="2" fontId="30" fillId="0" borderId="0" xfId="0" applyNumberFormat="1" applyFont="1"/>
    <xf numFmtId="9" fontId="16" fillId="15" borderId="1" xfId="2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top" wrapText="1"/>
    </xf>
    <xf numFmtId="9" fontId="27" fillId="16" borderId="1" xfId="2" applyFont="1" applyFill="1" applyBorder="1" applyAlignment="1">
      <alignment horizontal="center"/>
    </xf>
    <xf numFmtId="4" fontId="27" fillId="16" borderId="1" xfId="0" applyNumberFormat="1" applyFont="1" applyFill="1" applyBorder="1" applyAlignment="1">
      <alignment horizontal="center"/>
    </xf>
    <xf numFmtId="10" fontId="30" fillId="0" borderId="0" xfId="2" applyNumberFormat="1" applyFont="1" applyBorder="1"/>
    <xf numFmtId="10" fontId="31" fillId="0" borderId="0" xfId="2" applyNumberFormat="1" applyFont="1" applyBorder="1"/>
    <xf numFmtId="10" fontId="14" fillId="15" borderId="1" xfId="2" applyNumberFormat="1" applyFont="1" applyFill="1" applyBorder="1" applyAlignment="1">
      <alignment horizontal="center" vertical="top" wrapText="1"/>
    </xf>
    <xf numFmtId="166" fontId="14" fillId="15" borderId="1" xfId="2" applyNumberFormat="1" applyFont="1" applyFill="1" applyBorder="1" applyAlignment="1">
      <alignment horizontal="center" vertical="top" wrapText="1"/>
    </xf>
    <xf numFmtId="10" fontId="14" fillId="15" borderId="1" xfId="1" applyNumberFormat="1" applyFont="1" applyFill="1" applyBorder="1" applyAlignment="1">
      <alignment horizontal="center" vertical="top" wrapText="1"/>
    </xf>
    <xf numFmtId="10" fontId="27" fillId="16" borderId="1" xfId="2" applyNumberFormat="1" applyFont="1" applyFill="1" applyBorder="1" applyAlignment="1">
      <alignment horizontal="center" vertical="top" wrapText="1"/>
    </xf>
    <xf numFmtId="166" fontId="27" fillId="16" borderId="1" xfId="2" applyNumberFormat="1" applyFont="1" applyFill="1" applyBorder="1" applyAlignment="1">
      <alignment horizontal="center" vertical="top" wrapText="1"/>
    </xf>
    <xf numFmtId="166" fontId="16" fillId="16" borderId="1" xfId="2" applyNumberFormat="1" applyFont="1" applyFill="1" applyBorder="1" applyAlignment="1">
      <alignment horizontal="center" vertical="top" wrapText="1"/>
    </xf>
    <xf numFmtId="43" fontId="4" fillId="4" borderId="1" xfId="0" quotePrefix="1" applyNumberFormat="1" applyFont="1" applyFill="1" applyBorder="1" applyAlignment="1">
      <alignment horizontal="center"/>
    </xf>
    <xf numFmtId="0" fontId="39" fillId="0" borderId="0" xfId="0" applyFont="1"/>
    <xf numFmtId="0" fontId="28" fillId="6" borderId="1" xfId="0" applyFont="1" applyFill="1" applyBorder="1" applyAlignment="1">
      <alignment horizontal="left" vertical="center"/>
    </xf>
    <xf numFmtId="4" fontId="20" fillId="0" borderId="0" xfId="0" applyNumberFormat="1" applyFont="1"/>
    <xf numFmtId="0" fontId="16" fillId="15" borderId="1" xfId="0" applyFont="1" applyFill="1" applyBorder="1" applyAlignment="1">
      <alignment horizontal="right"/>
    </xf>
    <xf numFmtId="0" fontId="13" fillId="15" borderId="1" xfId="0" applyFont="1" applyFill="1" applyBorder="1" applyAlignment="1">
      <alignment horizontal="right"/>
    </xf>
    <xf numFmtId="43" fontId="9" fillId="0" borderId="0" xfId="0" applyNumberFormat="1" applyFont="1"/>
    <xf numFmtId="164" fontId="16" fillId="2" borderId="1" xfId="1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 wrapText="1"/>
    </xf>
    <xf numFmtId="0" fontId="7" fillId="0" borderId="1" xfId="0" applyFont="1" applyBorder="1"/>
    <xf numFmtId="4" fontId="6" fillId="2" borderId="0" xfId="0" applyNumberFormat="1" applyFont="1" applyFill="1" applyAlignment="1">
      <alignment horizontal="right"/>
    </xf>
    <xf numFmtId="167" fontId="40" fillId="0" borderId="0" xfId="1" applyNumberFormat="1" applyFont="1"/>
    <xf numFmtId="4" fontId="6" fillId="2" borderId="0" xfId="0" applyNumberFormat="1" applyFont="1" applyFill="1"/>
    <xf numFmtId="0" fontId="10" fillId="0" borderId="0" xfId="0" applyFont="1" applyAlignment="1">
      <alignment horizontal="right"/>
    </xf>
    <xf numFmtId="164" fontId="42" fillId="2" borderId="0" xfId="1" applyFont="1" applyFill="1" applyBorder="1" applyAlignment="1">
      <alignment horizontal="right" vertical="top" wrapText="1"/>
    </xf>
    <xf numFmtId="0" fontId="41" fillId="0" borderId="0" xfId="0" applyFont="1" applyAlignment="1">
      <alignment horizontal="right"/>
    </xf>
    <xf numFmtId="4" fontId="42" fillId="2" borderId="0" xfId="0" applyNumberFormat="1" applyFont="1" applyFill="1"/>
    <xf numFmtId="0" fontId="16" fillId="0" borderId="1" xfId="0" applyFont="1" applyBorder="1" applyAlignment="1">
      <alignment horizontal="center"/>
    </xf>
    <xf numFmtId="4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43" fillId="0" borderId="0" xfId="0" applyFont="1"/>
    <xf numFmtId="16" fontId="44" fillId="2" borderId="0" xfId="0" applyNumberFormat="1" applyFont="1" applyFill="1"/>
    <xf numFmtId="164" fontId="45" fillId="0" borderId="0" xfId="1" applyFont="1"/>
    <xf numFmtId="43" fontId="45" fillId="0" borderId="0" xfId="0" applyNumberFormat="1" applyFont="1"/>
    <xf numFmtId="4" fontId="45" fillId="0" borderId="0" xfId="0" applyNumberFormat="1" applyFont="1"/>
    <xf numFmtId="0" fontId="46" fillId="0" borderId="0" xfId="0" applyFont="1" applyBorder="1" applyAlignment="1">
      <alignment horizontal="right"/>
    </xf>
    <xf numFmtId="16" fontId="41" fillId="2" borderId="0" xfId="0" applyNumberFormat="1" applyFont="1" applyFill="1" applyBorder="1"/>
    <xf numFmtId="0" fontId="41" fillId="0" borderId="0" xfId="0" applyFont="1" applyBorder="1" applyAlignment="1">
      <alignment horizontal="right"/>
    </xf>
    <xf numFmtId="4" fontId="42" fillId="2" borderId="0" xfId="0" applyNumberFormat="1" applyFont="1" applyFill="1" applyBorder="1"/>
    <xf numFmtId="4" fontId="42" fillId="2" borderId="0" xfId="0" applyNumberFormat="1" applyFont="1" applyFill="1" applyBorder="1" applyAlignment="1">
      <alignment horizontal="right"/>
    </xf>
    <xf numFmtId="0" fontId="11" fillId="0" borderId="0" xfId="0" applyFont="1" applyBorder="1"/>
    <xf numFmtId="164" fontId="11" fillId="0" borderId="0" xfId="1" applyFont="1" applyBorder="1"/>
    <xf numFmtId="0" fontId="47" fillId="0" borderId="0" xfId="0" applyFont="1" applyBorder="1" applyAlignment="1">
      <alignment horizontal="right"/>
    </xf>
    <xf numFmtId="16" fontId="47" fillId="2" borderId="0" xfId="0" applyNumberFormat="1" applyFont="1" applyFill="1" applyBorder="1" applyAlignment="1">
      <alignment horizontal="center" wrapText="1"/>
    </xf>
    <xf numFmtId="0" fontId="48" fillId="0" borderId="0" xfId="0" applyFont="1" applyBorder="1"/>
    <xf numFmtId="0" fontId="47" fillId="0" borderId="0" xfId="0" applyFont="1" applyBorder="1" applyAlignment="1">
      <alignment horizontal="right" wrapText="1"/>
    </xf>
    <xf numFmtId="4" fontId="49" fillId="2" borderId="0" xfId="0" applyNumberFormat="1" applyFont="1" applyFill="1" applyBorder="1"/>
    <xf numFmtId="4" fontId="49" fillId="2" borderId="0" xfId="0" applyNumberFormat="1" applyFont="1" applyFill="1" applyBorder="1" applyAlignment="1">
      <alignment horizontal="right"/>
    </xf>
    <xf numFmtId="164" fontId="49" fillId="2" borderId="0" xfId="1" applyFont="1" applyFill="1" applyBorder="1" applyAlignment="1">
      <alignment horizontal="right" vertical="top" wrapText="1"/>
    </xf>
    <xf numFmtId="0" fontId="50" fillId="0" borderId="0" xfId="0" applyFont="1" applyBorder="1" applyAlignment="1">
      <alignment horizontal="right" wrapText="1"/>
    </xf>
    <xf numFmtId="164" fontId="40" fillId="0" borderId="0" xfId="1" applyFont="1" applyBorder="1"/>
    <xf numFmtId="4" fontId="40" fillId="2" borderId="0" xfId="0" applyNumberFormat="1" applyFont="1" applyFill="1" applyBorder="1"/>
    <xf numFmtId="0" fontId="50" fillId="0" borderId="0" xfId="0" applyFont="1" applyBorder="1" applyAlignment="1">
      <alignment horizontal="right"/>
    </xf>
    <xf numFmtId="4" fontId="40" fillId="2" borderId="0" xfId="0" applyNumberFormat="1" applyFont="1" applyFill="1" applyBorder="1" applyAlignment="1">
      <alignment horizontal="right"/>
    </xf>
    <xf numFmtId="164" fontId="40" fillId="2" borderId="0" xfId="1" applyFont="1" applyFill="1" applyBorder="1" applyAlignment="1">
      <alignment horizontal="right" vertical="top" wrapText="1"/>
    </xf>
    <xf numFmtId="0" fontId="16" fillId="2" borderId="1" xfId="0" applyFont="1" applyFill="1" applyBorder="1" applyAlignment="1">
      <alignment horizontal="center"/>
    </xf>
    <xf numFmtId="0" fontId="10" fillId="0" borderId="0" xfId="0" applyFont="1" applyBorder="1" applyAlignment="1">
      <alignment horizontal="right"/>
    </xf>
    <xf numFmtId="164" fontId="6" fillId="2" borderId="0" xfId="1" applyFont="1" applyFill="1" applyBorder="1" applyAlignment="1">
      <alignment horizontal="right" vertical="top" wrapText="1"/>
    </xf>
    <xf numFmtId="49" fontId="16" fillId="2" borderId="1" xfId="0" applyNumberFormat="1" applyFont="1" applyFill="1" applyBorder="1" applyAlignment="1">
      <alignment wrapText="1"/>
    </xf>
    <xf numFmtId="4" fontId="51" fillId="0" borderId="0" xfId="0" applyNumberFormat="1" applyFont="1"/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left" wrapText="1"/>
    </xf>
    <xf numFmtId="4" fontId="16" fillId="0" borderId="1" xfId="0" applyNumberFormat="1" applyFont="1" applyBorder="1" applyAlignment="1">
      <alignment wrapText="1"/>
    </xf>
    <xf numFmtId="0" fontId="7" fillId="7" borderId="1" xfId="0" applyFont="1" applyFill="1" applyBorder="1"/>
    <xf numFmtId="0" fontId="12" fillId="8" borderId="1" xfId="0" applyFont="1" applyFill="1" applyBorder="1"/>
    <xf numFmtId="0" fontId="53" fillId="8" borderId="1" xfId="0" applyFont="1" applyFill="1" applyBorder="1"/>
    <xf numFmtId="0" fontId="52" fillId="6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19" fillId="13" borderId="1" xfId="0" applyFont="1" applyFill="1" applyBorder="1" applyAlignment="1">
      <alignment horizontal="center"/>
    </xf>
    <xf numFmtId="0" fontId="23" fillId="9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23" fillId="14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0" fontId="27" fillId="2" borderId="0" xfId="0" applyFont="1" applyFill="1" applyAlignment="1">
      <alignment horizontal="center" wrapText="1"/>
    </xf>
  </cellXfs>
  <cellStyles count="39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15 2" xfId="34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7" xfId="37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Normal 3" xfId="33"/>
    <cellStyle name="Normal 4" xfId="36"/>
    <cellStyle name="Normal 6 2" xfId="31"/>
    <cellStyle name="Percent" xfId="2" builtinId="5"/>
    <cellStyle name="Percent 13" xfId="29"/>
    <cellStyle name="Percent 13 2" xfId="35"/>
    <cellStyle name="Percent 2" xfId="32"/>
    <cellStyle name="Percent 2 2" xfId="24"/>
    <cellStyle name="Percent 3" xfId="38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August 1,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67.2296571655165</c:v>
                </c:pt>
                <c:pt idx="1">
                  <c:v>3516.1238212268936</c:v>
                </c:pt>
                <c:pt idx="2">
                  <c:v>220.85195854565424</c:v>
                </c:pt>
                <c:pt idx="3">
                  <c:v>1966.523400379815</c:v>
                </c:pt>
                <c:pt idx="4">
                  <c:v>360.5214025380767</c:v>
                </c:pt>
                <c:pt idx="5" formatCode="_-* #,##0.00_-;\-* #,##0.00_-;_-* &quot;-&quot;??_-;_-@_-">
                  <c:v>75.728715664741031</c:v>
                </c:pt>
                <c:pt idx="6">
                  <c:v>8.5301612556799995</c:v>
                </c:pt>
                <c:pt idx="7">
                  <c:v>64.799548897370357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August 8,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70.540930810876489</c:v>
                </c:pt>
                <c:pt idx="1">
                  <c:v>3593.4696338684739</c:v>
                </c:pt>
                <c:pt idx="2">
                  <c:v>229.15230316327001</c:v>
                </c:pt>
                <c:pt idx="3">
                  <c:v>1980.0838462724412</c:v>
                </c:pt>
                <c:pt idx="4">
                  <c:v>361.41580573766993</c:v>
                </c:pt>
                <c:pt idx="5" formatCode="_-* #,##0.00_-;\-* #,##0.00_-;_-* &quot;-&quot;??_-;_-@_-">
                  <c:v>76.852575641817936</c:v>
                </c:pt>
                <c:pt idx="6">
                  <c:v>8.6049366868200003</c:v>
                </c:pt>
                <c:pt idx="7">
                  <c:v>65.35921482820001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36043752"/>
        <c:axId val="261918168"/>
      </c:barChart>
      <c:catAx>
        <c:axId val="336043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61918168"/>
        <c:crosses val="autoZero"/>
        <c:auto val="1"/>
        <c:lblAlgn val="ctr"/>
        <c:lblOffset val="100"/>
        <c:noMultiLvlLbl val="0"/>
      </c:catAx>
      <c:valAx>
        <c:axId val="261918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6043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8TH AUGUST,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4175604054306885"/>
          <c:y val="1.653327529846503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8-Aug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1860977719486063"/>
                  <c:y val="-0.134291330027987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2.4747124087697164E-2"/>
                  <c:y val="0.118168034175886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8604936686.8199997</c:v>
                </c:pt>
                <c:pt idx="1">
                  <c:v>70540930810.876495</c:v>
                </c:pt>
                <c:pt idx="2" formatCode="_-* #,##0.00_-;\-* #,##0.00_-;_-* &quot;-&quot;??_-;_-@_-">
                  <c:v>65359214828.200005</c:v>
                </c:pt>
                <c:pt idx="3">
                  <c:v>76852575641.817932</c:v>
                </c:pt>
                <c:pt idx="4">
                  <c:v>361415805737.66992</c:v>
                </c:pt>
                <c:pt idx="5">
                  <c:v>229152303163.27002</c:v>
                </c:pt>
                <c:pt idx="6">
                  <c:v>1980083846272.4412</c:v>
                </c:pt>
                <c:pt idx="7">
                  <c:v>3593469633868.4741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45828</c:v>
                </c:pt>
                <c:pt idx="1">
                  <c:v>45835</c:v>
                </c:pt>
                <c:pt idx="2">
                  <c:v>45842</c:v>
                </c:pt>
                <c:pt idx="3">
                  <c:v>45849</c:v>
                </c:pt>
                <c:pt idx="4">
                  <c:v>45856</c:v>
                </c:pt>
                <c:pt idx="5">
                  <c:v>45863</c:v>
                </c:pt>
                <c:pt idx="6">
                  <c:v>45870</c:v>
                </c:pt>
                <c:pt idx="7">
                  <c:v>45877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5778.470729655005</c:v>
                </c:pt>
                <c:pt idx="1">
                  <c:v>5812.2705854093538</c:v>
                </c:pt>
                <c:pt idx="2">
                  <c:v>5912.1449998326807</c:v>
                </c:pt>
                <c:pt idx="3">
                  <c:v>6009.0237740152752</c:v>
                </c:pt>
                <c:pt idx="4">
                  <c:v>6080.0352810801669</c:v>
                </c:pt>
                <c:pt idx="5">
                  <c:v>6160.1611789888411</c:v>
                </c:pt>
                <c:pt idx="6">
                  <c:v>6280.3086656737469</c:v>
                </c:pt>
                <c:pt idx="7">
                  <c:v>6385.4792470095699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58630296"/>
        <c:axId val="261089848"/>
      </c:lineChart>
      <c:dateAx>
        <c:axId val="25863029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1089848"/>
        <c:crosses val="autoZero"/>
        <c:auto val="1"/>
        <c:lblOffset val="100"/>
        <c:baseTimeUnit val="days"/>
      </c:dateAx>
      <c:valAx>
        <c:axId val="261089848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630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45828</c:v>
                </c:pt>
                <c:pt idx="1">
                  <c:v>45835</c:v>
                </c:pt>
                <c:pt idx="2">
                  <c:v>45842</c:v>
                </c:pt>
                <c:pt idx="3">
                  <c:v>45849</c:v>
                </c:pt>
                <c:pt idx="4">
                  <c:v>45856</c:v>
                </c:pt>
                <c:pt idx="5">
                  <c:v>45863</c:v>
                </c:pt>
                <c:pt idx="6">
                  <c:v>45870</c:v>
                </c:pt>
                <c:pt idx="7">
                  <c:v>45877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14.438197157056999</c:v>
                </c:pt>
                <c:pt idx="1">
                  <c:v>14.649626500489999</c:v>
                </c:pt>
                <c:pt idx="2">
                  <c:v>14.538175757549999</c:v>
                </c:pt>
                <c:pt idx="3">
                  <c:v>15.344019261460002</c:v>
                </c:pt>
                <c:pt idx="4">
                  <c:v>16.012018416058002</c:v>
                </c:pt>
                <c:pt idx="5">
                  <c:v>16.301542614265998</c:v>
                </c:pt>
                <c:pt idx="6">
                  <c:v>17.113558632019</c:v>
                </c:pt>
                <c:pt idx="7">
                  <c:v>17.395938297309996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5816896"/>
        <c:axId val="336099168"/>
      </c:lineChart>
      <c:dateAx>
        <c:axId val="33581689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099168"/>
        <c:crosses val="autoZero"/>
        <c:auto val="1"/>
        <c:lblOffset val="100"/>
        <c:baseTimeUnit val="days"/>
      </c:dateAx>
      <c:valAx>
        <c:axId val="33609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81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58"/>
  <sheetViews>
    <sheetView tabSelected="1" zoomScale="120" zoomScaleNormal="120" zoomScaleSheetLayoutView="10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4" width="10.109375" customWidth="1"/>
    <col min="15" max="15" width="9.8867187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79" t="s">
        <v>318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</row>
    <row r="2" spans="1:25">
      <c r="A2" s="176"/>
      <c r="B2" s="177"/>
      <c r="C2" s="178"/>
      <c r="D2" s="180" t="s">
        <v>319</v>
      </c>
      <c r="E2" s="180"/>
      <c r="F2" s="180"/>
      <c r="G2" s="180"/>
      <c r="H2" s="180"/>
      <c r="I2" s="180"/>
      <c r="J2" s="180"/>
      <c r="K2" s="180" t="s">
        <v>320</v>
      </c>
      <c r="L2" s="180"/>
      <c r="M2" s="180"/>
      <c r="N2" s="180"/>
      <c r="O2" s="180"/>
      <c r="P2" s="180"/>
      <c r="Q2" s="180"/>
      <c r="R2" s="180" t="s">
        <v>321</v>
      </c>
      <c r="S2" s="180"/>
      <c r="T2" s="180"/>
      <c r="U2" s="180" t="s">
        <v>322</v>
      </c>
      <c r="V2" s="180"/>
    </row>
    <row r="3" spans="1:25" ht="20.399999999999999">
      <c r="A3" s="21" t="s">
        <v>0</v>
      </c>
      <c r="B3" s="22" t="s">
        <v>1</v>
      </c>
      <c r="C3" s="23" t="s">
        <v>2</v>
      </c>
      <c r="D3" s="24" t="s">
        <v>3</v>
      </c>
      <c r="E3" s="25" t="s">
        <v>4</v>
      </c>
      <c r="F3" s="25" t="s">
        <v>282</v>
      </c>
      <c r="G3" s="25" t="s">
        <v>6</v>
      </c>
      <c r="H3" s="25" t="s">
        <v>7</v>
      </c>
      <c r="I3" s="25" t="s">
        <v>8</v>
      </c>
      <c r="J3" s="25" t="s">
        <v>9</v>
      </c>
      <c r="K3" s="46" t="s">
        <v>3</v>
      </c>
      <c r="L3" s="25" t="s">
        <v>4</v>
      </c>
      <c r="M3" s="25" t="s">
        <v>5</v>
      </c>
      <c r="N3" s="25" t="s">
        <v>6</v>
      </c>
      <c r="O3" s="25" t="s">
        <v>7</v>
      </c>
      <c r="P3" s="25" t="s">
        <v>8</v>
      </c>
      <c r="Q3" s="25" t="s">
        <v>9</v>
      </c>
      <c r="R3" s="24" t="s">
        <v>10</v>
      </c>
      <c r="S3" s="25" t="s">
        <v>11</v>
      </c>
      <c r="T3" s="25" t="s">
        <v>12</v>
      </c>
      <c r="U3" s="25" t="s">
        <v>13</v>
      </c>
      <c r="V3" s="25" t="s">
        <v>14</v>
      </c>
    </row>
    <row r="4" spans="1:25" ht="5.25" customHeight="1">
      <c r="A4" s="130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</row>
    <row r="5" spans="1:25" ht="15" customHeight="1">
      <c r="A5" s="182" t="s">
        <v>15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</row>
    <row r="6" spans="1:25">
      <c r="A6" s="141">
        <v>1</v>
      </c>
      <c r="B6" s="139" t="s">
        <v>16</v>
      </c>
      <c r="C6" s="140" t="s">
        <v>17</v>
      </c>
      <c r="D6" s="26">
        <v>3137640669.4200001</v>
      </c>
      <c r="E6" s="27">
        <f t="shared" ref="E6:E22" si="0">(D6/$D$25)</f>
        <v>4.6670484451456662E-2</v>
      </c>
      <c r="F6" s="28">
        <v>585.22159999999997</v>
      </c>
      <c r="G6" s="28">
        <v>587.01800000000003</v>
      </c>
      <c r="H6" s="29">
        <v>1689</v>
      </c>
      <c r="I6" s="47">
        <v>4.9200000000000001E-2</v>
      </c>
      <c r="J6" s="47">
        <v>0.47220000000000001</v>
      </c>
      <c r="K6" s="30">
        <v>3756645728.5</v>
      </c>
      <c r="L6" s="27">
        <f t="shared" ref="L6:L22" si="1">(K6/$K$25)</f>
        <v>5.3254836381047214E-2</v>
      </c>
      <c r="M6" s="30">
        <v>588.73479999999995</v>
      </c>
      <c r="N6" s="30">
        <v>590.46140000000003</v>
      </c>
      <c r="O6" s="29">
        <v>1693</v>
      </c>
      <c r="P6" s="47">
        <v>6.0000000000000001E-3</v>
      </c>
      <c r="Q6" s="47">
        <v>0.48110000000000003</v>
      </c>
      <c r="R6" s="53">
        <f>((K6-D6)/D6)</f>
        <v>0.1972836039234615</v>
      </c>
      <c r="S6" s="53">
        <f>((N6-G6)/G6)</f>
        <v>5.865918932639198E-3</v>
      </c>
      <c r="T6" s="53">
        <f>((O6-H6)/H6)</f>
        <v>2.368265245707519E-3</v>
      </c>
      <c r="U6" s="54">
        <f>P6-I6</f>
        <v>-4.3200000000000002E-2</v>
      </c>
      <c r="V6" s="55">
        <f>Q6-J6</f>
        <v>8.900000000000019E-3</v>
      </c>
    </row>
    <row r="7" spans="1:25">
      <c r="A7" s="141">
        <v>2</v>
      </c>
      <c r="B7" s="139" t="s">
        <v>18</v>
      </c>
      <c r="C7" s="140" t="s">
        <v>19</v>
      </c>
      <c r="D7" s="30">
        <v>1078541603.7</v>
      </c>
      <c r="E7" s="27">
        <f t="shared" si="0"/>
        <v>1.6042646194739284E-2</v>
      </c>
      <c r="F7" s="30">
        <v>409.6275</v>
      </c>
      <c r="G7" s="30">
        <v>414.76569999999998</v>
      </c>
      <c r="H7" s="29">
        <v>541</v>
      </c>
      <c r="I7" s="47">
        <v>4.0460000000000001E-3</v>
      </c>
      <c r="J7" s="47">
        <v>0.5907</v>
      </c>
      <c r="K7" s="30">
        <v>1087094411.51</v>
      </c>
      <c r="L7" s="27">
        <f t="shared" si="1"/>
        <v>1.5410831683303846E-2</v>
      </c>
      <c r="M7" s="30">
        <v>413.05799999999999</v>
      </c>
      <c r="N7" s="30">
        <v>418.91329999999999</v>
      </c>
      <c r="O7" s="29">
        <v>547</v>
      </c>
      <c r="P7" s="47">
        <v>3.7720000000000002E-3</v>
      </c>
      <c r="Q7" s="47">
        <v>0.60399999999999998</v>
      </c>
      <c r="R7" s="53">
        <f t="shared" ref="R7:R25" si="2">((K7-D7)/D7)</f>
        <v>7.9299748666709149E-3</v>
      </c>
      <c r="S7" s="53">
        <f t="shared" ref="S7:S25" si="3">((N7-G7)/G7)</f>
        <v>9.9998625730141413E-3</v>
      </c>
      <c r="T7" s="53">
        <f t="shared" ref="T7:T25" si="4">((O7-H7)/H7)</f>
        <v>1.1090573012939002E-2</v>
      </c>
      <c r="U7" s="54">
        <f t="shared" ref="U7:U25" si="5">P7-I7</f>
        <v>-2.7399999999999994E-4</v>
      </c>
      <c r="V7" s="55">
        <f t="shared" ref="V7:V25" si="6">Q7-J7</f>
        <v>1.3299999999999979E-2</v>
      </c>
    </row>
    <row r="8" spans="1:25">
      <c r="A8" s="141">
        <v>3</v>
      </c>
      <c r="B8" s="139" t="s">
        <v>20</v>
      </c>
      <c r="C8" s="140" t="s">
        <v>21</v>
      </c>
      <c r="D8" s="30">
        <v>5702271210.6499996</v>
      </c>
      <c r="E8" s="27">
        <f t="shared" si="0"/>
        <v>8.4817793977608053E-2</v>
      </c>
      <c r="F8" s="30">
        <v>47.6233</v>
      </c>
      <c r="G8" s="30">
        <v>49.059199999999997</v>
      </c>
      <c r="H8" s="31">
        <v>7034</v>
      </c>
      <c r="I8" s="48">
        <v>0.58809999999999996</v>
      </c>
      <c r="J8" s="48">
        <v>0.53620000000000001</v>
      </c>
      <c r="K8" s="30">
        <v>6060380235.5900002</v>
      </c>
      <c r="L8" s="27">
        <f t="shared" si="1"/>
        <v>8.5912960970676161E-2</v>
      </c>
      <c r="M8" s="30">
        <v>48.4741</v>
      </c>
      <c r="N8" s="30">
        <v>49.935600000000001</v>
      </c>
      <c r="O8" s="31">
        <v>7126</v>
      </c>
      <c r="P8" s="48">
        <v>0.93149999999999999</v>
      </c>
      <c r="Q8" s="48">
        <v>0.60919999999999996</v>
      </c>
      <c r="R8" s="53">
        <f t="shared" si="2"/>
        <v>6.280112111664711E-2</v>
      </c>
      <c r="S8" s="53">
        <f t="shared" si="3"/>
        <v>1.7864131498271554E-2</v>
      </c>
      <c r="T8" s="53">
        <f t="shared" si="4"/>
        <v>1.3079328973557009E-2</v>
      </c>
      <c r="U8" s="54">
        <f t="shared" si="5"/>
        <v>0.34340000000000004</v>
      </c>
      <c r="V8" s="55">
        <f t="shared" si="6"/>
        <v>7.2999999999999954E-2</v>
      </c>
      <c r="X8" s="56"/>
      <c r="Y8" s="56"/>
    </row>
    <row r="9" spans="1:25">
      <c r="A9" s="141">
        <v>4</v>
      </c>
      <c r="B9" s="139" t="s">
        <v>22</v>
      </c>
      <c r="C9" s="140" t="s">
        <v>23</v>
      </c>
      <c r="D9" s="30">
        <v>1151420682.6700001</v>
      </c>
      <c r="E9" s="27">
        <f t="shared" si="0"/>
        <v>1.7126677886148554E-2</v>
      </c>
      <c r="F9" s="30">
        <v>297.7405</v>
      </c>
      <c r="G9" s="30">
        <v>297.7405</v>
      </c>
      <c r="H9" s="29">
        <v>2078</v>
      </c>
      <c r="I9" s="47">
        <v>0.03</v>
      </c>
      <c r="J9" s="47">
        <v>0.35970000000000002</v>
      </c>
      <c r="K9" s="30">
        <v>1205340919.0999999</v>
      </c>
      <c r="L9" s="27">
        <f t="shared" si="1"/>
        <v>1.7087113896066593E-2</v>
      </c>
      <c r="M9" s="30">
        <v>267.97000000000003</v>
      </c>
      <c r="N9" s="30">
        <v>267.97000000000003</v>
      </c>
      <c r="O9" s="29">
        <v>2119</v>
      </c>
      <c r="P9" s="47">
        <v>-0.1</v>
      </c>
      <c r="Q9" s="47">
        <v>0.37819999999999998</v>
      </c>
      <c r="R9" s="53">
        <f t="shared" si="2"/>
        <v>4.6829310296012373E-2</v>
      </c>
      <c r="S9" s="53">
        <f t="shared" si="3"/>
        <v>-9.9988076865592593E-2</v>
      </c>
      <c r="T9" s="53">
        <f t="shared" si="4"/>
        <v>1.973051010587103E-2</v>
      </c>
      <c r="U9" s="54">
        <f t="shared" si="5"/>
        <v>-0.13</v>
      </c>
      <c r="V9" s="55">
        <f t="shared" si="6"/>
        <v>1.8499999999999961E-2</v>
      </c>
    </row>
    <row r="10" spans="1:25">
      <c r="A10" s="141">
        <v>5</v>
      </c>
      <c r="B10" s="139" t="s">
        <v>24</v>
      </c>
      <c r="C10" s="140" t="s">
        <v>25</v>
      </c>
      <c r="D10" s="30">
        <v>1587975302.54</v>
      </c>
      <c r="E10" s="27">
        <f t="shared" si="0"/>
        <v>2.3620160647710484E-2</v>
      </c>
      <c r="F10" s="30">
        <v>1.6303000000000001</v>
      </c>
      <c r="G10" s="30">
        <v>1.6495</v>
      </c>
      <c r="H10" s="29">
        <v>643</v>
      </c>
      <c r="I10" s="47">
        <v>5.0599999999999999E-2</v>
      </c>
      <c r="J10" s="47">
        <v>0.3821</v>
      </c>
      <c r="K10" s="30">
        <v>1671755894.1800001</v>
      </c>
      <c r="L10" s="27">
        <f t="shared" si="1"/>
        <v>2.3699090371546914E-2</v>
      </c>
      <c r="M10" s="30">
        <v>1.6264000000000001</v>
      </c>
      <c r="N10" s="30">
        <v>1.6444000000000001</v>
      </c>
      <c r="O10" s="29">
        <v>661</v>
      </c>
      <c r="P10" s="47">
        <v>-5.4000000000000003E-3</v>
      </c>
      <c r="Q10" s="47">
        <v>0.3785</v>
      </c>
      <c r="R10" s="53">
        <f t="shared" si="2"/>
        <v>5.2759379510494454E-2</v>
      </c>
      <c r="S10" s="53">
        <f t="shared" si="3"/>
        <v>-3.0918460139435482E-3</v>
      </c>
      <c r="T10" s="53">
        <f t="shared" si="4"/>
        <v>2.7993779160186624E-2</v>
      </c>
      <c r="U10" s="54">
        <f t="shared" si="5"/>
        <v>-5.6000000000000001E-2</v>
      </c>
      <c r="V10" s="55">
        <f t="shared" si="6"/>
        <v>-3.5999999999999921E-3</v>
      </c>
    </row>
    <row r="11" spans="1:25">
      <c r="A11" s="141">
        <v>6</v>
      </c>
      <c r="B11" s="139" t="s">
        <v>26</v>
      </c>
      <c r="C11" s="140" t="s">
        <v>27</v>
      </c>
      <c r="D11" s="32">
        <v>200138740.91</v>
      </c>
      <c r="E11" s="27">
        <f t="shared" si="0"/>
        <v>2.9769412688996329E-3</v>
      </c>
      <c r="F11" s="30">
        <v>207.64760000000001</v>
      </c>
      <c r="G11" s="30">
        <v>209.1155</v>
      </c>
      <c r="H11" s="31">
        <v>83</v>
      </c>
      <c r="I11" s="48">
        <v>6.4859999999999996E-3</v>
      </c>
      <c r="J11" s="48">
        <v>0.20810000000000001</v>
      </c>
      <c r="K11" s="32">
        <v>204178078.81999999</v>
      </c>
      <c r="L11" s="27">
        <f t="shared" si="1"/>
        <v>2.8944624981971233E-3</v>
      </c>
      <c r="M11" s="30">
        <v>207.7062</v>
      </c>
      <c r="N11" s="30">
        <v>209.14519999999999</v>
      </c>
      <c r="O11" s="31">
        <v>85</v>
      </c>
      <c r="P11" s="48">
        <v>2.2850000000000001E-3</v>
      </c>
      <c r="Q11" s="48">
        <v>0.21870000000000001</v>
      </c>
      <c r="R11" s="53">
        <f t="shared" si="2"/>
        <v>2.018268872699883E-2</v>
      </c>
      <c r="S11" s="53">
        <f t="shared" si="3"/>
        <v>1.4202677467710991E-4</v>
      </c>
      <c r="T11" s="53">
        <f t="shared" si="4"/>
        <v>2.4096385542168676E-2</v>
      </c>
      <c r="U11" s="54">
        <f t="shared" si="5"/>
        <v>-4.2009999999999999E-3</v>
      </c>
      <c r="V11" s="55">
        <f t="shared" si="6"/>
        <v>1.0599999999999998E-2</v>
      </c>
    </row>
    <row r="12" spans="1:25">
      <c r="A12" s="141">
        <v>7</v>
      </c>
      <c r="B12" s="139" t="s">
        <v>28</v>
      </c>
      <c r="C12" s="140" t="s">
        <v>29</v>
      </c>
      <c r="D12" s="30">
        <v>2241741502.5799999</v>
      </c>
      <c r="E12" s="27">
        <f t="shared" si="0"/>
        <v>3.3344532712117354E-2</v>
      </c>
      <c r="F12" s="30">
        <v>489.87</v>
      </c>
      <c r="G12" s="30">
        <v>496.93</v>
      </c>
      <c r="H12" s="29">
        <v>1711</v>
      </c>
      <c r="I12" s="48">
        <v>4.3799999999999999E-2</v>
      </c>
      <c r="J12" s="48">
        <v>0.51280000000000003</v>
      </c>
      <c r="K12" s="30">
        <v>2241741502.5799999</v>
      </c>
      <c r="L12" s="27">
        <f t="shared" si="1"/>
        <v>3.177930141849436E-2</v>
      </c>
      <c r="M12" s="30">
        <v>495.48</v>
      </c>
      <c r="N12" s="30">
        <v>502.25</v>
      </c>
      <c r="O12" s="31">
        <v>1730</v>
      </c>
      <c r="P12" s="48">
        <v>1.11E-2</v>
      </c>
      <c r="Q12" s="48">
        <v>0.53010000000000002</v>
      </c>
      <c r="R12" s="53">
        <f t="shared" si="2"/>
        <v>0</v>
      </c>
      <c r="S12" s="53">
        <f t="shared" si="3"/>
        <v>1.0705733201859403E-2</v>
      </c>
      <c r="T12" s="53">
        <f t="shared" si="4"/>
        <v>1.1104617182933957E-2</v>
      </c>
      <c r="U12" s="54">
        <f t="shared" si="5"/>
        <v>-3.27E-2</v>
      </c>
      <c r="V12" s="55">
        <f t="shared" si="6"/>
        <v>1.7299999999999982E-2</v>
      </c>
    </row>
    <row r="13" spans="1:25">
      <c r="A13" s="141">
        <v>8</v>
      </c>
      <c r="B13" s="139" t="s">
        <v>30</v>
      </c>
      <c r="C13" s="140" t="s">
        <v>31</v>
      </c>
      <c r="D13" s="26">
        <v>512986299.94999999</v>
      </c>
      <c r="E13" s="27">
        <f t="shared" si="0"/>
        <v>7.6303572199847751E-3</v>
      </c>
      <c r="F13" s="30">
        <v>255.65</v>
      </c>
      <c r="G13" s="30">
        <v>268.45</v>
      </c>
      <c r="H13" s="29">
        <v>2469</v>
      </c>
      <c r="I13" s="47">
        <v>2.4729999999999999E-2</v>
      </c>
      <c r="J13" s="47">
        <v>0.20710000000000001</v>
      </c>
      <c r="K13" s="26">
        <v>517557591.19999999</v>
      </c>
      <c r="L13" s="27">
        <f t="shared" si="1"/>
        <v>7.3369827311691683E-3</v>
      </c>
      <c r="M13" s="30">
        <v>257.92</v>
      </c>
      <c r="N13" s="30">
        <v>270.88</v>
      </c>
      <c r="O13" s="29">
        <v>2469</v>
      </c>
      <c r="P13" s="47">
        <v>8.3000000000000001E-3</v>
      </c>
      <c r="Q13" s="47">
        <v>0.21790000000000001</v>
      </c>
      <c r="R13" s="53">
        <f t="shared" si="2"/>
        <v>8.9111371014110059E-3</v>
      </c>
      <c r="S13" s="53">
        <f t="shared" si="3"/>
        <v>9.0519649841684004E-3</v>
      </c>
      <c r="T13" s="53">
        <f t="shared" si="4"/>
        <v>0</v>
      </c>
      <c r="U13" s="54">
        <f t="shared" si="5"/>
        <v>-1.643E-2</v>
      </c>
      <c r="V13" s="55">
        <f t="shared" si="6"/>
        <v>1.0800000000000004E-2</v>
      </c>
    </row>
    <row r="14" spans="1:25">
      <c r="A14" s="141">
        <v>9</v>
      </c>
      <c r="B14" s="139" t="s">
        <v>32</v>
      </c>
      <c r="C14" s="140" t="s">
        <v>33</v>
      </c>
      <c r="D14" s="32">
        <v>86940763.276500002</v>
      </c>
      <c r="E14" s="27">
        <f t="shared" si="0"/>
        <v>1.2931906385072827E-3</v>
      </c>
      <c r="F14" s="30">
        <v>312.54000000000002</v>
      </c>
      <c r="G14" s="30">
        <v>322.97000000000003</v>
      </c>
      <c r="H14" s="29">
        <v>18</v>
      </c>
      <c r="I14" s="47">
        <v>2.64E-2</v>
      </c>
      <c r="J14" s="47">
        <v>0.41589999999999999</v>
      </c>
      <c r="K14" s="32">
        <v>86940763.276500002</v>
      </c>
      <c r="L14" s="27">
        <f t="shared" si="1"/>
        <v>1.2324867601987309E-3</v>
      </c>
      <c r="M14" s="30">
        <v>312.54000000000002</v>
      </c>
      <c r="N14" s="30">
        <v>322.97000000000003</v>
      </c>
      <c r="O14" s="29">
        <v>18</v>
      </c>
      <c r="P14" s="47">
        <v>2.64E-2</v>
      </c>
      <c r="Q14" s="47">
        <v>0.41589999999999999</v>
      </c>
      <c r="R14" s="53">
        <f t="shared" si="2"/>
        <v>0</v>
      </c>
      <c r="S14" s="53">
        <f t="shared" si="3"/>
        <v>0</v>
      </c>
      <c r="T14" s="53">
        <f t="shared" si="4"/>
        <v>0</v>
      </c>
      <c r="U14" s="54">
        <f t="shared" si="5"/>
        <v>0</v>
      </c>
      <c r="V14" s="55">
        <f t="shared" si="6"/>
        <v>0</v>
      </c>
    </row>
    <row r="15" spans="1:25" ht="14.25" customHeight="1">
      <c r="A15" s="141">
        <v>10</v>
      </c>
      <c r="B15" s="139" t="s">
        <v>34</v>
      </c>
      <c r="C15" s="140" t="s">
        <v>35</v>
      </c>
      <c r="D15" s="26">
        <v>1766305891.54</v>
      </c>
      <c r="E15" s="27">
        <f t="shared" si="0"/>
        <v>2.6272719005414998E-2</v>
      </c>
      <c r="F15" s="30">
        <v>3.7030219999999998</v>
      </c>
      <c r="G15" s="30">
        <v>3.7252079999999999</v>
      </c>
      <c r="H15" s="29">
        <v>894</v>
      </c>
      <c r="I15" s="47">
        <v>1.2912575468787102E-2</v>
      </c>
      <c r="J15" s="47">
        <v>0.76783326418948694</v>
      </c>
      <c r="K15" s="26">
        <v>1793683525.49</v>
      </c>
      <c r="L15" s="27">
        <f t="shared" si="1"/>
        <v>2.5427556808102641E-2</v>
      </c>
      <c r="M15" s="30">
        <v>3.6548750000000001</v>
      </c>
      <c r="N15" s="30">
        <v>3.678058</v>
      </c>
      <c r="O15" s="29">
        <v>953</v>
      </c>
      <c r="P15" s="47">
        <v>-1.3002083163427E-2</v>
      </c>
      <c r="Q15" s="47">
        <v>0.74480000000000002</v>
      </c>
      <c r="R15" s="53">
        <f t="shared" si="2"/>
        <v>1.5499939212754447E-2</v>
      </c>
      <c r="S15" s="53">
        <f t="shared" si="3"/>
        <v>-1.2657011366882012E-2</v>
      </c>
      <c r="T15" s="53">
        <f t="shared" si="4"/>
        <v>6.5995525727069348E-2</v>
      </c>
      <c r="U15" s="54">
        <f t="shared" si="5"/>
        <v>-2.5914658632214101E-2</v>
      </c>
      <c r="V15" s="55">
        <f t="shared" si="6"/>
        <v>-2.3033264189486924E-2</v>
      </c>
    </row>
    <row r="16" spans="1:25" ht="14.25" customHeight="1">
      <c r="A16" s="172">
        <v>11</v>
      </c>
      <c r="B16" s="139" t="s">
        <v>36</v>
      </c>
      <c r="C16" s="140" t="s">
        <v>37</v>
      </c>
      <c r="D16" s="26">
        <v>56792817</v>
      </c>
      <c r="E16" s="27">
        <f t="shared" si="0"/>
        <v>8.447583907824867E-4</v>
      </c>
      <c r="F16" s="30">
        <v>22.57</v>
      </c>
      <c r="G16" s="30">
        <v>23.21</v>
      </c>
      <c r="H16" s="29">
        <v>43</v>
      </c>
      <c r="I16" s="47">
        <v>5.8900000000000001E-2</v>
      </c>
      <c r="J16" s="47">
        <v>1.26</v>
      </c>
      <c r="K16" s="26">
        <v>60272835.030000001</v>
      </c>
      <c r="L16" s="27">
        <f t="shared" si="1"/>
        <v>8.5443776169603241E-4</v>
      </c>
      <c r="M16" s="30">
        <v>23.26</v>
      </c>
      <c r="N16" s="30">
        <v>23.7</v>
      </c>
      <c r="O16" s="29">
        <v>48</v>
      </c>
      <c r="P16" s="47">
        <v>1.38E-2</v>
      </c>
      <c r="Q16" s="47">
        <v>1.3299999999999999E-2</v>
      </c>
      <c r="R16" s="53">
        <f t="shared" ref="R16" si="7">((K16-D16)/D16)</f>
        <v>6.1275672062542717E-2</v>
      </c>
      <c r="S16" s="53">
        <f t="shared" ref="S16" si="8">((N16-G16)/G16)</f>
        <v>2.111158983196891E-2</v>
      </c>
      <c r="T16" s="53">
        <f t="shared" ref="T16" si="9">((O16-H16)/H16)</f>
        <v>0.11627906976744186</v>
      </c>
      <c r="U16" s="54">
        <f t="shared" ref="U16" si="10">P16-I16</f>
        <v>-4.5100000000000001E-2</v>
      </c>
      <c r="V16" s="55">
        <f t="shared" ref="V16" si="11">Q16-J16</f>
        <v>-1.2466999999999999</v>
      </c>
    </row>
    <row r="17" spans="1:22">
      <c r="A17" s="141">
        <v>12</v>
      </c>
      <c r="B17" s="139" t="s">
        <v>38</v>
      </c>
      <c r="C17" s="140" t="s">
        <v>39</v>
      </c>
      <c r="D17" s="124">
        <v>2713517088.75</v>
      </c>
      <c r="E17" s="27">
        <f t="shared" si="0"/>
        <v>4.0361905789128724E-2</v>
      </c>
      <c r="F17" s="30">
        <v>5.52</v>
      </c>
      <c r="G17" s="30">
        <v>5.64</v>
      </c>
      <c r="H17" s="29">
        <v>3645</v>
      </c>
      <c r="I17" s="47">
        <v>5.9400000000000001E-2</v>
      </c>
      <c r="J17" s="47">
        <v>0.51829999999999998</v>
      </c>
      <c r="K17" s="124">
        <v>2685052923.5</v>
      </c>
      <c r="L17" s="27">
        <f t="shared" si="1"/>
        <v>3.8063758056988944E-2</v>
      </c>
      <c r="M17" s="30">
        <v>5.45</v>
      </c>
      <c r="N17" s="30">
        <v>5.57</v>
      </c>
      <c r="O17" s="29">
        <v>3649</v>
      </c>
      <c r="P17" s="47">
        <v>-2.4400000000000002E-2</v>
      </c>
      <c r="Q17" s="47">
        <v>0.4975</v>
      </c>
      <c r="R17" s="53">
        <f t="shared" si="2"/>
        <v>-1.0489768193467398E-2</v>
      </c>
      <c r="S17" s="53">
        <f t="shared" si="3"/>
        <v>-1.2411347517730389E-2</v>
      </c>
      <c r="T17" s="53">
        <f t="shared" si="4"/>
        <v>1.0973936899862826E-3</v>
      </c>
      <c r="U17" s="54">
        <f t="shared" si="5"/>
        <v>-8.3799999999999999E-2</v>
      </c>
      <c r="V17" s="55">
        <f t="shared" si="6"/>
        <v>-2.0799999999999985E-2</v>
      </c>
    </row>
    <row r="18" spans="1:22">
      <c r="A18" s="141">
        <v>13</v>
      </c>
      <c r="B18" s="139" t="s">
        <v>40</v>
      </c>
      <c r="C18" s="140" t="s">
        <v>41</v>
      </c>
      <c r="D18" s="30">
        <v>1633634391.78</v>
      </c>
      <c r="E18" s="27">
        <f t="shared" si="0"/>
        <v>2.4299311652862709E-2</v>
      </c>
      <c r="F18" s="30">
        <v>33.006739000000003</v>
      </c>
      <c r="G18" s="30">
        <v>33.100904</v>
      </c>
      <c r="H18" s="29">
        <v>606</v>
      </c>
      <c r="I18" s="47">
        <v>5.1400000000000001E-2</v>
      </c>
      <c r="J18" s="47">
        <v>0.40400000000000003</v>
      </c>
      <c r="K18" s="30">
        <v>1774184377.6099999</v>
      </c>
      <c r="L18" s="27">
        <f t="shared" si="1"/>
        <v>2.5151133635685507E-2</v>
      </c>
      <c r="M18" s="30">
        <v>32.01</v>
      </c>
      <c r="N18" s="30">
        <v>32.090000000000003</v>
      </c>
      <c r="O18" s="29">
        <v>650</v>
      </c>
      <c r="P18" s="47">
        <v>-3.0200000000000001E-2</v>
      </c>
      <c r="Q18" s="47">
        <v>0.36299999999999999</v>
      </c>
      <c r="R18" s="53">
        <f t="shared" si="2"/>
        <v>8.6035153604263531E-2</v>
      </c>
      <c r="S18" s="53">
        <f t="shared" si="3"/>
        <v>-3.0540072259053603E-2</v>
      </c>
      <c r="T18" s="53">
        <f t="shared" si="4"/>
        <v>7.2607260726072612E-2</v>
      </c>
      <c r="U18" s="54">
        <f t="shared" si="5"/>
        <v>-8.1600000000000006E-2</v>
      </c>
      <c r="V18" s="55">
        <f t="shared" si="6"/>
        <v>-4.1000000000000036E-2</v>
      </c>
    </row>
    <row r="19" spans="1:22">
      <c r="A19" s="141">
        <v>14</v>
      </c>
      <c r="B19" s="139" t="s">
        <v>42</v>
      </c>
      <c r="C19" s="140" t="s">
        <v>43</v>
      </c>
      <c r="D19" s="30">
        <v>179914826.75999999</v>
      </c>
      <c r="E19" s="27">
        <f t="shared" si="0"/>
        <v>2.6761229246946403E-3</v>
      </c>
      <c r="F19" s="30">
        <v>1.957662</v>
      </c>
      <c r="G19" s="30">
        <v>2.0256470000000002</v>
      </c>
      <c r="H19" s="29">
        <v>22</v>
      </c>
      <c r="I19" s="47">
        <v>7.1800000000000003E-2</v>
      </c>
      <c r="J19" s="47">
        <v>0.40200000000000002</v>
      </c>
      <c r="K19" s="30">
        <v>179914826.75999999</v>
      </c>
      <c r="L19" s="27">
        <f t="shared" si="1"/>
        <v>2.5505025903664355E-3</v>
      </c>
      <c r="M19" s="30">
        <v>1.957662</v>
      </c>
      <c r="N19" s="30">
        <v>2.0256470000000002</v>
      </c>
      <c r="O19" s="29">
        <v>22</v>
      </c>
      <c r="P19" s="47">
        <v>-0.04</v>
      </c>
      <c r="Q19" s="47">
        <v>0.36199999999999999</v>
      </c>
      <c r="R19" s="53">
        <f t="shared" si="2"/>
        <v>0</v>
      </c>
      <c r="S19" s="53">
        <f t="shared" si="3"/>
        <v>0</v>
      </c>
      <c r="T19" s="53">
        <f t="shared" si="4"/>
        <v>0</v>
      </c>
      <c r="U19" s="54">
        <f t="shared" si="5"/>
        <v>-0.11180000000000001</v>
      </c>
      <c r="V19" s="55">
        <f t="shared" si="6"/>
        <v>-4.0000000000000036E-2</v>
      </c>
    </row>
    <row r="20" spans="1:22">
      <c r="A20" s="141">
        <v>15</v>
      </c>
      <c r="B20" s="139" t="s">
        <v>44</v>
      </c>
      <c r="C20" s="140" t="s">
        <v>45</v>
      </c>
      <c r="D20" s="26">
        <v>8822251257.2199993</v>
      </c>
      <c r="E20" s="27">
        <f t="shared" si="0"/>
        <v>0.13122558747399229</v>
      </c>
      <c r="F20" s="30">
        <v>50.94</v>
      </c>
      <c r="G20" s="30">
        <v>51</v>
      </c>
      <c r="H20" s="29">
        <v>8944</v>
      </c>
      <c r="I20" s="47">
        <v>4.4499999999999998E-2</v>
      </c>
      <c r="J20" s="47">
        <v>0.67279999999999995</v>
      </c>
      <c r="K20" s="26">
        <v>9200189826.7700005</v>
      </c>
      <c r="L20" s="27">
        <f t="shared" si="1"/>
        <v>0.13042342539306911</v>
      </c>
      <c r="M20" s="30">
        <v>50.49</v>
      </c>
      <c r="N20" s="30">
        <v>50.57</v>
      </c>
      <c r="O20" s="29">
        <v>10024</v>
      </c>
      <c r="P20" s="47">
        <v>-7.7999999999999996E-3</v>
      </c>
      <c r="Q20" s="47">
        <v>0.65820000000000001</v>
      </c>
      <c r="R20" s="53">
        <f t="shared" si="2"/>
        <v>4.2839243468689676E-2</v>
      </c>
      <c r="S20" s="53">
        <f t="shared" si="3"/>
        <v>-8.4313725490196018E-3</v>
      </c>
      <c r="T20" s="53">
        <f t="shared" si="4"/>
        <v>0.12075134168157424</v>
      </c>
      <c r="U20" s="54">
        <f t="shared" si="5"/>
        <v>-5.2299999999999999E-2</v>
      </c>
      <c r="V20" s="55">
        <f t="shared" si="6"/>
        <v>-1.4599999999999946E-2</v>
      </c>
    </row>
    <row r="21" spans="1:22" ht="12.75" customHeight="1">
      <c r="A21" s="141">
        <v>16</v>
      </c>
      <c r="B21" s="139" t="s">
        <v>46</v>
      </c>
      <c r="C21" s="140" t="s">
        <v>47</v>
      </c>
      <c r="D21" s="30">
        <v>1632095958.78</v>
      </c>
      <c r="E21" s="27">
        <f t="shared" si="0"/>
        <v>2.4276428403641127E-2</v>
      </c>
      <c r="F21" s="30">
        <v>12632.19</v>
      </c>
      <c r="G21" s="30">
        <v>12797.89</v>
      </c>
      <c r="H21" s="29">
        <v>24</v>
      </c>
      <c r="I21" s="47">
        <v>6.5199999999999994E-2</v>
      </c>
      <c r="J21" s="47">
        <v>0.57789999999999997</v>
      </c>
      <c r="K21" s="30">
        <v>1657807232.8900001</v>
      </c>
      <c r="L21" s="27">
        <f t="shared" si="1"/>
        <v>2.3501351822740449E-2</v>
      </c>
      <c r="M21" s="30">
        <v>12687.05</v>
      </c>
      <c r="N21" s="30">
        <v>12854.75</v>
      </c>
      <c r="O21" s="29">
        <v>24</v>
      </c>
      <c r="P21" s="47">
        <v>0.44</v>
      </c>
      <c r="Q21" s="47">
        <v>0.58489999999999998</v>
      </c>
      <c r="R21" s="53">
        <f t="shared" si="2"/>
        <v>1.5753530894849738E-2</v>
      </c>
      <c r="S21" s="53">
        <f t="shared" si="3"/>
        <v>4.4429198875752633E-3</v>
      </c>
      <c r="T21" s="53">
        <f t="shared" si="4"/>
        <v>0</v>
      </c>
      <c r="U21" s="54">
        <f t="shared" si="5"/>
        <v>0.37480000000000002</v>
      </c>
      <c r="V21" s="55">
        <f t="shared" si="6"/>
        <v>7.0000000000000062E-3</v>
      </c>
    </row>
    <row r="22" spans="1:22">
      <c r="A22" s="141">
        <v>17</v>
      </c>
      <c r="B22" s="139" t="s">
        <v>48</v>
      </c>
      <c r="C22" s="140" t="s">
        <v>47</v>
      </c>
      <c r="D22" s="30">
        <v>22550953829.450001</v>
      </c>
      <c r="E22" s="27">
        <f t="shared" si="0"/>
        <v>0.33543163508822499</v>
      </c>
      <c r="F22" s="30">
        <v>41340.15</v>
      </c>
      <c r="G22" s="30">
        <v>41942.410000000003</v>
      </c>
      <c r="H22" s="29">
        <v>18290</v>
      </c>
      <c r="I22" s="47">
        <v>6.2300000000000001E-2</v>
      </c>
      <c r="J22" s="47">
        <v>0.63190000000000002</v>
      </c>
      <c r="K22" s="30">
        <v>23873348134.490002</v>
      </c>
      <c r="L22" s="27">
        <f t="shared" si="1"/>
        <v>0.3384325647544339</v>
      </c>
      <c r="M22" s="30">
        <v>42153.71</v>
      </c>
      <c r="N22" s="30">
        <v>42759</v>
      </c>
      <c r="O22" s="29">
        <v>18508</v>
      </c>
      <c r="P22" s="47">
        <v>1.95E-2</v>
      </c>
      <c r="Q22" s="47">
        <v>0.66369999999999996</v>
      </c>
      <c r="R22" s="53">
        <f t="shared" si="2"/>
        <v>5.8640282581442056E-2</v>
      </c>
      <c r="S22" s="53">
        <f t="shared" si="3"/>
        <v>1.9469315187181577E-2</v>
      </c>
      <c r="T22" s="53">
        <f t="shared" si="4"/>
        <v>1.1919081465281575E-2</v>
      </c>
      <c r="U22" s="54">
        <f t="shared" si="5"/>
        <v>-4.2800000000000005E-2</v>
      </c>
      <c r="V22" s="55">
        <f t="shared" si="6"/>
        <v>3.1799999999999939E-2</v>
      </c>
    </row>
    <row r="23" spans="1:22">
      <c r="A23" s="141">
        <v>18</v>
      </c>
      <c r="B23" s="140" t="s">
        <v>49</v>
      </c>
      <c r="C23" s="140" t="s">
        <v>50</v>
      </c>
      <c r="D23" s="30">
        <v>5728238479.4899998</v>
      </c>
      <c r="E23" s="27">
        <f t="shared" ref="E23" si="12">(D23/$D$25)</f>
        <v>8.5204041207399356E-2</v>
      </c>
      <c r="F23" s="30">
        <v>1.8458000000000001</v>
      </c>
      <c r="G23" s="28">
        <v>1.8646</v>
      </c>
      <c r="H23" s="29">
        <v>5452</v>
      </c>
      <c r="I23" s="47">
        <v>3.2099999999999997E-2</v>
      </c>
      <c r="J23" s="47">
        <v>0.42259999999999998</v>
      </c>
      <c r="K23" s="30">
        <v>5986254822.1999998</v>
      </c>
      <c r="L23" s="27">
        <f t="shared" ref="L23" si="13">(K23/$K$25)</f>
        <v>8.486214674781406E-2</v>
      </c>
      <c r="M23" s="30">
        <v>1.8696999999999999</v>
      </c>
      <c r="N23" s="28">
        <v>1.8889</v>
      </c>
      <c r="O23" s="29">
        <v>5533</v>
      </c>
      <c r="P23" s="47">
        <v>1.29E-2</v>
      </c>
      <c r="Q23" s="47">
        <v>0.43859999999999999</v>
      </c>
      <c r="R23" s="53">
        <f t="shared" ref="R23" si="14">((K23-D23)/D23)</f>
        <v>4.5042877253422577E-2</v>
      </c>
      <c r="S23" s="53">
        <f t="shared" ref="S23" si="15">((N23-G23)/G23)</f>
        <v>1.3032285744931883E-2</v>
      </c>
      <c r="T23" s="53">
        <f t="shared" ref="T23" si="16">((O23-H23)/H23)</f>
        <v>1.4856933235509904E-2</v>
      </c>
      <c r="U23" s="54">
        <f t="shared" ref="U23" si="17">P23-I23</f>
        <v>-1.9199999999999995E-2</v>
      </c>
      <c r="V23" s="55">
        <f t="shared" ref="V23" si="18">Q23-J23</f>
        <v>1.6000000000000014E-2</v>
      </c>
    </row>
    <row r="24" spans="1:22">
      <c r="A24" s="141">
        <v>19</v>
      </c>
      <c r="B24" s="140" t="s">
        <v>290</v>
      </c>
      <c r="C24" s="140" t="s">
        <v>291</v>
      </c>
      <c r="D24" s="30">
        <v>6446295849.0500002</v>
      </c>
      <c r="E24" s="27">
        <f>(D24/$D$25)</f>
        <v>9.588470506668656E-2</v>
      </c>
      <c r="F24" s="30">
        <v>216.81</v>
      </c>
      <c r="G24" s="28">
        <v>220.62</v>
      </c>
      <c r="H24" s="29">
        <v>47</v>
      </c>
      <c r="I24" s="47">
        <v>5.1700000000000003E-2</v>
      </c>
      <c r="J24" s="47">
        <v>0.78210000000000002</v>
      </c>
      <c r="K24" s="30">
        <v>6498587181.3800001</v>
      </c>
      <c r="L24" s="27">
        <f>(K24/$K$25)</f>
        <v>9.212505571840289E-2</v>
      </c>
      <c r="M24" s="30">
        <v>216.32</v>
      </c>
      <c r="N24" s="28">
        <v>220.39</v>
      </c>
      <c r="O24" s="29">
        <v>49</v>
      </c>
      <c r="P24" s="47">
        <v>-1.5E-3</v>
      </c>
      <c r="Q24" s="47">
        <v>0.77939999999999998</v>
      </c>
      <c r="R24" s="53">
        <f t="shared" si="2"/>
        <v>8.111841832035397E-3</v>
      </c>
      <c r="S24" s="53">
        <f t="shared" si="3"/>
        <v>-1.0425165442843722E-3</v>
      </c>
      <c r="T24" s="53">
        <f t="shared" si="4"/>
        <v>4.2553191489361701E-2</v>
      </c>
      <c r="U24" s="54">
        <f t="shared" si="5"/>
        <v>-5.3200000000000004E-2</v>
      </c>
      <c r="V24" s="55">
        <f t="shared" si="6"/>
        <v>-2.7000000000000357E-3</v>
      </c>
    </row>
    <row r="25" spans="1:22">
      <c r="A25" s="33"/>
      <c r="B25" s="34"/>
      <c r="C25" s="35" t="s">
        <v>51</v>
      </c>
      <c r="D25" s="36">
        <f>SUM(D6:D24)</f>
        <v>67229657165.516502</v>
      </c>
      <c r="E25" s="37">
        <f>(D25/$D$222)</f>
        <v>1.0704833272443011E-2</v>
      </c>
      <c r="F25" s="38"/>
      <c r="G25" s="39"/>
      <c r="H25" s="40">
        <f>SUM(H6:H24)</f>
        <v>54233</v>
      </c>
      <c r="I25" s="49"/>
      <c r="J25" s="29">
        <v>0</v>
      </c>
      <c r="K25" s="36">
        <f>SUM(K6:K24)</f>
        <v>70540930810.876495</v>
      </c>
      <c r="L25" s="37">
        <f>(K25/$K$222)</f>
        <v>1.1047084812610115E-2</v>
      </c>
      <c r="M25" s="38"/>
      <c r="N25" s="39"/>
      <c r="O25" s="40">
        <f>SUM(O6:O24)</f>
        <v>55908</v>
      </c>
      <c r="P25" s="49"/>
      <c r="Q25" s="40"/>
      <c r="R25" s="53">
        <f t="shared" si="2"/>
        <v>4.9253168690237117E-2</v>
      </c>
      <c r="S25" s="53" t="e">
        <f t="shared" si="3"/>
        <v>#DIV/0!</v>
      </c>
      <c r="T25" s="53">
        <f t="shared" si="4"/>
        <v>3.0885254365423265E-2</v>
      </c>
      <c r="U25" s="54">
        <f t="shared" si="5"/>
        <v>0</v>
      </c>
      <c r="V25" s="55">
        <f t="shared" si="6"/>
        <v>0</v>
      </c>
    </row>
    <row r="26" spans="1:22" ht="4.5" customHeight="1">
      <c r="A26" s="33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</row>
    <row r="27" spans="1:22" ht="15" customHeight="1">
      <c r="A27" s="182" t="s">
        <v>52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</row>
    <row r="28" spans="1:22">
      <c r="A28" s="138">
        <v>20</v>
      </c>
      <c r="B28" s="139" t="s">
        <v>53</v>
      </c>
      <c r="C28" s="140" t="s">
        <v>17</v>
      </c>
      <c r="D28" s="41">
        <v>3857000684.0599999</v>
      </c>
      <c r="E28" s="27">
        <f t="shared" ref="E28:E33" si="19">(D28/$K$69)</f>
        <v>1.0733361004940027E-3</v>
      </c>
      <c r="F28" s="28">
        <v>100</v>
      </c>
      <c r="G28" s="28">
        <v>100</v>
      </c>
      <c r="H28" s="29">
        <v>851</v>
      </c>
      <c r="I28" s="47">
        <v>0.17730000000000001</v>
      </c>
      <c r="J28" s="47">
        <v>0.17730000000000001</v>
      </c>
      <c r="K28" s="171">
        <v>3993531519.3099999</v>
      </c>
      <c r="L28" s="27">
        <f t="shared" ref="L28:L33" si="20">(K28/$K$69)</f>
        <v>1.111330253544079E-3</v>
      </c>
      <c r="M28" s="28">
        <v>100</v>
      </c>
      <c r="N28" s="28">
        <v>100</v>
      </c>
      <c r="O28" s="29">
        <v>868</v>
      </c>
      <c r="P28" s="47">
        <v>0.1628</v>
      </c>
      <c r="Q28" s="47">
        <v>0.1628</v>
      </c>
      <c r="R28" s="53">
        <f>((K28-D28)/D28)</f>
        <v>3.5398187979132884E-2</v>
      </c>
      <c r="S28" s="53">
        <f>((N28-G28)/G28)</f>
        <v>0</v>
      </c>
      <c r="T28" s="53">
        <f>((O28-H28)/H28)</f>
        <v>1.9976498237367801E-2</v>
      </c>
      <c r="U28" s="54">
        <f>P28-I28</f>
        <v>-1.4500000000000013E-2</v>
      </c>
      <c r="V28" s="55">
        <f>Q28-J28</f>
        <v>-1.4500000000000013E-2</v>
      </c>
    </row>
    <row r="29" spans="1:22">
      <c r="A29" s="138">
        <v>21</v>
      </c>
      <c r="B29" s="139" t="s">
        <v>54</v>
      </c>
      <c r="C29" s="140" t="s">
        <v>55</v>
      </c>
      <c r="D29" s="41">
        <v>23467354353.509998</v>
      </c>
      <c r="E29" s="27">
        <f t="shared" si="19"/>
        <v>6.5305559096228436E-3</v>
      </c>
      <c r="F29" s="28">
        <v>100</v>
      </c>
      <c r="G29" s="28">
        <v>100</v>
      </c>
      <c r="H29" s="29">
        <v>3120</v>
      </c>
      <c r="I29" s="47">
        <v>0.202428</v>
      </c>
      <c r="J29" s="47">
        <v>0.202428</v>
      </c>
      <c r="K29" s="41">
        <v>23924497003.790001</v>
      </c>
      <c r="L29" s="27">
        <f t="shared" si="20"/>
        <v>6.657770745660813E-3</v>
      </c>
      <c r="M29" s="28">
        <v>100</v>
      </c>
      <c r="N29" s="28">
        <v>100</v>
      </c>
      <c r="O29" s="29">
        <v>3156</v>
      </c>
      <c r="P29" s="47">
        <v>0.20236000000000001</v>
      </c>
      <c r="Q29" s="47">
        <v>0.20236000000000001</v>
      </c>
      <c r="R29" s="53">
        <f t="shared" ref="R29:R69" si="21">((K29-D29)/D29)</f>
        <v>1.9479939808878712E-2</v>
      </c>
      <c r="S29" s="53">
        <f t="shared" ref="S29:S69" si="22">((N29-G29)/G29)</f>
        <v>0</v>
      </c>
      <c r="T29" s="53">
        <f t="shared" ref="T29:T69" si="23">((O29-H29)/H29)</f>
        <v>1.1538461538461539E-2</v>
      </c>
      <c r="U29" s="54">
        <f t="shared" ref="U29:U69" si="24">P29-I29</f>
        <v>-6.7999999999984739E-5</v>
      </c>
      <c r="V29" s="55">
        <f t="shared" ref="V29:V69" si="25">Q29-J29</f>
        <v>-6.7999999999984739E-5</v>
      </c>
    </row>
    <row r="30" spans="1:22">
      <c r="A30" s="138">
        <v>22</v>
      </c>
      <c r="B30" s="139" t="s">
        <v>56</v>
      </c>
      <c r="C30" s="140" t="s">
        <v>19</v>
      </c>
      <c r="D30" s="41">
        <v>2305056082.5100002</v>
      </c>
      <c r="E30" s="27">
        <f t="shared" si="19"/>
        <v>6.4145695313098852E-4</v>
      </c>
      <c r="F30" s="28">
        <v>100</v>
      </c>
      <c r="G30" s="28">
        <v>100</v>
      </c>
      <c r="H30" s="29">
        <v>2089</v>
      </c>
      <c r="I30" s="47">
        <v>0.19739999999999999</v>
      </c>
      <c r="J30" s="47">
        <v>0.19739999999999999</v>
      </c>
      <c r="K30" s="41">
        <v>2375719418.0599999</v>
      </c>
      <c r="L30" s="27">
        <f t="shared" si="20"/>
        <v>6.6112132844224679E-4</v>
      </c>
      <c r="M30" s="28">
        <v>100</v>
      </c>
      <c r="N30" s="28">
        <v>100</v>
      </c>
      <c r="O30" s="29">
        <v>2100</v>
      </c>
      <c r="P30" s="47">
        <v>0.2021</v>
      </c>
      <c r="Q30" s="47">
        <v>0.2021</v>
      </c>
      <c r="R30" s="53">
        <f t="shared" si="21"/>
        <v>3.0655798826835334E-2</v>
      </c>
      <c r="S30" s="53">
        <f t="shared" si="22"/>
        <v>0</v>
      </c>
      <c r="T30" s="53">
        <f t="shared" si="23"/>
        <v>5.2656773575873624E-3</v>
      </c>
      <c r="U30" s="54">
        <f t="shared" si="24"/>
        <v>4.7000000000000097E-3</v>
      </c>
      <c r="V30" s="55">
        <f t="shared" si="25"/>
        <v>4.7000000000000097E-3</v>
      </c>
    </row>
    <row r="31" spans="1:22">
      <c r="A31" s="138">
        <v>23</v>
      </c>
      <c r="B31" s="139" t="s">
        <v>57</v>
      </c>
      <c r="C31" s="140" t="s">
        <v>21</v>
      </c>
      <c r="D31" s="41">
        <v>244133711249.92001</v>
      </c>
      <c r="E31" s="27">
        <f t="shared" si="19"/>
        <v>6.7938158972865176E-2</v>
      </c>
      <c r="F31" s="28">
        <v>1</v>
      </c>
      <c r="G31" s="28">
        <v>1</v>
      </c>
      <c r="H31" s="29">
        <v>72938</v>
      </c>
      <c r="I31" s="47">
        <v>0.20860000000000001</v>
      </c>
      <c r="J31" s="47">
        <v>0.20860000000000001</v>
      </c>
      <c r="K31" s="41">
        <v>247217360158.14999</v>
      </c>
      <c r="L31" s="27">
        <f t="shared" si="20"/>
        <v>6.8796284746119679E-2</v>
      </c>
      <c r="M31" s="28">
        <v>1</v>
      </c>
      <c r="N31" s="28">
        <v>1</v>
      </c>
      <c r="O31" s="29">
        <v>73084</v>
      </c>
      <c r="P31" s="47">
        <v>0.2089</v>
      </c>
      <c r="Q31" s="47">
        <v>0.2089</v>
      </c>
      <c r="R31" s="53">
        <f t="shared" si="21"/>
        <v>1.2630983621402638E-2</v>
      </c>
      <c r="S31" s="53">
        <f t="shared" si="22"/>
        <v>0</v>
      </c>
      <c r="T31" s="53">
        <f t="shared" si="23"/>
        <v>2.0017000740354821E-3</v>
      </c>
      <c r="U31" s="54">
        <f t="shared" si="24"/>
        <v>2.9999999999999472E-4</v>
      </c>
      <c r="V31" s="55">
        <f t="shared" si="25"/>
        <v>2.9999999999999472E-4</v>
      </c>
    </row>
    <row r="32" spans="1:22">
      <c r="A32" s="138">
        <v>24</v>
      </c>
      <c r="B32" s="139" t="s">
        <v>299</v>
      </c>
      <c r="C32" s="140" t="s">
        <v>113</v>
      </c>
      <c r="D32" s="41">
        <v>1133701996</v>
      </c>
      <c r="E32" s="27">
        <f t="shared" si="19"/>
        <v>3.1548951612526553E-4</v>
      </c>
      <c r="F32" s="28">
        <v>1</v>
      </c>
      <c r="G32" s="28">
        <v>1</v>
      </c>
      <c r="H32" s="29">
        <v>300</v>
      </c>
      <c r="I32" s="47">
        <v>0.19289999999999999</v>
      </c>
      <c r="J32" s="47">
        <v>0.19289999999999999</v>
      </c>
      <c r="K32" s="41">
        <v>1137875193</v>
      </c>
      <c r="L32" s="27">
        <f t="shared" si="20"/>
        <v>3.1665084415226976E-4</v>
      </c>
      <c r="M32" s="28">
        <v>1</v>
      </c>
      <c r="N32" s="28">
        <v>1</v>
      </c>
      <c r="O32" s="29">
        <v>300</v>
      </c>
      <c r="P32" s="47">
        <v>0.19359999999999999</v>
      </c>
      <c r="Q32" s="47">
        <v>0.19359999999999999</v>
      </c>
      <c r="R32" s="53">
        <f t="shared" si="21"/>
        <v>3.6810352409399833E-3</v>
      </c>
      <c r="S32" s="53">
        <f t="shared" si="22"/>
        <v>0</v>
      </c>
      <c r="T32" s="53">
        <f t="shared" si="23"/>
        <v>0</v>
      </c>
      <c r="U32" s="54">
        <f t="shared" si="24"/>
        <v>7.0000000000000617E-4</v>
      </c>
      <c r="V32" s="55">
        <f t="shared" si="25"/>
        <v>7.0000000000000617E-4</v>
      </c>
    </row>
    <row r="33" spans="1:22">
      <c r="A33" s="138">
        <v>25</v>
      </c>
      <c r="B33" s="139" t="s">
        <v>58</v>
      </c>
      <c r="C33" s="140" t="s">
        <v>23</v>
      </c>
      <c r="D33" s="41">
        <v>134861709783.64999</v>
      </c>
      <c r="E33" s="27">
        <f t="shared" si="19"/>
        <v>3.7529664509358178E-2</v>
      </c>
      <c r="F33" s="28">
        <v>1</v>
      </c>
      <c r="G33" s="28">
        <v>1</v>
      </c>
      <c r="H33" s="29">
        <v>34956</v>
      </c>
      <c r="I33" s="47">
        <v>0.19520000000000001</v>
      </c>
      <c r="J33" s="47">
        <v>0.19520000000000001</v>
      </c>
      <c r="K33" s="41">
        <v>137090848258.39</v>
      </c>
      <c r="L33" s="27">
        <f t="shared" si="20"/>
        <v>3.8149994914749769E-2</v>
      </c>
      <c r="M33" s="28">
        <v>1</v>
      </c>
      <c r="N33" s="28">
        <v>1</v>
      </c>
      <c r="O33" s="29">
        <v>35110</v>
      </c>
      <c r="P33" s="47">
        <v>0.19409999999999999</v>
      </c>
      <c r="Q33" s="47">
        <v>0.19409999999999999</v>
      </c>
      <c r="R33" s="53">
        <f t="shared" si="21"/>
        <v>1.6529068764707711E-2</v>
      </c>
      <c r="S33" s="53">
        <f t="shared" si="22"/>
        <v>0</v>
      </c>
      <c r="T33" s="53">
        <f t="shared" si="23"/>
        <v>4.4055383911202652E-3</v>
      </c>
      <c r="U33" s="54">
        <f t="shared" si="24"/>
        <v>-1.1000000000000176E-3</v>
      </c>
      <c r="V33" s="55">
        <f t="shared" si="25"/>
        <v>-1.1000000000000176E-3</v>
      </c>
    </row>
    <row r="34" spans="1:22">
      <c r="A34" s="138">
        <v>26</v>
      </c>
      <c r="B34" s="139" t="s">
        <v>284</v>
      </c>
      <c r="C34" s="140" t="s">
        <v>25</v>
      </c>
      <c r="D34" s="30">
        <v>8977252438.3600006</v>
      </c>
      <c r="E34" s="27">
        <f t="shared" ref="E34" si="26">(D34/$D$25)</f>
        <v>0.13353113516938506</v>
      </c>
      <c r="F34" s="30">
        <v>1</v>
      </c>
      <c r="G34" s="30">
        <v>1</v>
      </c>
      <c r="H34" s="29">
        <v>1038</v>
      </c>
      <c r="I34" s="47">
        <v>0.2059</v>
      </c>
      <c r="J34" s="47">
        <v>0.2059</v>
      </c>
      <c r="K34" s="30">
        <v>10247796770.360001</v>
      </c>
      <c r="L34" s="27">
        <f t="shared" ref="L34" si="27">(K34/$K$25)</f>
        <v>0.14527447614541433</v>
      </c>
      <c r="M34" s="30">
        <v>1</v>
      </c>
      <c r="N34" s="30">
        <v>1</v>
      </c>
      <c r="O34" s="29">
        <v>1050</v>
      </c>
      <c r="P34" s="47">
        <v>0.1971</v>
      </c>
      <c r="Q34" s="47">
        <v>0.1971</v>
      </c>
      <c r="R34" s="53">
        <f t="shared" si="21"/>
        <v>0.14152930874160735</v>
      </c>
      <c r="S34" s="53">
        <f t="shared" si="22"/>
        <v>0</v>
      </c>
      <c r="T34" s="53">
        <f t="shared" si="23"/>
        <v>1.1560693641618497E-2</v>
      </c>
      <c r="U34" s="54">
        <f t="shared" si="24"/>
        <v>-8.8000000000000023E-3</v>
      </c>
      <c r="V34" s="55">
        <f t="shared" si="25"/>
        <v>-8.8000000000000023E-3</v>
      </c>
    </row>
    <row r="35" spans="1:22" ht="15" customHeight="1">
      <c r="A35" s="138">
        <v>27</v>
      </c>
      <c r="B35" s="139" t="s">
        <v>59</v>
      </c>
      <c r="C35" s="140" t="s">
        <v>45</v>
      </c>
      <c r="D35" s="41">
        <v>30061817747</v>
      </c>
      <c r="E35" s="27">
        <f t="shared" ref="E35:E47" si="28">(D35/$K$69)</f>
        <v>8.3656801948921947E-3</v>
      </c>
      <c r="F35" s="28">
        <v>100</v>
      </c>
      <c r="G35" s="28">
        <v>100</v>
      </c>
      <c r="H35" s="29">
        <v>2083</v>
      </c>
      <c r="I35" s="47">
        <v>0.21479999999999999</v>
      </c>
      <c r="J35" s="47">
        <v>0.21479999999999999</v>
      </c>
      <c r="K35" s="41">
        <v>30461817747</v>
      </c>
      <c r="L35" s="27">
        <f t="shared" ref="L35:L47" si="29">(K35/$K$69)</f>
        <v>8.4769932267959557E-3</v>
      </c>
      <c r="M35" s="28">
        <v>100</v>
      </c>
      <c r="N35" s="28">
        <v>100</v>
      </c>
      <c r="O35" s="29">
        <v>2083</v>
      </c>
      <c r="P35" s="47">
        <v>0.20730000000000001</v>
      </c>
      <c r="Q35" s="47">
        <v>0.20730000000000001</v>
      </c>
      <c r="R35" s="53">
        <f t="shared" si="21"/>
        <v>1.330591527652774E-2</v>
      </c>
      <c r="S35" s="53">
        <f t="shared" si="22"/>
        <v>0</v>
      </c>
      <c r="T35" s="53">
        <f t="shared" si="23"/>
        <v>0</v>
      </c>
      <c r="U35" s="54">
        <f t="shared" si="24"/>
        <v>-7.4999999999999789E-3</v>
      </c>
      <c r="V35" s="55">
        <f t="shared" si="25"/>
        <v>-7.4999999999999789E-3</v>
      </c>
    </row>
    <row r="36" spans="1:22" ht="15" customHeight="1">
      <c r="A36" s="138">
        <v>28</v>
      </c>
      <c r="B36" s="139" t="s">
        <v>60</v>
      </c>
      <c r="C36" s="140" t="s">
        <v>61</v>
      </c>
      <c r="D36" s="41">
        <v>1555845403.6199999</v>
      </c>
      <c r="E36" s="27">
        <f t="shared" si="28"/>
        <v>4.3296467262618477E-4</v>
      </c>
      <c r="F36" s="28">
        <v>1</v>
      </c>
      <c r="G36" s="28">
        <v>1</v>
      </c>
      <c r="H36" s="29">
        <v>498</v>
      </c>
      <c r="I36" s="47">
        <v>0.2</v>
      </c>
      <c r="J36" s="47">
        <v>0.2</v>
      </c>
      <c r="K36" s="41">
        <v>1632321906.1300001</v>
      </c>
      <c r="L36" s="27">
        <f t="shared" si="29"/>
        <v>4.5424675103564416E-4</v>
      </c>
      <c r="M36" s="28">
        <v>1</v>
      </c>
      <c r="N36" s="28">
        <v>1</v>
      </c>
      <c r="O36" s="29">
        <v>503</v>
      </c>
      <c r="P36" s="47">
        <v>0.2</v>
      </c>
      <c r="Q36" s="47">
        <v>0.2</v>
      </c>
      <c r="R36" s="53">
        <f t="shared" si="21"/>
        <v>4.9154306933106365E-2</v>
      </c>
      <c r="S36" s="53">
        <f t="shared" si="22"/>
        <v>0</v>
      </c>
      <c r="T36" s="53">
        <f t="shared" si="23"/>
        <v>1.0040160642570281E-2</v>
      </c>
      <c r="U36" s="54">
        <f t="shared" si="24"/>
        <v>0</v>
      </c>
      <c r="V36" s="55">
        <f t="shared" si="25"/>
        <v>0</v>
      </c>
    </row>
    <row r="37" spans="1:22">
      <c r="A37" s="138">
        <v>29</v>
      </c>
      <c r="B37" s="139" t="s">
        <v>62</v>
      </c>
      <c r="C37" s="140" t="s">
        <v>63</v>
      </c>
      <c r="D37" s="41">
        <v>64369852360.220001</v>
      </c>
      <c r="E37" s="27">
        <f t="shared" si="28"/>
        <v>1.7913008573533982E-2</v>
      </c>
      <c r="F37" s="28">
        <v>100</v>
      </c>
      <c r="G37" s="28">
        <v>100</v>
      </c>
      <c r="H37" s="29">
        <v>4746</v>
      </c>
      <c r="I37" s="47">
        <v>0.20142547626558599</v>
      </c>
      <c r="J37" s="47">
        <v>0.20142547626558599</v>
      </c>
      <c r="K37" s="41">
        <v>65709588466.290001</v>
      </c>
      <c r="L37" s="27">
        <f t="shared" si="29"/>
        <v>1.828583379332796E-2</v>
      </c>
      <c r="M37" s="28">
        <v>100</v>
      </c>
      <c r="N37" s="28">
        <v>100</v>
      </c>
      <c r="O37" s="29">
        <v>4801</v>
      </c>
      <c r="P37" s="47">
        <v>0.20119999999999999</v>
      </c>
      <c r="Q37" s="47">
        <v>0.20119999999999999</v>
      </c>
      <c r="R37" s="53">
        <f t="shared" si="21"/>
        <v>2.0813098942230053E-2</v>
      </c>
      <c r="S37" s="53">
        <f t="shared" si="22"/>
        <v>0</v>
      </c>
      <c r="T37" s="53">
        <f t="shared" si="23"/>
        <v>1.1588706278971767E-2</v>
      </c>
      <c r="U37" s="54">
        <f t="shared" si="24"/>
        <v>-2.2547626558599987E-4</v>
      </c>
      <c r="V37" s="55">
        <f t="shared" si="25"/>
        <v>-2.2547626558599987E-4</v>
      </c>
    </row>
    <row r="38" spans="1:22">
      <c r="A38" s="138">
        <v>30</v>
      </c>
      <c r="B38" s="139" t="s">
        <v>64</v>
      </c>
      <c r="C38" s="140" t="s">
        <v>65</v>
      </c>
      <c r="D38" s="41">
        <v>27252192856.77</v>
      </c>
      <c r="E38" s="27">
        <f t="shared" si="28"/>
        <v>7.5838105322827577E-3</v>
      </c>
      <c r="F38" s="28">
        <v>100</v>
      </c>
      <c r="G38" s="28">
        <v>100</v>
      </c>
      <c r="H38" s="29">
        <v>5155</v>
      </c>
      <c r="I38" s="47">
        <v>0.20250000000000001</v>
      </c>
      <c r="J38" s="47">
        <v>0.20250000000000001</v>
      </c>
      <c r="K38" s="41">
        <v>26472080737.139999</v>
      </c>
      <c r="L38" s="27">
        <f t="shared" si="29"/>
        <v>7.3667189191305446E-3</v>
      </c>
      <c r="M38" s="28">
        <v>100</v>
      </c>
      <c r="N38" s="28">
        <v>100</v>
      </c>
      <c r="O38" s="29">
        <v>5171</v>
      </c>
      <c r="P38" s="47">
        <v>0.2026</v>
      </c>
      <c r="Q38" s="47">
        <v>0.2026</v>
      </c>
      <c r="R38" s="53">
        <f t="shared" si="21"/>
        <v>-2.8625664133893919E-2</v>
      </c>
      <c r="S38" s="53">
        <f t="shared" si="22"/>
        <v>0</v>
      </c>
      <c r="T38" s="53">
        <f t="shared" si="23"/>
        <v>3.1037827352085354E-3</v>
      </c>
      <c r="U38" s="54">
        <f t="shared" si="24"/>
        <v>9.9999999999988987E-5</v>
      </c>
      <c r="V38" s="55">
        <f t="shared" si="25"/>
        <v>9.9999999999988987E-5</v>
      </c>
    </row>
    <row r="39" spans="1:22">
      <c r="A39" s="138">
        <v>31</v>
      </c>
      <c r="B39" s="139" t="s">
        <v>66</v>
      </c>
      <c r="C39" s="140" t="s">
        <v>294</v>
      </c>
      <c r="D39" s="41">
        <v>37419020394.260002</v>
      </c>
      <c r="E39" s="27">
        <f t="shared" si="28"/>
        <v>1.0413061527384424E-2</v>
      </c>
      <c r="F39" s="28">
        <v>1</v>
      </c>
      <c r="G39" s="28">
        <v>1</v>
      </c>
      <c r="H39" s="29">
        <v>7806</v>
      </c>
      <c r="I39" s="47">
        <v>0.2054</v>
      </c>
      <c r="J39" s="47">
        <v>0.2054</v>
      </c>
      <c r="K39" s="41">
        <v>35103447090.660004</v>
      </c>
      <c r="L39" s="27">
        <f t="shared" si="29"/>
        <v>9.7686778148366113E-3</v>
      </c>
      <c r="M39" s="28">
        <v>1</v>
      </c>
      <c r="N39" s="28">
        <v>1</v>
      </c>
      <c r="O39" s="29">
        <v>8139</v>
      </c>
      <c r="P39" s="47">
        <v>0.20749999999999999</v>
      </c>
      <c r="Q39" s="47">
        <v>0.20749999999999999</v>
      </c>
      <c r="R39" s="53">
        <f t="shared" si="21"/>
        <v>-6.1882253442294886E-2</v>
      </c>
      <c r="S39" s="53">
        <f t="shared" si="22"/>
        <v>0</v>
      </c>
      <c r="T39" s="53">
        <f t="shared" si="23"/>
        <v>4.2659492697924677E-2</v>
      </c>
      <c r="U39" s="54">
        <f t="shared" si="24"/>
        <v>2.0999999999999908E-3</v>
      </c>
      <c r="V39" s="55">
        <f t="shared" si="25"/>
        <v>2.0999999999999908E-3</v>
      </c>
    </row>
    <row r="40" spans="1:22">
      <c r="A40" s="138">
        <v>32</v>
      </c>
      <c r="B40" s="139" t="s">
        <v>67</v>
      </c>
      <c r="C40" s="140" t="s">
        <v>68</v>
      </c>
      <c r="D40" s="41">
        <v>76586601742.350006</v>
      </c>
      <c r="E40" s="27">
        <f t="shared" si="28"/>
        <v>2.1312717107867227E-2</v>
      </c>
      <c r="F40" s="42">
        <v>100</v>
      </c>
      <c r="G40" s="42">
        <v>100</v>
      </c>
      <c r="H40" s="29">
        <v>4143</v>
      </c>
      <c r="I40" s="47">
        <v>0.1981</v>
      </c>
      <c r="J40" s="47">
        <v>0.1981</v>
      </c>
      <c r="K40" s="41">
        <v>76740071816.559998</v>
      </c>
      <c r="L40" s="27">
        <f t="shared" si="29"/>
        <v>2.1355425156034249E-2</v>
      </c>
      <c r="M40" s="42">
        <v>100</v>
      </c>
      <c r="N40" s="42">
        <v>100</v>
      </c>
      <c r="O40" s="29">
        <v>4168</v>
      </c>
      <c r="P40" s="47">
        <v>0.1968</v>
      </c>
      <c r="Q40" s="47">
        <v>0.1968</v>
      </c>
      <c r="R40" s="53">
        <f t="shared" si="21"/>
        <v>2.003876274942844E-3</v>
      </c>
      <c r="S40" s="53">
        <f t="shared" si="22"/>
        <v>0</v>
      </c>
      <c r="T40" s="53">
        <f t="shared" si="23"/>
        <v>6.0342746801834417E-3</v>
      </c>
      <c r="U40" s="54">
        <f t="shared" si="24"/>
        <v>-1.2999999999999956E-3</v>
      </c>
      <c r="V40" s="55">
        <f t="shared" si="25"/>
        <v>-1.2999999999999956E-3</v>
      </c>
    </row>
    <row r="41" spans="1:22">
      <c r="A41" s="138">
        <v>33</v>
      </c>
      <c r="B41" s="139" t="s">
        <v>69</v>
      </c>
      <c r="C41" s="140" t="s">
        <v>68</v>
      </c>
      <c r="D41" s="41">
        <v>9291676471.7999992</v>
      </c>
      <c r="E41" s="27">
        <f t="shared" si="28"/>
        <v>2.5857116988622611E-3</v>
      </c>
      <c r="F41" s="42">
        <v>1000000</v>
      </c>
      <c r="G41" s="42">
        <v>1000000</v>
      </c>
      <c r="H41" s="29">
        <v>38</v>
      </c>
      <c r="I41" s="47">
        <v>0.19739999999999999</v>
      </c>
      <c r="J41" s="47">
        <v>0.19739999999999999</v>
      </c>
      <c r="K41" s="41">
        <v>10115921645.450001</v>
      </c>
      <c r="L41" s="27">
        <f t="shared" si="29"/>
        <v>2.8150847721398215E-3</v>
      </c>
      <c r="M41" s="42">
        <v>1000000</v>
      </c>
      <c r="N41" s="42">
        <v>1000000</v>
      </c>
      <c r="O41" s="29">
        <v>40</v>
      </c>
      <c r="P41" s="47">
        <v>0.2009</v>
      </c>
      <c r="Q41" s="47">
        <v>0.2009</v>
      </c>
      <c r="R41" s="53">
        <f t="shared" si="21"/>
        <v>8.8707907141576073E-2</v>
      </c>
      <c r="S41" s="53">
        <f t="shared" si="22"/>
        <v>0</v>
      </c>
      <c r="T41" s="53">
        <f t="shared" si="23"/>
        <v>5.2631578947368418E-2</v>
      </c>
      <c r="U41" s="54">
        <f t="shared" si="24"/>
        <v>3.5000000000000031E-3</v>
      </c>
      <c r="V41" s="55">
        <f t="shared" si="25"/>
        <v>3.5000000000000031E-3</v>
      </c>
    </row>
    <row r="42" spans="1:22">
      <c r="A42" s="138">
        <v>34</v>
      </c>
      <c r="B42" s="139" t="s">
        <v>70</v>
      </c>
      <c r="C42" s="140" t="s">
        <v>71</v>
      </c>
      <c r="D42" s="41">
        <v>5377451451.4300003</v>
      </c>
      <c r="E42" s="27">
        <f t="shared" si="28"/>
        <v>1.4964510624348919E-3</v>
      </c>
      <c r="F42" s="28">
        <v>1</v>
      </c>
      <c r="G42" s="28">
        <v>1</v>
      </c>
      <c r="H42" s="29">
        <v>980</v>
      </c>
      <c r="I42" s="47">
        <v>0.20979999999999999</v>
      </c>
      <c r="J42" s="47">
        <v>0.20979999999999999</v>
      </c>
      <c r="K42" s="41">
        <v>5776115668.79</v>
      </c>
      <c r="L42" s="27">
        <f t="shared" si="29"/>
        <v>1.6073923692995964E-3</v>
      </c>
      <c r="M42" s="28">
        <v>1</v>
      </c>
      <c r="N42" s="28">
        <v>1</v>
      </c>
      <c r="O42" s="29">
        <v>996</v>
      </c>
      <c r="P42" s="47">
        <v>0.2009</v>
      </c>
      <c r="Q42" s="47">
        <v>0.2009</v>
      </c>
      <c r="R42" s="53">
        <f t="shared" si="21"/>
        <v>7.4136274583006187E-2</v>
      </c>
      <c r="S42" s="53">
        <f t="shared" si="22"/>
        <v>0</v>
      </c>
      <c r="T42" s="53">
        <f t="shared" si="23"/>
        <v>1.6326530612244899E-2</v>
      </c>
      <c r="U42" s="54">
        <f t="shared" si="24"/>
        <v>-8.8999999999999913E-3</v>
      </c>
      <c r="V42" s="55">
        <f t="shared" si="25"/>
        <v>-8.8999999999999913E-3</v>
      </c>
    </row>
    <row r="43" spans="1:22">
      <c r="A43" s="138">
        <v>35</v>
      </c>
      <c r="B43" s="139" t="s">
        <v>72</v>
      </c>
      <c r="C43" s="140" t="s">
        <v>315</v>
      </c>
      <c r="D43" s="41">
        <v>577681801797.95996</v>
      </c>
      <c r="E43" s="27">
        <f t="shared" si="28"/>
        <v>0.16075878208439701</v>
      </c>
      <c r="F43" s="28">
        <v>100</v>
      </c>
      <c r="G43" s="28">
        <v>100</v>
      </c>
      <c r="H43" s="29">
        <v>15436</v>
      </c>
      <c r="I43" s="47">
        <v>0.20150000000000001</v>
      </c>
      <c r="J43" s="47">
        <v>0.20150000000000001</v>
      </c>
      <c r="K43" s="41">
        <v>583888286958.38</v>
      </c>
      <c r="L43" s="27">
        <f t="shared" si="29"/>
        <v>0.16248593878607717</v>
      </c>
      <c r="M43" s="28">
        <v>100</v>
      </c>
      <c r="N43" s="28">
        <v>100</v>
      </c>
      <c r="O43" s="29">
        <v>15452</v>
      </c>
      <c r="P43" s="47">
        <v>0.20080000000000001</v>
      </c>
      <c r="Q43" s="47">
        <v>0.20080000000000001</v>
      </c>
      <c r="R43" s="53">
        <f t="shared" si="21"/>
        <v>1.0743778220299066E-2</v>
      </c>
      <c r="S43" s="53">
        <f t="shared" si="22"/>
        <v>0</v>
      </c>
      <c r="T43" s="53">
        <f t="shared" si="23"/>
        <v>1.0365379632029023E-3</v>
      </c>
      <c r="U43" s="54">
        <f t="shared" si="24"/>
        <v>-7.0000000000000617E-4</v>
      </c>
      <c r="V43" s="55">
        <f t="shared" si="25"/>
        <v>-7.0000000000000617E-4</v>
      </c>
    </row>
    <row r="44" spans="1:22">
      <c r="A44" s="138">
        <v>36</v>
      </c>
      <c r="B44" s="139" t="s">
        <v>73</v>
      </c>
      <c r="C44" s="140" t="s">
        <v>74</v>
      </c>
      <c r="D44" s="41">
        <v>2605483494.4200001</v>
      </c>
      <c r="E44" s="27">
        <f t="shared" si="28"/>
        <v>7.2506066834774436E-4</v>
      </c>
      <c r="F44" s="28">
        <v>1</v>
      </c>
      <c r="G44" s="28">
        <v>1</v>
      </c>
      <c r="H44" s="43">
        <v>1402</v>
      </c>
      <c r="I44" s="50">
        <v>0.20330000000000001</v>
      </c>
      <c r="J44" s="50">
        <v>0.20330000000000001</v>
      </c>
      <c r="K44" s="41">
        <v>2481960544.8899999</v>
      </c>
      <c r="L44" s="27">
        <f t="shared" si="29"/>
        <v>6.9068638329304523E-4</v>
      </c>
      <c r="M44" s="28">
        <v>1</v>
      </c>
      <c r="N44" s="28">
        <v>1</v>
      </c>
      <c r="O44" s="43">
        <v>1424</v>
      </c>
      <c r="P44" s="50">
        <v>0.20480000000000001</v>
      </c>
      <c r="Q44" s="50">
        <v>0.20480000000000001</v>
      </c>
      <c r="R44" s="53">
        <f t="shared" si="21"/>
        <v>-4.7408839777546674E-2</v>
      </c>
      <c r="S44" s="53">
        <f t="shared" si="22"/>
        <v>0</v>
      </c>
      <c r="T44" s="53">
        <f t="shared" si="23"/>
        <v>1.5691868758915834E-2</v>
      </c>
      <c r="U44" s="54">
        <f t="shared" si="24"/>
        <v>1.5000000000000013E-3</v>
      </c>
      <c r="V44" s="55">
        <f t="shared" si="25"/>
        <v>1.5000000000000013E-3</v>
      </c>
    </row>
    <row r="45" spans="1:22">
      <c r="A45" s="138">
        <v>37</v>
      </c>
      <c r="B45" s="139" t="s">
        <v>296</v>
      </c>
      <c r="C45" s="140" t="s">
        <v>297</v>
      </c>
      <c r="D45" s="41">
        <v>1843658850.48</v>
      </c>
      <c r="E45" s="27">
        <f t="shared" si="28"/>
        <v>5.1305814110783174E-4</v>
      </c>
      <c r="F45" s="28">
        <v>1</v>
      </c>
      <c r="G45" s="28">
        <v>1</v>
      </c>
      <c r="H45" s="43">
        <v>310</v>
      </c>
      <c r="I45" s="50">
        <v>0.183</v>
      </c>
      <c r="J45" s="50">
        <v>0.183</v>
      </c>
      <c r="K45" s="41">
        <v>1842703268.55</v>
      </c>
      <c r="L45" s="27">
        <f t="shared" si="29"/>
        <v>5.1279221930317987E-4</v>
      </c>
      <c r="M45" s="28">
        <v>1</v>
      </c>
      <c r="N45" s="28">
        <v>1</v>
      </c>
      <c r="O45" s="43">
        <v>317</v>
      </c>
      <c r="P45" s="50">
        <v>0.18590000000000001</v>
      </c>
      <c r="Q45" s="50">
        <v>0.18590000000000001</v>
      </c>
      <c r="R45" s="53">
        <f t="shared" si="21"/>
        <v>-5.1830734832058502E-4</v>
      </c>
      <c r="S45" s="53">
        <f t="shared" si="22"/>
        <v>0</v>
      </c>
      <c r="T45" s="53">
        <f t="shared" si="23"/>
        <v>2.2580645161290321E-2</v>
      </c>
      <c r="U45" s="54">
        <f t="shared" si="24"/>
        <v>2.9000000000000137E-3</v>
      </c>
      <c r="V45" s="55">
        <f t="shared" si="25"/>
        <v>2.9000000000000137E-3</v>
      </c>
    </row>
    <row r="46" spans="1:22">
      <c r="A46" s="138">
        <v>38</v>
      </c>
      <c r="B46" s="139" t="s">
        <v>75</v>
      </c>
      <c r="C46" s="140" t="s">
        <v>76</v>
      </c>
      <c r="D46" s="41">
        <v>1248769785.9400001</v>
      </c>
      <c r="E46" s="27">
        <f t="shared" si="28"/>
        <v>3.4751087755698193E-4</v>
      </c>
      <c r="F46" s="28">
        <v>10</v>
      </c>
      <c r="G46" s="28">
        <v>10</v>
      </c>
      <c r="H46" s="29">
        <v>476</v>
      </c>
      <c r="I46" s="47">
        <v>0.1817</v>
      </c>
      <c r="J46" s="47">
        <v>0.1817</v>
      </c>
      <c r="K46" s="41">
        <v>1247585727.26</v>
      </c>
      <c r="L46" s="27">
        <f t="shared" si="29"/>
        <v>3.4718137465292501E-4</v>
      </c>
      <c r="M46" s="28">
        <v>10</v>
      </c>
      <c r="N46" s="28">
        <v>10</v>
      </c>
      <c r="O46" s="29">
        <v>475</v>
      </c>
      <c r="P46" s="47">
        <v>0.18240000000000001</v>
      </c>
      <c r="Q46" s="47">
        <v>0.18240000000000001</v>
      </c>
      <c r="R46" s="53">
        <f t="shared" si="21"/>
        <v>-9.4818011560775987E-4</v>
      </c>
      <c r="S46" s="53">
        <f t="shared" si="22"/>
        <v>0</v>
      </c>
      <c r="T46" s="53">
        <f t="shared" si="23"/>
        <v>-2.1008403361344537E-3</v>
      </c>
      <c r="U46" s="54">
        <f t="shared" si="24"/>
        <v>7.0000000000000617E-4</v>
      </c>
      <c r="V46" s="55">
        <f t="shared" si="25"/>
        <v>7.0000000000000617E-4</v>
      </c>
    </row>
    <row r="47" spans="1:22">
      <c r="A47" s="138">
        <v>39</v>
      </c>
      <c r="B47" s="139" t="s">
        <v>77</v>
      </c>
      <c r="C47" s="140" t="s">
        <v>78</v>
      </c>
      <c r="D47" s="41">
        <v>7941245811.8299999</v>
      </c>
      <c r="E47" s="27">
        <f t="shared" si="28"/>
        <v>2.209910371019615E-3</v>
      </c>
      <c r="F47" s="28">
        <v>100</v>
      </c>
      <c r="G47" s="28">
        <v>100</v>
      </c>
      <c r="H47" s="29">
        <v>940</v>
      </c>
      <c r="I47" s="47">
        <v>0.20030000000000001</v>
      </c>
      <c r="J47" s="47">
        <v>0.20030000000000001</v>
      </c>
      <c r="K47" s="41">
        <v>7940978700.6199999</v>
      </c>
      <c r="L47" s="27">
        <f t="shared" si="29"/>
        <v>2.2098360386230134E-3</v>
      </c>
      <c r="M47" s="28">
        <v>100</v>
      </c>
      <c r="N47" s="28">
        <v>100</v>
      </c>
      <c r="O47" s="29">
        <v>940</v>
      </c>
      <c r="P47" s="47">
        <v>0.19800000000000001</v>
      </c>
      <c r="Q47" s="47">
        <v>0.19800000000000001</v>
      </c>
      <c r="R47" s="53">
        <f t="shared" si="21"/>
        <v>-3.36359327401911E-5</v>
      </c>
      <c r="S47" s="53">
        <f t="shared" si="22"/>
        <v>0</v>
      </c>
      <c r="T47" s="53">
        <f t="shared" si="23"/>
        <v>0</v>
      </c>
      <c r="U47" s="54">
        <f t="shared" si="24"/>
        <v>-2.2999999999999965E-3</v>
      </c>
      <c r="V47" s="55">
        <f t="shared" si="25"/>
        <v>-2.2999999999999965E-3</v>
      </c>
    </row>
    <row r="48" spans="1:22">
      <c r="A48" s="138">
        <v>40</v>
      </c>
      <c r="B48" s="139" t="s">
        <v>79</v>
      </c>
      <c r="C48" s="139" t="s">
        <v>80</v>
      </c>
      <c r="D48" s="128">
        <v>103494071.91897522</v>
      </c>
      <c r="E48" s="27">
        <f>(D48/$D$190)</f>
        <v>1.3666423761516614E-3</v>
      </c>
      <c r="F48" s="30">
        <v>1</v>
      </c>
      <c r="G48" s="30">
        <v>1</v>
      </c>
      <c r="H48" s="29">
        <v>95</v>
      </c>
      <c r="I48" s="47">
        <v>0.17432494543102919</v>
      </c>
      <c r="J48" s="47">
        <v>0.17432494543102919</v>
      </c>
      <c r="K48" s="128">
        <v>106534917.27</v>
      </c>
      <c r="L48" s="51">
        <f>(K48/$K$190)</f>
        <v>1.3862244222824845E-3</v>
      </c>
      <c r="M48" s="30">
        <v>1</v>
      </c>
      <c r="N48" s="30">
        <v>1</v>
      </c>
      <c r="O48" s="29">
        <v>106</v>
      </c>
      <c r="P48" s="47">
        <v>0.1741</v>
      </c>
      <c r="Q48" s="47">
        <v>0.1741</v>
      </c>
      <c r="R48" s="54">
        <f t="shared" si="21"/>
        <v>2.9381831197108885E-2</v>
      </c>
      <c r="S48" s="54">
        <f t="shared" si="22"/>
        <v>0</v>
      </c>
      <c r="T48" s="54">
        <f t="shared" si="23"/>
        <v>0.11578947368421053</v>
      </c>
      <c r="U48" s="54">
        <f t="shared" si="24"/>
        <v>-2.2494543102918874E-4</v>
      </c>
      <c r="V48" s="55">
        <f t="shared" si="25"/>
        <v>-2.2494543102918874E-4</v>
      </c>
    </row>
    <row r="49" spans="1:22">
      <c r="A49" s="138">
        <v>41</v>
      </c>
      <c r="B49" s="139" t="s">
        <v>283</v>
      </c>
      <c r="C49" s="140" t="s">
        <v>35</v>
      </c>
      <c r="D49" s="41">
        <v>559936736.67999995</v>
      </c>
      <c r="E49" s="27">
        <f t="shared" ref="E49" si="30">(D49/$K$69)</f>
        <v>1.5582063958537249E-4</v>
      </c>
      <c r="F49" s="28">
        <v>100</v>
      </c>
      <c r="G49" s="28">
        <v>100</v>
      </c>
      <c r="H49" s="29">
        <v>3720</v>
      </c>
      <c r="I49" s="47">
        <v>0.18724627999999999</v>
      </c>
      <c r="J49" s="47">
        <v>0.18724627999999999</v>
      </c>
      <c r="K49" s="41">
        <v>545568621.03999996</v>
      </c>
      <c r="L49" s="27">
        <f t="shared" ref="L49" si="31">(K49/$K$69)</f>
        <v>1.5182224329879186E-4</v>
      </c>
      <c r="M49" s="28">
        <v>100</v>
      </c>
      <c r="N49" s="28">
        <v>100</v>
      </c>
      <c r="O49" s="29">
        <v>3820</v>
      </c>
      <c r="P49" s="47">
        <v>0.18190000000000001</v>
      </c>
      <c r="Q49" s="47">
        <v>0.1875</v>
      </c>
      <c r="R49" s="53">
        <f t="shared" ref="R49" si="32">((K49-D49)/D49)</f>
        <v>-2.5660248200880711E-2</v>
      </c>
      <c r="S49" s="53">
        <f t="shared" ref="S49" si="33">((N49-G49)/G49)</f>
        <v>0</v>
      </c>
      <c r="T49" s="53">
        <f t="shared" ref="T49" si="34">((O49-H49)/H49)</f>
        <v>2.6881720430107527E-2</v>
      </c>
      <c r="U49" s="54">
        <f t="shared" ref="U49" si="35">P49-I49</f>
        <v>-5.346279999999981E-3</v>
      </c>
      <c r="V49" s="55">
        <f t="shared" ref="V49" si="36">Q49-J49</f>
        <v>2.5372000000001282E-4</v>
      </c>
    </row>
    <row r="50" spans="1:22">
      <c r="A50" s="138">
        <v>42</v>
      </c>
      <c r="B50" s="139" t="s">
        <v>81</v>
      </c>
      <c r="C50" s="140" t="s">
        <v>35</v>
      </c>
      <c r="D50" s="41">
        <v>118534017293.23</v>
      </c>
      <c r="E50" s="27">
        <f t="shared" ref="E50:E68" si="37">(D50/$K$69)</f>
        <v>3.2985952121605849E-2</v>
      </c>
      <c r="F50" s="28">
        <v>100</v>
      </c>
      <c r="G50" s="28">
        <v>100</v>
      </c>
      <c r="H50" s="29">
        <v>14107</v>
      </c>
      <c r="I50" s="47">
        <v>0.20308619</v>
      </c>
      <c r="J50" s="47">
        <v>0.20308619</v>
      </c>
      <c r="K50" s="41">
        <v>123021172639.52</v>
      </c>
      <c r="L50" s="27">
        <f t="shared" ref="L50:L68" si="38">(K50/$K$69)</f>
        <v>3.4234649287152634E-2</v>
      </c>
      <c r="M50" s="28">
        <v>100</v>
      </c>
      <c r="N50" s="28">
        <v>100</v>
      </c>
      <c r="O50" s="29">
        <v>14462</v>
      </c>
      <c r="P50" s="47">
        <v>0.20461086000000001</v>
      </c>
      <c r="Q50" s="47">
        <v>0.20461086000000001</v>
      </c>
      <c r="R50" s="53">
        <f t="shared" si="21"/>
        <v>3.7855422846166289E-2</v>
      </c>
      <c r="S50" s="53">
        <f t="shared" si="22"/>
        <v>0</v>
      </c>
      <c r="T50" s="53">
        <f t="shared" si="23"/>
        <v>2.5164811795562486E-2</v>
      </c>
      <c r="U50" s="54">
        <f t="shared" si="24"/>
        <v>1.5246700000000057E-3</v>
      </c>
      <c r="V50" s="55">
        <f t="shared" si="25"/>
        <v>1.5246700000000057E-3</v>
      </c>
    </row>
    <row r="51" spans="1:22">
      <c r="A51" s="138">
        <v>43</v>
      </c>
      <c r="B51" s="139" t="s">
        <v>82</v>
      </c>
      <c r="C51" s="140" t="s">
        <v>39</v>
      </c>
      <c r="D51" s="41">
        <v>26402077418.700001</v>
      </c>
      <c r="E51" s="27">
        <f t="shared" si="37"/>
        <v>7.3472382150833425E-3</v>
      </c>
      <c r="F51" s="28">
        <v>1</v>
      </c>
      <c r="G51" s="28">
        <v>1</v>
      </c>
      <c r="H51" s="29">
        <v>2062</v>
      </c>
      <c r="I51" s="47">
        <v>0.1993</v>
      </c>
      <c r="J51" s="47">
        <v>0.1993</v>
      </c>
      <c r="K51" s="41">
        <v>28149751595.900002</v>
      </c>
      <c r="L51" s="27">
        <f t="shared" si="38"/>
        <v>7.833585493693453E-3</v>
      </c>
      <c r="M51" s="28">
        <v>1</v>
      </c>
      <c r="N51" s="28">
        <v>1</v>
      </c>
      <c r="O51" s="29">
        <v>2093</v>
      </c>
      <c r="P51" s="47">
        <v>0.20449999999999999</v>
      </c>
      <c r="Q51" s="47">
        <v>0.20449999999999999</v>
      </c>
      <c r="R51" s="53">
        <f t="shared" si="21"/>
        <v>6.6194570581864981E-2</v>
      </c>
      <c r="S51" s="53">
        <f t="shared" si="22"/>
        <v>0</v>
      </c>
      <c r="T51" s="53">
        <f t="shared" si="23"/>
        <v>1.5033947623666343E-2</v>
      </c>
      <c r="U51" s="54">
        <f t="shared" si="24"/>
        <v>5.1999999999999824E-3</v>
      </c>
      <c r="V51" s="55">
        <f t="shared" si="25"/>
        <v>5.1999999999999824E-3</v>
      </c>
    </row>
    <row r="52" spans="1:22">
      <c r="A52" s="138">
        <v>44</v>
      </c>
      <c r="B52" s="139" t="s">
        <v>307</v>
      </c>
      <c r="C52" s="140" t="s">
        <v>306</v>
      </c>
      <c r="D52" s="41">
        <v>2699023748.707756</v>
      </c>
      <c r="E52" s="27">
        <f t="shared" si="37"/>
        <v>7.510912916222917E-4</v>
      </c>
      <c r="F52" s="28">
        <v>100</v>
      </c>
      <c r="G52" s="28">
        <v>100</v>
      </c>
      <c r="H52" s="29">
        <v>181</v>
      </c>
      <c r="I52" s="47">
        <v>0.20979999999999999</v>
      </c>
      <c r="J52" s="47">
        <v>0.20979999999999999</v>
      </c>
      <c r="K52" s="41">
        <v>2902828242.6873198</v>
      </c>
      <c r="L52" s="27">
        <f t="shared" si="38"/>
        <v>8.0780653197348468E-4</v>
      </c>
      <c r="M52" s="28">
        <v>100</v>
      </c>
      <c r="N52" s="28">
        <v>100</v>
      </c>
      <c r="O52" s="29">
        <v>190</v>
      </c>
      <c r="P52" s="47">
        <v>0.20610000000000001</v>
      </c>
      <c r="Q52" s="47">
        <v>0.20610000000000001</v>
      </c>
      <c r="R52" s="53">
        <f t="shared" si="21"/>
        <v>7.5510448575023328E-2</v>
      </c>
      <c r="S52" s="53">
        <f t="shared" si="22"/>
        <v>0</v>
      </c>
      <c r="T52" s="53">
        <f t="shared" si="23"/>
        <v>4.9723756906077346E-2</v>
      </c>
      <c r="U52" s="54">
        <f t="shared" si="24"/>
        <v>-3.6999999999999811E-3</v>
      </c>
      <c r="V52" s="55">
        <f t="shared" si="25"/>
        <v>-3.6999999999999811E-3</v>
      </c>
    </row>
    <row r="53" spans="1:22">
      <c r="A53" s="138">
        <v>45</v>
      </c>
      <c r="B53" s="139" t="s">
        <v>83</v>
      </c>
      <c r="C53" s="140" t="s">
        <v>41</v>
      </c>
      <c r="D53" s="44">
        <v>50208584167.920006</v>
      </c>
      <c r="E53" s="27">
        <f t="shared" si="37"/>
        <v>1.3972174328315949E-2</v>
      </c>
      <c r="F53" s="28">
        <v>10</v>
      </c>
      <c r="G53" s="28">
        <v>10</v>
      </c>
      <c r="H53" s="29">
        <v>5914</v>
      </c>
      <c r="I53" s="47">
        <v>0.22359999999999999</v>
      </c>
      <c r="J53" s="47">
        <v>0.22359999999999999</v>
      </c>
      <c r="K53" s="44">
        <v>50669275567.169998</v>
      </c>
      <c r="L53" s="27">
        <f t="shared" si="38"/>
        <v>1.4100376719372205E-2</v>
      </c>
      <c r="M53" s="28">
        <v>10</v>
      </c>
      <c r="N53" s="28">
        <v>10</v>
      </c>
      <c r="O53" s="29">
        <v>6023</v>
      </c>
      <c r="P53" s="47">
        <v>0.22090000000000001</v>
      </c>
      <c r="Q53" s="47">
        <v>0.22090000000000001</v>
      </c>
      <c r="R53" s="53">
        <f t="shared" si="21"/>
        <v>9.175550493701114E-3</v>
      </c>
      <c r="S53" s="53">
        <f t="shared" si="22"/>
        <v>0</v>
      </c>
      <c r="T53" s="53">
        <f t="shared" si="23"/>
        <v>1.84308420696652E-2</v>
      </c>
      <c r="U53" s="54">
        <f t="shared" si="24"/>
        <v>-2.6999999999999802E-3</v>
      </c>
      <c r="V53" s="55">
        <f t="shared" si="25"/>
        <v>-2.6999999999999802E-3</v>
      </c>
    </row>
    <row r="54" spans="1:22">
      <c r="A54" s="138">
        <v>46</v>
      </c>
      <c r="B54" s="139" t="s">
        <v>84</v>
      </c>
      <c r="C54" s="140" t="s">
        <v>85</v>
      </c>
      <c r="D54" s="41">
        <v>23516946256</v>
      </c>
      <c r="E54" s="27">
        <f t="shared" si="37"/>
        <v>6.544356472182938E-3</v>
      </c>
      <c r="F54" s="28">
        <v>100</v>
      </c>
      <c r="G54" s="28">
        <v>100</v>
      </c>
      <c r="H54" s="29">
        <v>4524</v>
      </c>
      <c r="I54" s="47">
        <v>0.20369999999999999</v>
      </c>
      <c r="J54" s="47">
        <v>0.20369999999999999</v>
      </c>
      <c r="K54" s="41">
        <v>23977222456</v>
      </c>
      <c r="L54" s="27">
        <f t="shared" si="38"/>
        <v>6.6724433205207932E-3</v>
      </c>
      <c r="M54" s="28">
        <v>100</v>
      </c>
      <c r="N54" s="28">
        <v>100</v>
      </c>
      <c r="O54" s="29">
        <v>4524</v>
      </c>
      <c r="P54" s="47">
        <v>0.2029</v>
      </c>
      <c r="Q54" s="47">
        <v>0.2029</v>
      </c>
      <c r="R54" s="53">
        <f t="shared" si="21"/>
        <v>1.957210749174406E-2</v>
      </c>
      <c r="S54" s="53">
        <f t="shared" si="22"/>
        <v>0</v>
      </c>
      <c r="T54" s="53">
        <f t="shared" si="23"/>
        <v>0</v>
      </c>
      <c r="U54" s="54">
        <f t="shared" si="24"/>
        <v>-7.9999999999999516E-4</v>
      </c>
      <c r="V54" s="55">
        <f t="shared" si="25"/>
        <v>-7.9999999999999516E-4</v>
      </c>
    </row>
    <row r="55" spans="1:22">
      <c r="A55" s="138">
        <v>47</v>
      </c>
      <c r="B55" s="139" t="s">
        <v>86</v>
      </c>
      <c r="C55" s="140" t="s">
        <v>87</v>
      </c>
      <c r="D55" s="41">
        <v>289548776.32999998</v>
      </c>
      <c r="E55" s="27">
        <f t="shared" si="37"/>
        <v>8.0576380443291056E-5</v>
      </c>
      <c r="F55" s="28">
        <v>1</v>
      </c>
      <c r="G55" s="28">
        <v>1</v>
      </c>
      <c r="H55" s="29">
        <v>102</v>
      </c>
      <c r="I55" s="47">
        <v>0.1739</v>
      </c>
      <c r="J55" s="47">
        <v>0.1739</v>
      </c>
      <c r="K55" s="41">
        <v>289360826.12</v>
      </c>
      <c r="L55" s="27">
        <f t="shared" si="38"/>
        <v>8.0524077173985942E-5</v>
      </c>
      <c r="M55" s="28">
        <v>1</v>
      </c>
      <c r="N55" s="28">
        <v>1</v>
      </c>
      <c r="O55" s="29">
        <v>103</v>
      </c>
      <c r="P55" s="47">
        <v>0.1762</v>
      </c>
      <c r="Q55" s="47">
        <v>0.1762</v>
      </c>
      <c r="R55" s="53">
        <f t="shared" si="21"/>
        <v>-6.4911415749093295E-4</v>
      </c>
      <c r="S55" s="53">
        <f t="shared" si="22"/>
        <v>0</v>
      </c>
      <c r="T55" s="53">
        <f t="shared" si="23"/>
        <v>9.8039215686274508E-3</v>
      </c>
      <c r="U55" s="54">
        <f t="shared" si="24"/>
        <v>2.2999999999999965E-3</v>
      </c>
      <c r="V55" s="55">
        <f t="shared" si="25"/>
        <v>2.2999999999999965E-3</v>
      </c>
    </row>
    <row r="56" spans="1:22">
      <c r="A56" s="138">
        <v>48</v>
      </c>
      <c r="B56" s="139" t="s">
        <v>88</v>
      </c>
      <c r="C56" s="140" t="s">
        <v>43</v>
      </c>
      <c r="D56" s="44">
        <v>1585776561.98</v>
      </c>
      <c r="E56" s="27">
        <f t="shared" si="37"/>
        <v>4.4129399258979285E-4</v>
      </c>
      <c r="F56" s="28">
        <v>10</v>
      </c>
      <c r="G56" s="28">
        <v>10</v>
      </c>
      <c r="H56" s="29">
        <v>845</v>
      </c>
      <c r="I56" s="47">
        <v>1.95E-2</v>
      </c>
      <c r="J56" s="47">
        <v>0.18870000000000001</v>
      </c>
      <c r="K56" s="44">
        <v>1585776561.98</v>
      </c>
      <c r="L56" s="27">
        <f t="shared" si="38"/>
        <v>4.4129399258979285E-4</v>
      </c>
      <c r="M56" s="28">
        <v>10</v>
      </c>
      <c r="N56" s="28">
        <v>10</v>
      </c>
      <c r="O56" s="29">
        <v>964</v>
      </c>
      <c r="P56" s="47">
        <v>0.189</v>
      </c>
      <c r="Q56" s="47">
        <v>0.189</v>
      </c>
      <c r="R56" s="53">
        <f t="shared" si="21"/>
        <v>0</v>
      </c>
      <c r="S56" s="53">
        <f t="shared" si="22"/>
        <v>0</v>
      </c>
      <c r="T56" s="53">
        <f t="shared" si="23"/>
        <v>0.14082840236686389</v>
      </c>
      <c r="U56" s="54">
        <f t="shared" si="24"/>
        <v>0.16950000000000001</v>
      </c>
      <c r="V56" s="55">
        <f t="shared" si="25"/>
        <v>2.9999999999999472E-4</v>
      </c>
    </row>
    <row r="57" spans="1:22">
      <c r="A57" s="138">
        <v>49</v>
      </c>
      <c r="B57" s="139" t="s">
        <v>89</v>
      </c>
      <c r="C57" s="140" t="s">
        <v>90</v>
      </c>
      <c r="D57" s="44">
        <v>945065758</v>
      </c>
      <c r="E57" s="27">
        <f t="shared" si="37"/>
        <v>2.6299533717851663E-4</v>
      </c>
      <c r="F57" s="28">
        <v>1</v>
      </c>
      <c r="G57" s="28">
        <v>1</v>
      </c>
      <c r="H57" s="29">
        <v>126</v>
      </c>
      <c r="I57" s="47">
        <v>0.2082</v>
      </c>
      <c r="J57" s="47">
        <v>0.2082</v>
      </c>
      <c r="K57" s="44">
        <v>938921758</v>
      </c>
      <c r="L57" s="27">
        <f t="shared" si="38"/>
        <v>2.6128556900847482E-4</v>
      </c>
      <c r="M57" s="28">
        <v>1</v>
      </c>
      <c r="N57" s="28">
        <v>1</v>
      </c>
      <c r="O57" s="29">
        <v>126</v>
      </c>
      <c r="P57" s="47">
        <v>0.22140000000000001</v>
      </c>
      <c r="Q57" s="47">
        <v>0.22140000000000001</v>
      </c>
      <c r="R57" s="53">
        <f t="shared" si="21"/>
        <v>-6.5011349189100552E-3</v>
      </c>
      <c r="S57" s="53">
        <f t="shared" si="22"/>
        <v>0</v>
      </c>
      <c r="T57" s="53">
        <f t="shared" si="23"/>
        <v>0</v>
      </c>
      <c r="U57" s="54">
        <f t="shared" si="24"/>
        <v>1.3200000000000017E-2</v>
      </c>
      <c r="V57" s="55">
        <f t="shared" si="25"/>
        <v>1.3200000000000017E-2</v>
      </c>
    </row>
    <row r="58" spans="1:22">
      <c r="A58" s="138">
        <v>50</v>
      </c>
      <c r="B58" s="139" t="s">
        <v>302</v>
      </c>
      <c r="C58" s="140" t="s">
        <v>301</v>
      </c>
      <c r="D58" s="44">
        <v>734470604.02999997</v>
      </c>
      <c r="E58" s="27">
        <f t="shared" si="37"/>
        <v>2.0439037444691611E-4</v>
      </c>
      <c r="F58" s="28">
        <v>1</v>
      </c>
      <c r="G58" s="28">
        <v>1</v>
      </c>
      <c r="H58" s="29">
        <v>714</v>
      </c>
      <c r="I58" s="47">
        <v>0.17199999999999999</v>
      </c>
      <c r="J58" s="47">
        <v>0.17199999999999999</v>
      </c>
      <c r="K58" s="44">
        <v>770273964.25</v>
      </c>
      <c r="L58" s="27">
        <f t="shared" si="38"/>
        <v>2.1435382589299294E-4</v>
      </c>
      <c r="M58" s="28">
        <v>1</v>
      </c>
      <c r="N58" s="28">
        <v>1</v>
      </c>
      <c r="O58" s="29">
        <v>758</v>
      </c>
      <c r="P58" s="47">
        <v>0.17030000000000001</v>
      </c>
      <c r="Q58" s="47">
        <v>0.17030000000000001</v>
      </c>
      <c r="R58" s="53">
        <f t="shared" si="21"/>
        <v>4.874716567763087E-2</v>
      </c>
      <c r="S58" s="53">
        <f t="shared" si="22"/>
        <v>0</v>
      </c>
      <c r="T58" s="53">
        <f t="shared" si="23"/>
        <v>6.1624649859943981E-2</v>
      </c>
      <c r="U58" s="54">
        <f t="shared" si="24"/>
        <v>-1.6999999999999793E-3</v>
      </c>
      <c r="V58" s="55">
        <f t="shared" si="25"/>
        <v>-1.6999999999999793E-3</v>
      </c>
    </row>
    <row r="59" spans="1:22">
      <c r="A59" s="138">
        <v>51</v>
      </c>
      <c r="B59" s="139" t="s">
        <v>91</v>
      </c>
      <c r="C59" s="140" t="s">
        <v>92</v>
      </c>
      <c r="D59" s="44">
        <v>13286410500.73</v>
      </c>
      <c r="E59" s="27">
        <f t="shared" si="37"/>
        <v>3.6973765898855792E-3</v>
      </c>
      <c r="F59" s="28">
        <v>100</v>
      </c>
      <c r="G59" s="28">
        <v>100</v>
      </c>
      <c r="H59" s="29">
        <v>132</v>
      </c>
      <c r="I59" s="47">
        <v>0.1996</v>
      </c>
      <c r="J59" s="47">
        <v>0.1996</v>
      </c>
      <c r="K59" s="44">
        <v>13307991276.2875</v>
      </c>
      <c r="L59" s="27">
        <f t="shared" si="38"/>
        <v>3.7033821437809293E-3</v>
      </c>
      <c r="M59" s="28">
        <v>100</v>
      </c>
      <c r="N59" s="28">
        <v>100</v>
      </c>
      <c r="O59" s="29">
        <v>131</v>
      </c>
      <c r="P59" s="47">
        <v>0.19919999999999999</v>
      </c>
      <c r="Q59" s="47">
        <v>0.19919999999999999</v>
      </c>
      <c r="R59" s="53">
        <f t="shared" si="21"/>
        <v>1.624274333260674E-3</v>
      </c>
      <c r="S59" s="53">
        <f t="shared" si="22"/>
        <v>0</v>
      </c>
      <c r="T59" s="53">
        <f t="shared" si="23"/>
        <v>-7.575757575757576E-3</v>
      </c>
      <c r="U59" s="54">
        <f t="shared" si="24"/>
        <v>-4.0000000000001146E-4</v>
      </c>
      <c r="V59" s="55">
        <f t="shared" si="25"/>
        <v>-4.0000000000001146E-4</v>
      </c>
    </row>
    <row r="60" spans="1:22">
      <c r="A60" s="138">
        <v>52</v>
      </c>
      <c r="B60" s="139" t="s">
        <v>93</v>
      </c>
      <c r="C60" s="140" t="s">
        <v>94</v>
      </c>
      <c r="D60" s="44">
        <v>65098560.046428569</v>
      </c>
      <c r="E60" s="27">
        <f t="shared" si="37"/>
        <v>1.811579522834261E-5</v>
      </c>
      <c r="F60" s="28">
        <v>1000</v>
      </c>
      <c r="G60" s="28">
        <v>1000</v>
      </c>
      <c r="H60" s="29">
        <v>23</v>
      </c>
      <c r="I60" s="47">
        <v>0.189</v>
      </c>
      <c r="J60" s="47">
        <v>0.189</v>
      </c>
      <c r="K60" s="44">
        <v>65822287.340000004</v>
      </c>
      <c r="L60" s="27">
        <f t="shared" si="38"/>
        <v>1.8317195926639961E-5</v>
      </c>
      <c r="M60" s="28">
        <v>1000</v>
      </c>
      <c r="N60" s="28">
        <v>1000</v>
      </c>
      <c r="O60" s="29">
        <v>23</v>
      </c>
      <c r="P60" s="47">
        <v>0.222</v>
      </c>
      <c r="Q60" s="47">
        <v>0.222</v>
      </c>
      <c r="R60" s="53">
        <f t="shared" si="21"/>
        <v>1.1117408634772712E-2</v>
      </c>
      <c r="S60" s="53">
        <f t="shared" si="22"/>
        <v>0</v>
      </c>
      <c r="T60" s="53">
        <f t="shared" si="23"/>
        <v>0</v>
      </c>
      <c r="U60" s="54">
        <f t="shared" si="24"/>
        <v>3.3000000000000002E-2</v>
      </c>
      <c r="V60" s="55">
        <f t="shared" si="25"/>
        <v>3.3000000000000002E-2</v>
      </c>
    </row>
    <row r="61" spans="1:22">
      <c r="A61" s="138">
        <v>53</v>
      </c>
      <c r="B61" s="139" t="s">
        <v>95</v>
      </c>
      <c r="C61" s="140" t="s">
        <v>47</v>
      </c>
      <c r="D61" s="41">
        <v>1706476229916.98</v>
      </c>
      <c r="E61" s="27">
        <f t="shared" si="37"/>
        <v>0.47488260755939904</v>
      </c>
      <c r="F61" s="28">
        <v>100</v>
      </c>
      <c r="G61" s="28">
        <v>100</v>
      </c>
      <c r="H61" s="29">
        <v>204888</v>
      </c>
      <c r="I61" s="47">
        <v>0.2001</v>
      </c>
      <c r="J61" s="47">
        <v>0.2001</v>
      </c>
      <c r="K61" s="41">
        <v>1753652895453.9199</v>
      </c>
      <c r="L61" s="27">
        <f t="shared" si="38"/>
        <v>0.48801105174946524</v>
      </c>
      <c r="M61" s="28">
        <v>100</v>
      </c>
      <c r="N61" s="28">
        <v>100</v>
      </c>
      <c r="O61" s="29">
        <v>207543</v>
      </c>
      <c r="P61" s="47">
        <v>0.19409999999999999</v>
      </c>
      <c r="Q61" s="47">
        <v>0.19409999999999999</v>
      </c>
      <c r="R61" s="53">
        <f t="shared" si="21"/>
        <v>2.764566227754317E-2</v>
      </c>
      <c r="S61" s="53">
        <f t="shared" si="22"/>
        <v>0</v>
      </c>
      <c r="T61" s="53">
        <f t="shared" si="23"/>
        <v>1.295829916832611E-2</v>
      </c>
      <c r="U61" s="54">
        <f t="shared" si="24"/>
        <v>-6.0000000000000053E-3</v>
      </c>
      <c r="V61" s="55">
        <f t="shared" si="25"/>
        <v>-6.0000000000000053E-3</v>
      </c>
    </row>
    <row r="62" spans="1:22">
      <c r="A62" s="138">
        <v>54</v>
      </c>
      <c r="B62" s="139" t="s">
        <v>96</v>
      </c>
      <c r="C62" s="139" t="s">
        <v>97</v>
      </c>
      <c r="D62" s="41">
        <v>5000282417.0799999</v>
      </c>
      <c r="E62" s="27">
        <f t="shared" si="37"/>
        <v>1.3914914905506107E-3</v>
      </c>
      <c r="F62" s="28">
        <v>100</v>
      </c>
      <c r="G62" s="28">
        <v>100</v>
      </c>
      <c r="H62" s="29">
        <v>707</v>
      </c>
      <c r="I62" s="47">
        <v>0.20519999999999999</v>
      </c>
      <c r="J62" s="47">
        <v>0.20519999999999999</v>
      </c>
      <c r="K62" s="41">
        <v>5048094738.75</v>
      </c>
      <c r="L62" s="27">
        <f t="shared" si="38"/>
        <v>1.4047968267692247E-3</v>
      </c>
      <c r="M62" s="28">
        <v>100</v>
      </c>
      <c r="N62" s="28">
        <v>100</v>
      </c>
      <c r="O62" s="29">
        <v>714</v>
      </c>
      <c r="P62" s="47">
        <v>0.20349999999999999</v>
      </c>
      <c r="Q62" s="47">
        <v>0.20349999999999999</v>
      </c>
      <c r="R62" s="53">
        <f t="shared" si="21"/>
        <v>9.5619242438551889E-3</v>
      </c>
      <c r="S62" s="53">
        <f t="shared" si="22"/>
        <v>0</v>
      </c>
      <c r="T62" s="53">
        <f t="shared" si="23"/>
        <v>9.9009900990099011E-3</v>
      </c>
      <c r="U62" s="54">
        <f t="shared" si="24"/>
        <v>-1.7000000000000071E-3</v>
      </c>
      <c r="V62" s="55">
        <f t="shared" si="25"/>
        <v>-1.7000000000000071E-3</v>
      </c>
    </row>
    <row r="63" spans="1:22">
      <c r="A63" s="138">
        <v>55</v>
      </c>
      <c r="B63" s="139" t="s">
        <v>98</v>
      </c>
      <c r="C63" s="140" t="s">
        <v>99</v>
      </c>
      <c r="D63" s="41">
        <v>5282977838.3699999</v>
      </c>
      <c r="E63" s="27">
        <f t="shared" si="37"/>
        <v>1.4701607016733634E-3</v>
      </c>
      <c r="F63" s="28">
        <v>1</v>
      </c>
      <c r="G63" s="28">
        <v>1</v>
      </c>
      <c r="H63" s="29">
        <v>520</v>
      </c>
      <c r="I63" s="47">
        <v>0.2044927</v>
      </c>
      <c r="J63" s="47">
        <v>0.2044927</v>
      </c>
      <c r="K63" s="41">
        <v>5695142011.0699997</v>
      </c>
      <c r="L63" s="27">
        <f t="shared" si="38"/>
        <v>1.5848588109367199E-3</v>
      </c>
      <c r="M63" s="28">
        <v>1</v>
      </c>
      <c r="N63" s="28">
        <v>1</v>
      </c>
      <c r="O63" s="29">
        <v>519</v>
      </c>
      <c r="P63" s="47">
        <v>0.20422499999999999</v>
      </c>
      <c r="Q63" s="47">
        <v>0.20422499999999999</v>
      </c>
      <c r="R63" s="53">
        <f t="shared" si="21"/>
        <v>7.8017395739666429E-2</v>
      </c>
      <c r="S63" s="53">
        <f t="shared" si="22"/>
        <v>0</v>
      </c>
      <c r="T63" s="53">
        <f t="shared" si="23"/>
        <v>-1.9230769230769232E-3</v>
      </c>
      <c r="U63" s="54">
        <f t="shared" si="24"/>
        <v>-2.677000000000096E-4</v>
      </c>
      <c r="V63" s="55">
        <f t="shared" si="25"/>
        <v>-2.677000000000096E-4</v>
      </c>
    </row>
    <row r="64" spans="1:22">
      <c r="A64" s="138">
        <v>56</v>
      </c>
      <c r="B64" s="139" t="s">
        <v>100</v>
      </c>
      <c r="C64" s="140" t="s">
        <v>50</v>
      </c>
      <c r="D64" s="41">
        <v>163576101786.42999</v>
      </c>
      <c r="E64" s="27">
        <f t="shared" si="37"/>
        <v>4.5520379592114593E-2</v>
      </c>
      <c r="F64" s="28">
        <v>1</v>
      </c>
      <c r="G64" s="28">
        <v>1</v>
      </c>
      <c r="H64" s="29">
        <v>62872</v>
      </c>
      <c r="I64" s="47">
        <v>0.19089999999999999</v>
      </c>
      <c r="J64" s="47">
        <v>0.19089999999999999</v>
      </c>
      <c r="K64" s="41">
        <v>166536488218.57001</v>
      </c>
      <c r="L64" s="27">
        <f t="shared" si="38"/>
        <v>4.6344203565535258E-2</v>
      </c>
      <c r="M64" s="28">
        <v>1</v>
      </c>
      <c r="N64" s="28">
        <v>1</v>
      </c>
      <c r="O64" s="29">
        <v>64208</v>
      </c>
      <c r="P64" s="47">
        <v>0.1915</v>
      </c>
      <c r="Q64" s="47">
        <v>0.1915</v>
      </c>
      <c r="R64" s="53">
        <f t="shared" si="21"/>
        <v>1.8097915281079301E-2</v>
      </c>
      <c r="S64" s="53">
        <f t="shared" si="22"/>
        <v>0</v>
      </c>
      <c r="T64" s="53">
        <f t="shared" si="23"/>
        <v>2.1249522840055986E-2</v>
      </c>
      <c r="U64" s="54">
        <f t="shared" si="24"/>
        <v>6.0000000000001719E-4</v>
      </c>
      <c r="V64" s="55">
        <f t="shared" si="25"/>
        <v>6.0000000000001719E-4</v>
      </c>
    </row>
    <row r="65" spans="1:22">
      <c r="A65" s="138">
        <v>57</v>
      </c>
      <c r="B65" s="139" t="s">
        <v>309</v>
      </c>
      <c r="C65" s="140" t="s">
        <v>101</v>
      </c>
      <c r="D65" s="41">
        <v>1546578521.8499999</v>
      </c>
      <c r="E65" s="27">
        <f t="shared" si="37"/>
        <v>4.3038586086090375E-4</v>
      </c>
      <c r="F65" s="28">
        <v>1</v>
      </c>
      <c r="G65" s="28">
        <v>1</v>
      </c>
      <c r="H65" s="29">
        <v>157</v>
      </c>
      <c r="I65" s="47">
        <v>0.18360000000000001</v>
      </c>
      <c r="J65" s="47">
        <v>0.18360000000000001</v>
      </c>
      <c r="K65" s="41">
        <v>1918916181.1199999</v>
      </c>
      <c r="L65" s="27">
        <f t="shared" si="38"/>
        <v>5.3400094522413732E-4</v>
      </c>
      <c r="M65" s="28">
        <v>1</v>
      </c>
      <c r="N65" s="28">
        <v>1</v>
      </c>
      <c r="O65" s="29">
        <v>157</v>
      </c>
      <c r="P65" s="47">
        <v>0.17610000000000001</v>
      </c>
      <c r="Q65" s="47">
        <v>0.17610000000000001</v>
      </c>
      <c r="R65" s="53">
        <f t="shared" si="21"/>
        <v>0.24074927590783676</v>
      </c>
      <c r="S65" s="53">
        <f t="shared" si="22"/>
        <v>0</v>
      </c>
      <c r="T65" s="53">
        <f t="shared" si="23"/>
        <v>0</v>
      </c>
      <c r="U65" s="54">
        <f t="shared" si="24"/>
        <v>-7.5000000000000067E-3</v>
      </c>
      <c r="V65" s="55">
        <f t="shared" si="25"/>
        <v>-7.5000000000000067E-3</v>
      </c>
    </row>
    <row r="66" spans="1:22">
      <c r="A66" s="138">
        <v>58</v>
      </c>
      <c r="B66" s="139" t="s">
        <v>102</v>
      </c>
      <c r="C66" s="140" t="s">
        <v>103</v>
      </c>
      <c r="D66" s="41">
        <v>5980496182.1800003</v>
      </c>
      <c r="E66" s="27">
        <f t="shared" si="37"/>
        <v>1.6642679058183171E-3</v>
      </c>
      <c r="F66" s="28">
        <v>1</v>
      </c>
      <c r="G66" s="28">
        <v>1</v>
      </c>
      <c r="H66" s="29">
        <v>466</v>
      </c>
      <c r="I66" s="47">
        <v>0.19500000000000001</v>
      </c>
      <c r="J66" s="47">
        <v>0.19500000000000001</v>
      </c>
      <c r="K66" s="41">
        <v>6004540753.0500002</v>
      </c>
      <c r="L66" s="27">
        <f t="shared" si="38"/>
        <v>1.6709590910292285E-3</v>
      </c>
      <c r="M66" s="28">
        <v>1</v>
      </c>
      <c r="N66" s="28">
        <v>1</v>
      </c>
      <c r="O66" s="29">
        <v>464</v>
      </c>
      <c r="P66" s="47">
        <v>0.19969999999999999</v>
      </c>
      <c r="Q66" s="47">
        <v>0.19969999999999999</v>
      </c>
      <c r="R66" s="53">
        <f t="shared" si="21"/>
        <v>4.0204976539647587E-3</v>
      </c>
      <c r="S66" s="53">
        <f t="shared" si="22"/>
        <v>0</v>
      </c>
      <c r="T66" s="53">
        <f t="shared" si="23"/>
        <v>-4.2918454935622317E-3</v>
      </c>
      <c r="U66" s="54">
        <f t="shared" si="24"/>
        <v>4.699999999999982E-3</v>
      </c>
      <c r="V66" s="55">
        <f t="shared" si="25"/>
        <v>4.699999999999982E-3</v>
      </c>
    </row>
    <row r="67" spans="1:22">
      <c r="A67" s="138">
        <v>59</v>
      </c>
      <c r="B67" s="139" t="s">
        <v>104</v>
      </c>
      <c r="C67" s="140" t="s">
        <v>105</v>
      </c>
      <c r="D67" s="41">
        <v>6532047556.5799999</v>
      </c>
      <c r="E67" s="27">
        <f t="shared" si="37"/>
        <v>1.817755045156194E-3</v>
      </c>
      <c r="F67" s="28">
        <v>1</v>
      </c>
      <c r="G67" s="28">
        <v>1</v>
      </c>
      <c r="H67" s="29">
        <v>4052</v>
      </c>
      <c r="I67" s="47">
        <v>0.2152</v>
      </c>
      <c r="J67" s="47">
        <v>0.2152</v>
      </c>
      <c r="K67" s="41">
        <v>6432625996.4799995</v>
      </c>
      <c r="L67" s="27">
        <f t="shared" si="38"/>
        <v>1.7900877569278612E-3</v>
      </c>
      <c r="M67" s="28">
        <v>1</v>
      </c>
      <c r="N67" s="28">
        <v>1</v>
      </c>
      <c r="O67" s="29">
        <v>4111</v>
      </c>
      <c r="P67" s="47">
        <v>0.2162</v>
      </c>
      <c r="Q67" s="47">
        <v>0.2162</v>
      </c>
      <c r="R67" s="53">
        <f t="shared" si="21"/>
        <v>-1.5220581178997841E-2</v>
      </c>
      <c r="S67" s="53">
        <f t="shared" si="22"/>
        <v>0</v>
      </c>
      <c r="T67" s="53">
        <f t="shared" si="23"/>
        <v>1.4560710760118461E-2</v>
      </c>
      <c r="U67" s="54">
        <f t="shared" si="24"/>
        <v>1.0000000000000009E-3</v>
      </c>
      <c r="V67" s="55">
        <f t="shared" si="25"/>
        <v>1.0000000000000009E-3</v>
      </c>
    </row>
    <row r="68" spans="1:22">
      <c r="A68" s="138">
        <v>60</v>
      </c>
      <c r="B68" s="139" t="s">
        <v>106</v>
      </c>
      <c r="C68" s="140" t="s">
        <v>107</v>
      </c>
      <c r="D68" s="41">
        <v>120827451797.06</v>
      </c>
      <c r="E68" s="27">
        <f t="shared" si="37"/>
        <v>3.3624174991840894E-2</v>
      </c>
      <c r="F68" s="28">
        <v>1</v>
      </c>
      <c r="G68" s="28">
        <v>1</v>
      </c>
      <c r="H68" s="29">
        <v>5961</v>
      </c>
      <c r="I68" s="47">
        <v>0.19650000000000001</v>
      </c>
      <c r="J68" s="47">
        <v>0.19650000000000001</v>
      </c>
      <c r="K68" s="41">
        <v>126449921203.17</v>
      </c>
      <c r="L68" s="27">
        <f t="shared" si="38"/>
        <v>3.5188810282791506E-2</v>
      </c>
      <c r="M68" s="28">
        <v>1</v>
      </c>
      <c r="N68" s="28">
        <v>1</v>
      </c>
      <c r="O68" s="29">
        <v>5991</v>
      </c>
      <c r="P68" s="47">
        <v>0.2064</v>
      </c>
      <c r="Q68" s="47">
        <v>0.2064</v>
      </c>
      <c r="R68" s="53">
        <f t="shared" si="21"/>
        <v>4.653304627787249E-2</v>
      </c>
      <c r="S68" s="53">
        <f t="shared" si="22"/>
        <v>0</v>
      </c>
      <c r="T68" s="53">
        <f t="shared" si="23"/>
        <v>5.0327126321087065E-3</v>
      </c>
      <c r="U68" s="54">
        <f t="shared" si="24"/>
        <v>9.8999999999999921E-3</v>
      </c>
      <c r="V68" s="55">
        <f t="shared" si="25"/>
        <v>9.8999999999999921E-3</v>
      </c>
    </row>
    <row r="69" spans="1:22">
      <c r="A69" s="33"/>
      <c r="B69" s="34"/>
      <c r="C69" s="35" t="s">
        <v>51</v>
      </c>
      <c r="D69" s="45">
        <f>SUM(D28:D68)</f>
        <v>3516123821226.8936</v>
      </c>
      <c r="E69" s="37">
        <f>(D69/$D$222)</f>
        <v>0.55986481053788884</v>
      </c>
      <c r="F69" s="38"/>
      <c r="G69" s="42"/>
      <c r="H69" s="40">
        <f>SUM(H28:H68)</f>
        <v>471473</v>
      </c>
      <c r="I69" s="52"/>
      <c r="J69" s="52"/>
      <c r="K69" s="45">
        <f>SUM(K28:K68)</f>
        <v>3593469633868.4741</v>
      </c>
      <c r="L69" s="37">
        <f>(K69/$K$222)</f>
        <v>0.56275645019931086</v>
      </c>
      <c r="M69" s="38"/>
      <c r="N69" s="42"/>
      <c r="O69" s="40">
        <f>SUM(O28:O68)</f>
        <v>477207</v>
      </c>
      <c r="P69" s="52"/>
      <c r="Q69" s="52"/>
      <c r="R69" s="53">
        <f t="shared" si="21"/>
        <v>2.1997465554154466E-2</v>
      </c>
      <c r="S69" s="53" t="e">
        <f t="shared" si="22"/>
        <v>#DIV/0!</v>
      </c>
      <c r="T69" s="53">
        <f t="shared" si="23"/>
        <v>1.2161884137585821E-2</v>
      </c>
      <c r="U69" s="54">
        <f t="shared" si="24"/>
        <v>0</v>
      </c>
      <c r="V69" s="55">
        <f t="shared" si="25"/>
        <v>0</v>
      </c>
    </row>
    <row r="70" spans="1:22" ht="3" customHeight="1">
      <c r="A70" s="33"/>
      <c r="B70" s="183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183"/>
      <c r="T70" s="183"/>
      <c r="U70" s="183"/>
      <c r="V70" s="183"/>
    </row>
    <row r="71" spans="1:22" ht="15" customHeight="1">
      <c r="A71" s="182" t="s">
        <v>108</v>
      </c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</row>
    <row r="72" spans="1:22">
      <c r="A72" s="138">
        <v>61</v>
      </c>
      <c r="B72" s="139" t="s">
        <v>109</v>
      </c>
      <c r="C72" s="140" t="s">
        <v>19</v>
      </c>
      <c r="D72" s="26">
        <v>593516219.77999997</v>
      </c>
      <c r="E72" s="27">
        <f>(D72/$D$110)</f>
        <v>2.6873939614952928E-3</v>
      </c>
      <c r="F72" s="57">
        <v>1.6065</v>
      </c>
      <c r="G72" s="57">
        <v>1.6065</v>
      </c>
      <c r="H72" s="29">
        <v>488</v>
      </c>
      <c r="I72" s="47">
        <v>-1.864E-3</v>
      </c>
      <c r="J72" s="47">
        <v>0.23230000000000001</v>
      </c>
      <c r="K72" s="26">
        <v>594144679.25999999</v>
      </c>
      <c r="L72" s="27">
        <f t="shared" ref="L72:L94" si="39">(K72/$K$110)</f>
        <v>2.5927938364934283E-3</v>
      </c>
      <c r="M72" s="57">
        <v>1.6035999999999999</v>
      </c>
      <c r="N72" s="57">
        <v>1.6035999999999999</v>
      </c>
      <c r="O72" s="29">
        <v>491</v>
      </c>
      <c r="P72" s="47">
        <v>3.7399999999999998E-4</v>
      </c>
      <c r="Q72" s="47">
        <v>0.23</v>
      </c>
      <c r="R72" s="53">
        <f>((K72-D72)/D72)</f>
        <v>1.0588749878360048E-3</v>
      </c>
      <c r="S72" s="53">
        <f>((N72-G72)/G72)</f>
        <v>-1.8051665110489416E-3</v>
      </c>
      <c r="T72" s="53">
        <f>((O72-H72)/H72)</f>
        <v>6.1475409836065573E-3</v>
      </c>
      <c r="U72" s="54">
        <f>P72-I72</f>
        <v>2.238E-3</v>
      </c>
      <c r="V72" s="55">
        <f>Q72-J72</f>
        <v>-2.2999999999999965E-3</v>
      </c>
    </row>
    <row r="73" spans="1:22">
      <c r="A73" s="138">
        <v>62</v>
      </c>
      <c r="B73" s="139" t="s">
        <v>110</v>
      </c>
      <c r="C73" s="140" t="s">
        <v>21</v>
      </c>
      <c r="D73" s="26">
        <v>1313596406.8399999</v>
      </c>
      <c r="E73" s="27">
        <f>(D73/$D$110)</f>
        <v>5.9478594416379378E-3</v>
      </c>
      <c r="F73" s="57">
        <v>1.3089</v>
      </c>
      <c r="G73" s="57">
        <v>1.3089</v>
      </c>
      <c r="H73" s="29">
        <v>1087</v>
      </c>
      <c r="I73" s="47">
        <v>0.18529999999999999</v>
      </c>
      <c r="J73" s="47">
        <v>0.1905</v>
      </c>
      <c r="K73" s="26">
        <v>1314031744.25</v>
      </c>
      <c r="L73" s="27">
        <f t="shared" si="39"/>
        <v>5.7343161125190962E-3</v>
      </c>
      <c r="M73" s="57">
        <v>1.3099000000000001</v>
      </c>
      <c r="N73" s="57">
        <v>1.3099000000000001</v>
      </c>
      <c r="O73" s="29">
        <v>1102</v>
      </c>
      <c r="P73" s="47">
        <v>3.9800000000000002E-2</v>
      </c>
      <c r="Q73" s="47">
        <v>0.18060000000000001</v>
      </c>
      <c r="R73" s="53">
        <f t="shared" ref="R73:R110" si="40">((K73-D73)/D73)</f>
        <v>3.3140880085637389E-4</v>
      </c>
      <c r="S73" s="53">
        <f t="shared" ref="S73:S110" si="41">((N73-G73)/G73)</f>
        <v>7.6400030560020771E-4</v>
      </c>
      <c r="T73" s="53">
        <f t="shared" ref="T73:T110" si="42">((O73-H73)/H73)</f>
        <v>1.3799448022079117E-2</v>
      </c>
      <c r="U73" s="54">
        <f t="shared" ref="U73:U110" si="43">P73-I73</f>
        <v>-0.14549999999999999</v>
      </c>
      <c r="V73" s="55">
        <f t="shared" ref="V73:V110" si="44">Q73-J73</f>
        <v>-9.8999999999999921E-3</v>
      </c>
    </row>
    <row r="74" spans="1:22">
      <c r="A74" s="138">
        <v>63</v>
      </c>
      <c r="B74" s="139" t="s">
        <v>111</v>
      </c>
      <c r="C74" s="140" t="s">
        <v>21</v>
      </c>
      <c r="D74" s="26">
        <v>796315906.75999999</v>
      </c>
      <c r="E74" s="27">
        <f>(D74/$D$110)</f>
        <v>3.6056547200390191E-3</v>
      </c>
      <c r="F74" s="57">
        <v>1.1506000000000001</v>
      </c>
      <c r="G74" s="57">
        <v>1.1506000000000001</v>
      </c>
      <c r="H74" s="29">
        <v>410</v>
      </c>
      <c r="I74" s="47">
        <v>0.1236</v>
      </c>
      <c r="J74" s="47">
        <v>0.1235</v>
      </c>
      <c r="K74" s="26">
        <v>798574099.53999996</v>
      </c>
      <c r="L74" s="27">
        <f t="shared" si="39"/>
        <v>3.484905403595352E-3</v>
      </c>
      <c r="M74" s="57">
        <v>1.1534</v>
      </c>
      <c r="N74" s="57">
        <v>1.1534</v>
      </c>
      <c r="O74" s="29">
        <v>425</v>
      </c>
      <c r="P74" s="47">
        <v>0.12690000000000001</v>
      </c>
      <c r="Q74" s="47">
        <v>0.124</v>
      </c>
      <c r="R74" s="53">
        <f t="shared" si="40"/>
        <v>2.8358001652735582E-3</v>
      </c>
      <c r="S74" s="53">
        <f t="shared" si="41"/>
        <v>2.4335129497652648E-3</v>
      </c>
      <c r="T74" s="53">
        <f t="shared" si="42"/>
        <v>3.6585365853658534E-2</v>
      </c>
      <c r="U74" s="54">
        <f t="shared" si="43"/>
        <v>3.3000000000000113E-3</v>
      </c>
      <c r="V74" s="55">
        <f t="shared" si="44"/>
        <v>5.0000000000000044E-4</v>
      </c>
    </row>
    <row r="75" spans="1:22">
      <c r="A75" s="138">
        <v>64</v>
      </c>
      <c r="B75" s="139" t="s">
        <v>112</v>
      </c>
      <c r="C75" s="140" t="s">
        <v>113</v>
      </c>
      <c r="D75" s="26">
        <v>307262407.10000002</v>
      </c>
      <c r="E75" s="27">
        <f>(D75/$D$110)</f>
        <v>1.3912595981641844E-3</v>
      </c>
      <c r="F75" s="32">
        <v>1209.22</v>
      </c>
      <c r="G75" s="32">
        <v>1209.22</v>
      </c>
      <c r="H75" s="29">
        <v>109</v>
      </c>
      <c r="I75" s="47">
        <v>-1E-3</v>
      </c>
      <c r="J75" s="47">
        <v>0.23050000000000001</v>
      </c>
      <c r="K75" s="26">
        <v>306723139.72000003</v>
      </c>
      <c r="L75" s="27">
        <f t="shared" si="39"/>
        <v>1.3385121401178373E-3</v>
      </c>
      <c r="M75" s="32">
        <v>1207.0999999999999</v>
      </c>
      <c r="N75" s="32">
        <v>1207.0999999999999</v>
      </c>
      <c r="O75" s="29">
        <v>109</v>
      </c>
      <c r="P75" s="47">
        <v>-2.8999999999999998E-3</v>
      </c>
      <c r="Q75" s="47">
        <v>0.21709999999999999</v>
      </c>
      <c r="R75" s="53">
        <f t="shared" si="40"/>
        <v>-1.7550711298843925E-3</v>
      </c>
      <c r="S75" s="53">
        <f t="shared" si="41"/>
        <v>-1.7531962752849921E-3</v>
      </c>
      <c r="T75" s="53">
        <f t="shared" si="42"/>
        <v>0</v>
      </c>
      <c r="U75" s="54">
        <f t="shared" si="43"/>
        <v>-1.8999999999999998E-3</v>
      </c>
      <c r="V75" s="55">
        <f t="shared" si="44"/>
        <v>-1.3400000000000023E-2</v>
      </c>
    </row>
    <row r="76" spans="1:22" ht="15" customHeight="1">
      <c r="A76" s="138">
        <v>65</v>
      </c>
      <c r="B76" s="139" t="s">
        <v>114</v>
      </c>
      <c r="C76" s="140" t="s">
        <v>25</v>
      </c>
      <c r="D76" s="26">
        <v>1631685010.3599999</v>
      </c>
      <c r="E76" s="27">
        <f>(D76/$K$110)</f>
        <v>7.1205263391894928E-3</v>
      </c>
      <c r="F76" s="32">
        <v>1.0316000000000001</v>
      </c>
      <c r="G76" s="32">
        <v>1.0316000000000001</v>
      </c>
      <c r="H76" s="29">
        <v>954</v>
      </c>
      <c r="I76" s="47">
        <v>3.0999999999999999E-3</v>
      </c>
      <c r="J76" s="47">
        <v>9.5100000000000004E-2</v>
      </c>
      <c r="K76" s="26">
        <v>1664332498.9200001</v>
      </c>
      <c r="L76" s="27">
        <f t="shared" si="39"/>
        <v>7.2629970371023084E-3</v>
      </c>
      <c r="M76" s="32">
        <v>1.0353000000000001</v>
      </c>
      <c r="N76" s="32">
        <v>1.0353000000000001</v>
      </c>
      <c r="O76" s="29">
        <v>957</v>
      </c>
      <c r="P76" s="47">
        <v>3.5999999999999999E-3</v>
      </c>
      <c r="Q76" s="47">
        <v>9.2799999999999994E-2</v>
      </c>
      <c r="R76" s="53">
        <f t="shared" si="40"/>
        <v>2.0008450376581655E-2</v>
      </c>
      <c r="S76" s="53">
        <f t="shared" si="41"/>
        <v>3.586661496704184E-3</v>
      </c>
      <c r="T76" s="53">
        <f t="shared" si="42"/>
        <v>3.1446540880503146E-3</v>
      </c>
      <c r="U76" s="54">
        <f t="shared" si="43"/>
        <v>5.0000000000000001E-4</v>
      </c>
      <c r="V76" s="55">
        <f t="shared" si="44"/>
        <v>-2.3000000000000104E-3</v>
      </c>
    </row>
    <row r="77" spans="1:22">
      <c r="A77" s="138">
        <v>66</v>
      </c>
      <c r="B77" s="139" t="s">
        <v>115</v>
      </c>
      <c r="C77" s="140" t="s">
        <v>116</v>
      </c>
      <c r="D77" s="26">
        <v>465745254.35945654</v>
      </c>
      <c r="E77" s="27">
        <f t="shared" ref="E77:E94" si="45">(D77/$D$110)</f>
        <v>2.1088572518281664E-3</v>
      </c>
      <c r="F77" s="32">
        <v>2.6703000000000001</v>
      </c>
      <c r="G77" s="32">
        <v>2.6703000000000001</v>
      </c>
      <c r="H77" s="29">
        <v>1391</v>
      </c>
      <c r="I77" s="47">
        <v>0.1429</v>
      </c>
      <c r="J77" s="47">
        <v>0.14430000000000001</v>
      </c>
      <c r="K77" s="26">
        <v>466934553.85000002</v>
      </c>
      <c r="L77" s="27">
        <f t="shared" si="39"/>
        <v>2.0376603132690801E-3</v>
      </c>
      <c r="M77" s="32">
        <v>2.6772</v>
      </c>
      <c r="N77" s="32">
        <v>2.6772</v>
      </c>
      <c r="O77" s="29">
        <v>1391</v>
      </c>
      <c r="P77" s="47">
        <v>0.13469999999999999</v>
      </c>
      <c r="Q77" s="47">
        <v>0.1444</v>
      </c>
      <c r="R77" s="53">
        <f t="shared" si="40"/>
        <v>2.5535407594847927E-3</v>
      </c>
      <c r="S77" s="53">
        <f t="shared" si="41"/>
        <v>2.5839793281653392E-3</v>
      </c>
      <c r="T77" s="53">
        <f t="shared" si="42"/>
        <v>0</v>
      </c>
      <c r="U77" s="54">
        <f t="shared" si="43"/>
        <v>-8.2000000000000128E-3</v>
      </c>
      <c r="V77" s="55">
        <f t="shared" si="44"/>
        <v>9.9999999999988987E-5</v>
      </c>
    </row>
    <row r="78" spans="1:22">
      <c r="A78" s="138">
        <v>67</v>
      </c>
      <c r="B78" s="139" t="s">
        <v>117</v>
      </c>
      <c r="C78" s="140" t="s">
        <v>61</v>
      </c>
      <c r="D78" s="26">
        <v>171723789.91999999</v>
      </c>
      <c r="E78" s="27">
        <f t="shared" si="45"/>
        <v>7.7755158274723406E-4</v>
      </c>
      <c r="F78" s="32">
        <v>11.84</v>
      </c>
      <c r="G78" s="32">
        <v>11.9</v>
      </c>
      <c r="H78" s="29">
        <v>30</v>
      </c>
      <c r="I78" s="47">
        <v>-0.23599999999999999</v>
      </c>
      <c r="J78" s="47">
        <v>0.33200000000000002</v>
      </c>
      <c r="K78" s="26">
        <v>171807709.99000001</v>
      </c>
      <c r="L78" s="27">
        <f t="shared" si="39"/>
        <v>7.497533632362742E-4</v>
      </c>
      <c r="M78" s="32">
        <v>11.84</v>
      </c>
      <c r="N78" s="32">
        <v>11.92</v>
      </c>
      <c r="O78" s="29">
        <v>37</v>
      </c>
      <c r="P78" s="47">
        <v>-2.7E-2</v>
      </c>
      <c r="Q78" s="47">
        <v>0.32</v>
      </c>
      <c r="R78" s="53">
        <f t="shared" si="40"/>
        <v>4.8869216105187311E-4</v>
      </c>
      <c r="S78" s="53">
        <f t="shared" si="41"/>
        <v>1.6806722689075271E-3</v>
      </c>
      <c r="T78" s="53">
        <f t="shared" si="42"/>
        <v>0.23333333333333334</v>
      </c>
      <c r="U78" s="54">
        <f t="shared" si="43"/>
        <v>0.20899999999999999</v>
      </c>
      <c r="V78" s="55">
        <f t="shared" si="44"/>
        <v>-1.2000000000000011E-2</v>
      </c>
    </row>
    <row r="79" spans="1:22">
      <c r="A79" s="138">
        <v>68</v>
      </c>
      <c r="B79" s="139" t="s">
        <v>118</v>
      </c>
      <c r="C79" s="140" t="s">
        <v>63</v>
      </c>
      <c r="D79" s="26">
        <v>2086326471.74718</v>
      </c>
      <c r="E79" s="27">
        <f t="shared" si="45"/>
        <v>9.4467193566494783E-3</v>
      </c>
      <c r="F79" s="26">
        <v>4684.4028476138201</v>
      </c>
      <c r="G79" s="26">
        <v>4684.4028476138201</v>
      </c>
      <c r="H79" s="29">
        <v>1127</v>
      </c>
      <c r="I79" s="47">
        <v>9.6584949239236648E-2</v>
      </c>
      <c r="J79" s="47">
        <v>0.11730390555995661</v>
      </c>
      <c r="K79" s="26">
        <v>2087389528.21</v>
      </c>
      <c r="L79" s="27">
        <f t="shared" si="39"/>
        <v>9.1091797873955657E-3</v>
      </c>
      <c r="M79" s="26">
        <v>4693.55</v>
      </c>
      <c r="N79" s="26">
        <v>4693.55</v>
      </c>
      <c r="O79" s="29">
        <v>1135</v>
      </c>
      <c r="P79" s="47">
        <v>0.1018</v>
      </c>
      <c r="Q79" s="47">
        <v>0.11700000000000001</v>
      </c>
      <c r="R79" s="53">
        <f t="shared" si="40"/>
        <v>5.0953504986676586E-4</v>
      </c>
      <c r="S79" s="53">
        <f t="shared" si="41"/>
        <v>1.9526826969716211E-3</v>
      </c>
      <c r="T79" s="53">
        <f t="shared" si="42"/>
        <v>7.0984915705412602E-3</v>
      </c>
      <c r="U79" s="54">
        <f t="shared" si="43"/>
        <v>5.2150507607633539E-3</v>
      </c>
      <c r="V79" s="55">
        <f t="shared" si="44"/>
        <v>-3.0390555995660207E-4</v>
      </c>
    </row>
    <row r="80" spans="1:22">
      <c r="A80" s="138">
        <v>69</v>
      </c>
      <c r="B80" s="139" t="s">
        <v>119</v>
      </c>
      <c r="C80" s="140" t="s">
        <v>65</v>
      </c>
      <c r="D80" s="26">
        <v>347295589.80000001</v>
      </c>
      <c r="E80" s="27">
        <f t="shared" si="45"/>
        <v>1.5725266467501466E-3</v>
      </c>
      <c r="F80" s="57">
        <v>113.02</v>
      </c>
      <c r="G80" s="57">
        <v>113.02</v>
      </c>
      <c r="H80" s="29">
        <v>91</v>
      </c>
      <c r="I80" s="47">
        <v>2.3999999999999998E-3</v>
      </c>
      <c r="J80" s="47">
        <v>0.1258</v>
      </c>
      <c r="K80" s="26">
        <v>348356028.95999998</v>
      </c>
      <c r="L80" s="27">
        <f t="shared" si="39"/>
        <v>1.5201943168417461E-3</v>
      </c>
      <c r="M80" s="57">
        <v>113.28</v>
      </c>
      <c r="N80" s="57">
        <v>113.28</v>
      </c>
      <c r="O80" s="29">
        <v>92</v>
      </c>
      <c r="P80" s="47">
        <v>2.3E-3</v>
      </c>
      <c r="Q80" s="47">
        <v>0.1263</v>
      </c>
      <c r="R80" s="53">
        <f t="shared" si="40"/>
        <v>3.0534195974404699E-3</v>
      </c>
      <c r="S80" s="53">
        <f t="shared" si="41"/>
        <v>2.3004777915413654E-3</v>
      </c>
      <c r="T80" s="53">
        <f t="shared" si="42"/>
        <v>1.098901098901099E-2</v>
      </c>
      <c r="U80" s="54">
        <f t="shared" si="43"/>
        <v>-9.9999999999999829E-5</v>
      </c>
      <c r="V80" s="55">
        <f t="shared" si="44"/>
        <v>5.0000000000000044E-4</v>
      </c>
    </row>
    <row r="81" spans="1:22" ht="13.5" customHeight="1">
      <c r="A81" s="138">
        <v>70</v>
      </c>
      <c r="B81" s="139" t="s">
        <v>120</v>
      </c>
      <c r="C81" s="140" t="s">
        <v>294</v>
      </c>
      <c r="D81" s="26">
        <v>412886387.91000003</v>
      </c>
      <c r="E81" s="27">
        <f t="shared" si="45"/>
        <v>1.8695165332873816E-3</v>
      </c>
      <c r="F81" s="57">
        <v>1.4494</v>
      </c>
      <c r="G81" s="57">
        <v>1.4494</v>
      </c>
      <c r="H81" s="29">
        <v>548</v>
      </c>
      <c r="I81" s="47">
        <v>-5.0756434606064493E-2</v>
      </c>
      <c r="J81" s="47">
        <v>0.10259872350128296</v>
      </c>
      <c r="K81" s="26">
        <v>418181121.47000003</v>
      </c>
      <c r="L81" s="27">
        <f t="shared" si="39"/>
        <v>1.8249047279793116E-3</v>
      </c>
      <c r="M81" s="57">
        <v>1.4524999999999999</v>
      </c>
      <c r="N81" s="57">
        <v>1.4524999999999999</v>
      </c>
      <c r="O81" s="29">
        <v>582</v>
      </c>
      <c r="P81" s="47">
        <v>2.0999999999999999E-3</v>
      </c>
      <c r="Q81" s="47">
        <v>0.10489999999999999</v>
      </c>
      <c r="R81" s="53">
        <f t="shared" si="40"/>
        <v>1.2823705782119743E-2</v>
      </c>
      <c r="S81" s="53">
        <f t="shared" si="41"/>
        <v>2.138816061818601E-3</v>
      </c>
      <c r="T81" s="53">
        <f t="shared" si="42"/>
        <v>6.2043795620437957E-2</v>
      </c>
      <c r="U81" s="54">
        <f t="shared" si="43"/>
        <v>5.2856434606064491E-2</v>
      </c>
      <c r="V81" s="55">
        <f t="shared" si="44"/>
        <v>2.3012764987170309E-3</v>
      </c>
    </row>
    <row r="82" spans="1:22" ht="13.5" customHeight="1">
      <c r="A82" s="138">
        <v>71</v>
      </c>
      <c r="B82" s="139" t="s">
        <v>292</v>
      </c>
      <c r="C82" s="140" t="s">
        <v>294</v>
      </c>
      <c r="D82" s="26">
        <v>23405973.600000001</v>
      </c>
      <c r="E82" s="27">
        <f t="shared" si="45"/>
        <v>1.0598037596828261E-4</v>
      </c>
      <c r="F82" s="57">
        <v>0.90249999999999997</v>
      </c>
      <c r="G82" s="57">
        <v>0.90249999999999997</v>
      </c>
      <c r="H82" s="29">
        <v>1</v>
      </c>
      <c r="I82" s="47">
        <v>5.4692064976042953E-2</v>
      </c>
      <c r="J82" s="47">
        <v>-8.9487489911218687E-2</v>
      </c>
      <c r="K82" s="26">
        <v>23388531.280000001</v>
      </c>
      <c r="L82" s="27">
        <f t="shared" si="39"/>
        <v>1.0206544275200138E-4</v>
      </c>
      <c r="M82" s="57">
        <v>0.90180000000000005</v>
      </c>
      <c r="N82" s="57">
        <v>0.90180000000000005</v>
      </c>
      <c r="O82" s="29">
        <v>1</v>
      </c>
      <c r="P82" s="47">
        <v>-8.0000000000000004E-4</v>
      </c>
      <c r="Q82" s="47">
        <v>-9.0200000000000002E-2</v>
      </c>
      <c r="R82" s="53">
        <f t="shared" ref="R82" si="46">((K82-D82)/D82)</f>
        <v>-7.4520805235806539E-4</v>
      </c>
      <c r="S82" s="53">
        <f t="shared" ref="S82" si="47">((N82-G82)/G82)</f>
        <v>-7.7562326869797557E-4</v>
      </c>
      <c r="T82" s="53">
        <f t="shared" ref="T82" si="48">((O82-H82)/H82)</f>
        <v>0</v>
      </c>
      <c r="U82" s="54">
        <f t="shared" ref="U82" si="49">P82-I82</f>
        <v>-5.5492064976042955E-2</v>
      </c>
      <c r="V82" s="55">
        <f t="shared" ref="V82" si="50">Q82-J82</f>
        <v>-7.1251008878131517E-4</v>
      </c>
    </row>
    <row r="83" spans="1:22">
      <c r="A83" s="138">
        <v>72</v>
      </c>
      <c r="B83" s="139" t="s">
        <v>122</v>
      </c>
      <c r="C83" s="140" t="s">
        <v>27</v>
      </c>
      <c r="D83" s="26">
        <v>147892642.69999999</v>
      </c>
      <c r="E83" s="27">
        <f t="shared" si="45"/>
        <v>6.6964605464174683E-4</v>
      </c>
      <c r="F83" s="57">
        <v>129.6558</v>
      </c>
      <c r="G83" s="57">
        <v>129.6558</v>
      </c>
      <c r="H83" s="29">
        <v>278</v>
      </c>
      <c r="I83" s="47">
        <v>4.0400000000000001E-4</v>
      </c>
      <c r="J83" s="47">
        <v>9.5000000000000001E-2</v>
      </c>
      <c r="K83" s="26">
        <v>148133660.22</v>
      </c>
      <c r="L83" s="27">
        <f t="shared" si="39"/>
        <v>6.4644194352458863E-4</v>
      </c>
      <c r="M83" s="57">
        <v>130.0385</v>
      </c>
      <c r="N83" s="57">
        <v>130.0385</v>
      </c>
      <c r="O83" s="29">
        <v>285</v>
      </c>
      <c r="P83" s="47">
        <v>5.0299999999999997E-4</v>
      </c>
      <c r="Q83" s="47">
        <v>0.108</v>
      </c>
      <c r="R83" s="53">
        <f t="shared" si="40"/>
        <v>1.6296789049128997E-3</v>
      </c>
      <c r="S83" s="53">
        <f t="shared" si="41"/>
        <v>2.9516612446184422E-3</v>
      </c>
      <c r="T83" s="53">
        <f t="shared" si="42"/>
        <v>2.5179856115107913E-2</v>
      </c>
      <c r="U83" s="54">
        <f t="shared" si="43"/>
        <v>9.8999999999999967E-5</v>
      </c>
      <c r="V83" s="55">
        <f t="shared" si="44"/>
        <v>1.2999999999999998E-2</v>
      </c>
    </row>
    <row r="84" spans="1:22">
      <c r="A84" s="138">
        <v>73</v>
      </c>
      <c r="B84" s="139" t="s">
        <v>123</v>
      </c>
      <c r="C84" s="140" t="s">
        <v>94</v>
      </c>
      <c r="D84" s="26">
        <v>2058732841.5450001</v>
      </c>
      <c r="E84" s="27">
        <f t="shared" si="45"/>
        <v>9.3217776066016698E-3</v>
      </c>
      <c r="F84" s="32">
        <v>1209.3</v>
      </c>
      <c r="G84" s="32">
        <v>1209.3</v>
      </c>
      <c r="H84" s="29">
        <v>368</v>
      </c>
      <c r="I84" s="47">
        <v>1.83E-2</v>
      </c>
      <c r="J84" s="47">
        <v>0.20180000000000001</v>
      </c>
      <c r="K84" s="26">
        <v>2177271722.0999999</v>
      </c>
      <c r="L84" s="27">
        <f t="shared" si="39"/>
        <v>9.5014175814270713E-3</v>
      </c>
      <c r="M84" s="32">
        <v>1212.52</v>
      </c>
      <c r="N84" s="32">
        <v>1212.52</v>
      </c>
      <c r="O84" s="29">
        <v>361</v>
      </c>
      <c r="P84" s="47">
        <v>1.9199999999999998E-2</v>
      </c>
      <c r="Q84" s="47">
        <v>0.20849999999999999</v>
      </c>
      <c r="R84" s="53">
        <f t="shared" si="40"/>
        <v>5.7578563941322734E-2</v>
      </c>
      <c r="S84" s="53">
        <f t="shared" si="41"/>
        <v>2.6626974282643076E-3</v>
      </c>
      <c r="T84" s="53">
        <f t="shared" si="42"/>
        <v>-1.9021739130434784E-2</v>
      </c>
      <c r="U84" s="54">
        <f t="shared" si="43"/>
        <v>8.9999999999999802E-4</v>
      </c>
      <c r="V84" s="55">
        <f t="shared" si="44"/>
        <v>6.6999999999999837E-3</v>
      </c>
    </row>
    <row r="85" spans="1:22">
      <c r="A85" s="138">
        <v>74</v>
      </c>
      <c r="B85" s="139" t="s">
        <v>124</v>
      </c>
      <c r="C85" s="140" t="s">
        <v>68</v>
      </c>
      <c r="D85" s="26">
        <v>162275896.02000001</v>
      </c>
      <c r="E85" s="27">
        <f t="shared" si="45"/>
        <v>7.3477227500545143E-4</v>
      </c>
      <c r="F85" s="32">
        <v>1105.6600000000001</v>
      </c>
      <c r="G85" s="32">
        <v>1122.92</v>
      </c>
      <c r="H85" s="29">
        <v>71</v>
      </c>
      <c r="I85" s="47">
        <v>1.5E-3</v>
      </c>
      <c r="J85" s="47">
        <v>0.1024</v>
      </c>
      <c r="K85" s="26">
        <v>162996632.69</v>
      </c>
      <c r="L85" s="27">
        <f t="shared" si="39"/>
        <v>7.1130261594562981E-4</v>
      </c>
      <c r="M85" s="32">
        <v>1110.19</v>
      </c>
      <c r="N85" s="32">
        <v>1128.32</v>
      </c>
      <c r="O85" s="29">
        <v>72</v>
      </c>
      <c r="P85" s="47">
        <v>4.8999999999999998E-3</v>
      </c>
      <c r="Q85" s="47">
        <v>0.10730000000000001</v>
      </c>
      <c r="R85" s="53">
        <f t="shared" si="40"/>
        <v>4.4414277639308695E-3</v>
      </c>
      <c r="S85" s="53">
        <f t="shared" si="41"/>
        <v>4.8088911053324043E-3</v>
      </c>
      <c r="T85" s="53">
        <f t="shared" si="42"/>
        <v>1.4084507042253521E-2</v>
      </c>
      <c r="U85" s="54">
        <f t="shared" si="43"/>
        <v>3.3999999999999998E-3</v>
      </c>
      <c r="V85" s="55">
        <f t="shared" si="44"/>
        <v>4.9000000000000016E-3</v>
      </c>
    </row>
    <row r="86" spans="1:22">
      <c r="A86" s="138">
        <v>75</v>
      </c>
      <c r="B86" s="139" t="s">
        <v>125</v>
      </c>
      <c r="C86" s="140" t="s">
        <v>71</v>
      </c>
      <c r="D86" s="26">
        <v>681568004.76999998</v>
      </c>
      <c r="E86" s="27">
        <f t="shared" si="45"/>
        <v>3.0860853997321789E-3</v>
      </c>
      <c r="F86" s="58">
        <v>1.1433</v>
      </c>
      <c r="G86" s="58">
        <v>1.1433</v>
      </c>
      <c r="H86" s="29">
        <v>50</v>
      </c>
      <c r="I86" s="47">
        <v>1.5E-3</v>
      </c>
      <c r="J86" s="47">
        <v>0.111</v>
      </c>
      <c r="K86" s="26">
        <v>683720079.35000002</v>
      </c>
      <c r="L86" s="27">
        <f t="shared" si="39"/>
        <v>2.9836928100297226E-3</v>
      </c>
      <c r="M86" s="58">
        <v>1.1499999999999999</v>
      </c>
      <c r="N86" s="58">
        <v>1.1462000000000001</v>
      </c>
      <c r="O86" s="29">
        <v>51</v>
      </c>
      <c r="P86" s="47">
        <v>1.5E-3</v>
      </c>
      <c r="Q86" s="47">
        <v>0.1106</v>
      </c>
      <c r="R86" s="53">
        <f t="shared" si="40"/>
        <v>3.1575346332847242E-3</v>
      </c>
      <c r="S86" s="53">
        <f t="shared" si="41"/>
        <v>2.5365170996240046E-3</v>
      </c>
      <c r="T86" s="53">
        <f t="shared" si="42"/>
        <v>0.02</v>
      </c>
      <c r="U86" s="54">
        <f t="shared" si="43"/>
        <v>0</v>
      </c>
      <c r="V86" s="55">
        <f t="shared" si="44"/>
        <v>-3.9999999999999758E-4</v>
      </c>
    </row>
    <row r="87" spans="1:22">
      <c r="A87" s="138">
        <v>76</v>
      </c>
      <c r="B87" s="139" t="s">
        <v>126</v>
      </c>
      <c r="C87" s="140" t="s">
        <v>29</v>
      </c>
      <c r="D87" s="26">
        <v>11795166768.440001</v>
      </c>
      <c r="E87" s="27">
        <f t="shared" si="45"/>
        <v>5.3407571506782534E-2</v>
      </c>
      <c r="F87" s="58">
        <v>1728.49</v>
      </c>
      <c r="G87" s="58">
        <v>1728.49</v>
      </c>
      <c r="H87" s="29">
        <v>2066</v>
      </c>
      <c r="I87" s="47">
        <v>6.9999999999999999E-4</v>
      </c>
      <c r="J87" s="47">
        <v>2.1000000000000001E-2</v>
      </c>
      <c r="K87" s="26">
        <v>11750230997.02</v>
      </c>
      <c r="L87" s="27">
        <f t="shared" si="39"/>
        <v>5.1276949150487097E-2</v>
      </c>
      <c r="M87" s="58">
        <v>1729.66</v>
      </c>
      <c r="N87" s="58">
        <v>1729.66</v>
      </c>
      <c r="O87" s="29">
        <v>2065</v>
      </c>
      <c r="P87" s="47">
        <v>6.9999999999999999E-4</v>
      </c>
      <c r="Q87" s="47">
        <v>2.1700000000000001E-2</v>
      </c>
      <c r="R87" s="53">
        <f t="shared" si="40"/>
        <v>-3.8096766499506789E-3</v>
      </c>
      <c r="S87" s="53">
        <f t="shared" si="41"/>
        <v>6.7689139075150721E-4</v>
      </c>
      <c r="T87" s="53">
        <f t="shared" si="42"/>
        <v>-4.8402710551790902E-4</v>
      </c>
      <c r="U87" s="54">
        <f t="shared" si="43"/>
        <v>0</v>
      </c>
      <c r="V87" s="55">
        <f t="shared" si="44"/>
        <v>6.9999999999999923E-4</v>
      </c>
    </row>
    <row r="88" spans="1:22">
      <c r="A88" s="138">
        <v>77</v>
      </c>
      <c r="B88" s="139" t="s">
        <v>127</v>
      </c>
      <c r="C88" s="140" t="s">
        <v>76</v>
      </c>
      <c r="D88" s="26">
        <v>23240582.780000001</v>
      </c>
      <c r="E88" s="27">
        <f t="shared" si="45"/>
        <v>1.0523149956669159E-4</v>
      </c>
      <c r="F88" s="57">
        <v>0.70879999999999999</v>
      </c>
      <c r="G88" s="57">
        <v>0.70879999999999999</v>
      </c>
      <c r="H88" s="29">
        <v>746</v>
      </c>
      <c r="I88" s="47">
        <v>-1.6999999999999999E-3</v>
      </c>
      <c r="J88" s="47">
        <v>-1.0999999999999999E-2</v>
      </c>
      <c r="K88" s="26">
        <v>23105996.969999999</v>
      </c>
      <c r="L88" s="27">
        <f t="shared" si="39"/>
        <v>1.0083248848490551E-4</v>
      </c>
      <c r="M88" s="57">
        <v>0.70469999999999999</v>
      </c>
      <c r="N88" s="57">
        <v>0.70469999999999999</v>
      </c>
      <c r="O88" s="29">
        <v>746</v>
      </c>
      <c r="P88" s="47">
        <v>-5.7999999999999996E-3</v>
      </c>
      <c r="Q88" s="47">
        <v>-1.67E-2</v>
      </c>
      <c r="R88" s="53">
        <f t="shared" si="40"/>
        <v>-5.7909825787941099E-3</v>
      </c>
      <c r="S88" s="53">
        <f t="shared" si="41"/>
        <v>-5.784424379232495E-3</v>
      </c>
      <c r="T88" s="53">
        <f t="shared" si="42"/>
        <v>0</v>
      </c>
      <c r="U88" s="54">
        <f t="shared" si="43"/>
        <v>-4.0999999999999995E-3</v>
      </c>
      <c r="V88" s="55">
        <f t="shared" si="44"/>
        <v>-5.7000000000000002E-3</v>
      </c>
    </row>
    <row r="89" spans="1:22">
      <c r="A89" s="138">
        <v>78</v>
      </c>
      <c r="B89" s="139" t="s">
        <v>128</v>
      </c>
      <c r="C89" s="140" t="s">
        <v>35</v>
      </c>
      <c r="D89" s="26">
        <v>10564378799.700001</v>
      </c>
      <c r="E89" s="27">
        <f t="shared" si="45"/>
        <v>4.7834662048134594E-2</v>
      </c>
      <c r="F89" s="57">
        <v>1</v>
      </c>
      <c r="G89" s="57">
        <v>1</v>
      </c>
      <c r="H89" s="29">
        <v>4351</v>
      </c>
      <c r="I89" s="47">
        <v>0.06</v>
      </c>
      <c r="J89" s="47">
        <v>0.06</v>
      </c>
      <c r="K89" s="26">
        <v>10566316984.889999</v>
      </c>
      <c r="L89" s="27">
        <f t="shared" si="39"/>
        <v>4.6110455094843822E-2</v>
      </c>
      <c r="M89" s="57">
        <v>1</v>
      </c>
      <c r="N89" s="57">
        <v>1</v>
      </c>
      <c r="O89" s="29">
        <v>4360</v>
      </c>
      <c r="P89" s="47">
        <v>0.06</v>
      </c>
      <c r="Q89" s="47">
        <v>0.06</v>
      </c>
      <c r="R89" s="53">
        <f t="shared" si="40"/>
        <v>1.8346418911575432E-4</v>
      </c>
      <c r="S89" s="53">
        <f t="shared" si="41"/>
        <v>0</v>
      </c>
      <c r="T89" s="53">
        <f t="shared" si="42"/>
        <v>2.0684900022983222E-3</v>
      </c>
      <c r="U89" s="54">
        <f t="shared" si="43"/>
        <v>0</v>
      </c>
      <c r="V89" s="55">
        <f t="shared" si="44"/>
        <v>0</v>
      </c>
    </row>
    <row r="90" spans="1:22">
      <c r="A90" s="138">
        <v>79</v>
      </c>
      <c r="B90" s="139" t="s">
        <v>129</v>
      </c>
      <c r="C90" s="140" t="s">
        <v>130</v>
      </c>
      <c r="D90" s="26">
        <v>1575339733.6700001</v>
      </c>
      <c r="E90" s="27">
        <f t="shared" si="45"/>
        <v>7.1330122858944351E-3</v>
      </c>
      <c r="F90" s="26">
        <v>258.66000000000003</v>
      </c>
      <c r="G90" s="26">
        <v>261.62</v>
      </c>
      <c r="H90" s="29">
        <v>562</v>
      </c>
      <c r="I90" s="47">
        <v>3.0000000000000001E-3</v>
      </c>
      <c r="J90" s="47">
        <v>0.18729999999999999</v>
      </c>
      <c r="K90" s="26">
        <v>1557258913.23</v>
      </c>
      <c r="L90" s="27">
        <f t="shared" si="39"/>
        <v>6.795737558528748E-3</v>
      </c>
      <c r="M90" s="26">
        <v>260.14999999999998</v>
      </c>
      <c r="N90" s="26">
        <v>263.23</v>
      </c>
      <c r="O90" s="29">
        <v>562</v>
      </c>
      <c r="P90" s="47">
        <v>3.0000000000000001E-3</v>
      </c>
      <c r="Q90" s="47">
        <v>0.18559999999999999</v>
      </c>
      <c r="R90" s="53">
        <f t="shared" si="40"/>
        <v>-1.1477410271293013E-2</v>
      </c>
      <c r="S90" s="53">
        <f t="shared" si="41"/>
        <v>6.1539637642382605E-3</v>
      </c>
      <c r="T90" s="53">
        <f t="shared" si="42"/>
        <v>0</v>
      </c>
      <c r="U90" s="54">
        <f t="shared" si="43"/>
        <v>0</v>
      </c>
      <c r="V90" s="55">
        <f t="shared" si="44"/>
        <v>-1.7000000000000071E-3</v>
      </c>
    </row>
    <row r="91" spans="1:22">
      <c r="A91" s="138">
        <v>80</v>
      </c>
      <c r="B91" s="139" t="s">
        <v>131</v>
      </c>
      <c r="C91" s="140" t="s">
        <v>39</v>
      </c>
      <c r="D91" s="26">
        <v>1137131881.25</v>
      </c>
      <c r="E91" s="27">
        <f t="shared" si="45"/>
        <v>5.1488421870387602E-3</v>
      </c>
      <c r="F91" s="57">
        <v>3.86</v>
      </c>
      <c r="G91" s="57">
        <v>3.86</v>
      </c>
      <c r="H91" s="43">
        <v>770</v>
      </c>
      <c r="I91" s="50">
        <v>1.6000000000000001E-3</v>
      </c>
      <c r="J91" s="50">
        <v>0.1135</v>
      </c>
      <c r="K91" s="26">
        <v>1139063319.79</v>
      </c>
      <c r="L91" s="27">
        <f t="shared" si="39"/>
        <v>4.9707696761765573E-3</v>
      </c>
      <c r="M91" s="57">
        <v>3.87</v>
      </c>
      <c r="N91" s="57">
        <v>3.87</v>
      </c>
      <c r="O91" s="43">
        <v>770</v>
      </c>
      <c r="P91" s="50">
        <v>1.6999999999999999E-3</v>
      </c>
      <c r="Q91" s="50">
        <v>0.1129</v>
      </c>
      <c r="R91" s="53">
        <f t="shared" si="40"/>
        <v>1.6985176230190774E-3</v>
      </c>
      <c r="S91" s="53">
        <f t="shared" si="41"/>
        <v>2.5906735751295936E-3</v>
      </c>
      <c r="T91" s="53">
        <f t="shared" si="42"/>
        <v>0</v>
      </c>
      <c r="U91" s="54">
        <f t="shared" si="43"/>
        <v>9.9999999999999829E-5</v>
      </c>
      <c r="V91" s="55">
        <f t="shared" si="44"/>
        <v>-6.0000000000000331E-4</v>
      </c>
    </row>
    <row r="92" spans="1:22">
      <c r="A92" s="138">
        <v>81</v>
      </c>
      <c r="B92" s="139" t="s">
        <v>132</v>
      </c>
      <c r="C92" s="140" t="s">
        <v>41</v>
      </c>
      <c r="D92" s="26">
        <v>614015140.67000008</v>
      </c>
      <c r="E92" s="27">
        <f t="shared" si="45"/>
        <v>2.7802114353587298E-3</v>
      </c>
      <c r="F92" s="57">
        <v>113.57</v>
      </c>
      <c r="G92" s="57">
        <v>113.57</v>
      </c>
      <c r="H92" s="43">
        <v>72</v>
      </c>
      <c r="I92" s="50">
        <v>0.14990000000000001</v>
      </c>
      <c r="J92" s="50">
        <v>0.1731</v>
      </c>
      <c r="K92" s="26">
        <v>616156440.65999997</v>
      </c>
      <c r="L92" s="27">
        <f t="shared" si="39"/>
        <v>2.6888511795624031E-3</v>
      </c>
      <c r="M92" s="57">
        <v>113.88</v>
      </c>
      <c r="N92" s="57">
        <v>113.88</v>
      </c>
      <c r="O92" s="43">
        <v>75</v>
      </c>
      <c r="P92" s="50">
        <v>0.1525</v>
      </c>
      <c r="Q92" s="50">
        <v>0.1757</v>
      </c>
      <c r="R92" s="53">
        <f t="shared" si="40"/>
        <v>3.4873732717133816E-3</v>
      </c>
      <c r="S92" s="53">
        <f t="shared" si="41"/>
        <v>2.7295940829444596E-3</v>
      </c>
      <c r="T92" s="53">
        <f t="shared" si="42"/>
        <v>4.1666666666666664E-2</v>
      </c>
      <c r="U92" s="54">
        <f t="shared" si="43"/>
        <v>2.5999999999999912E-3</v>
      </c>
      <c r="V92" s="55">
        <f t="shared" si="44"/>
        <v>2.5999999999999912E-3</v>
      </c>
    </row>
    <row r="93" spans="1:22">
      <c r="A93" s="138">
        <v>82</v>
      </c>
      <c r="B93" s="140" t="s">
        <v>133</v>
      </c>
      <c r="C93" s="174" t="s">
        <v>45</v>
      </c>
      <c r="D93" s="26">
        <v>961241740.00999999</v>
      </c>
      <c r="E93" s="27">
        <f t="shared" si="45"/>
        <v>4.3524256988252755E-3</v>
      </c>
      <c r="F93" s="57">
        <v>106.71</v>
      </c>
      <c r="G93" s="57">
        <v>106.71</v>
      </c>
      <c r="H93" s="29">
        <v>289</v>
      </c>
      <c r="I93" s="47">
        <v>1E-4</v>
      </c>
      <c r="J93" s="47">
        <v>9.3899999999999997E-2</v>
      </c>
      <c r="K93" s="26">
        <v>961241740.00999999</v>
      </c>
      <c r="L93" s="27">
        <f t="shared" si="39"/>
        <v>4.1947723271413924E-3</v>
      </c>
      <c r="M93" s="57">
        <v>106.71</v>
      </c>
      <c r="N93" s="57">
        <v>106.71</v>
      </c>
      <c r="O93" s="29">
        <v>289</v>
      </c>
      <c r="P93" s="47">
        <v>8.9999999999999998E-4</v>
      </c>
      <c r="Q93" s="47">
        <v>0.1012</v>
      </c>
      <c r="R93" s="53">
        <f t="shared" si="40"/>
        <v>0</v>
      </c>
      <c r="S93" s="53">
        <f t="shared" si="41"/>
        <v>0</v>
      </c>
      <c r="T93" s="53">
        <f t="shared" si="42"/>
        <v>0</v>
      </c>
      <c r="U93" s="54">
        <f t="shared" si="43"/>
        <v>7.9999999999999993E-4</v>
      </c>
      <c r="V93" s="55">
        <f t="shared" si="44"/>
        <v>7.3000000000000009E-3</v>
      </c>
    </row>
    <row r="94" spans="1:22">
      <c r="A94" s="138">
        <v>83</v>
      </c>
      <c r="B94" s="139" t="s">
        <v>134</v>
      </c>
      <c r="C94" s="140" t="s">
        <v>17</v>
      </c>
      <c r="D94" s="26">
        <v>1505398954.04</v>
      </c>
      <c r="E94" s="27">
        <f t="shared" si="45"/>
        <v>6.8163260310358798E-3</v>
      </c>
      <c r="F94" s="57">
        <v>370.88690000000003</v>
      </c>
      <c r="G94" s="57">
        <v>370.88690000000003</v>
      </c>
      <c r="H94" s="29">
        <v>90</v>
      </c>
      <c r="I94" s="47">
        <v>3.0999999999999999E-3</v>
      </c>
      <c r="J94" s="47">
        <v>7.9799999999999996E-2</v>
      </c>
      <c r="K94" s="171">
        <v>1512005531.72</v>
      </c>
      <c r="L94" s="27">
        <f t="shared" si="39"/>
        <v>6.5982558798141459E-3</v>
      </c>
      <c r="M94" s="57">
        <v>371.85019999999997</v>
      </c>
      <c r="N94" s="57">
        <v>371.85019999999997</v>
      </c>
      <c r="O94" s="29">
        <v>90</v>
      </c>
      <c r="P94" s="47">
        <v>2.5999999999999999E-3</v>
      </c>
      <c r="Q94" s="47">
        <v>8.2600000000000007E-2</v>
      </c>
      <c r="R94" s="53">
        <f t="shared" si="40"/>
        <v>4.3885892588606933E-3</v>
      </c>
      <c r="S94" s="53">
        <f t="shared" si="41"/>
        <v>2.5972877445926156E-3</v>
      </c>
      <c r="T94" s="53">
        <f t="shared" si="42"/>
        <v>0</v>
      </c>
      <c r="U94" s="54">
        <f t="shared" si="43"/>
        <v>-5.0000000000000001E-4</v>
      </c>
      <c r="V94" s="55">
        <f t="shared" si="44"/>
        <v>2.8000000000000108E-3</v>
      </c>
    </row>
    <row r="95" spans="1:22">
      <c r="A95" s="138">
        <v>84</v>
      </c>
      <c r="B95" s="139" t="s">
        <v>135</v>
      </c>
      <c r="C95" s="140" t="s">
        <v>85</v>
      </c>
      <c r="D95" s="41">
        <v>1531526247</v>
      </c>
      <c r="E95" s="27">
        <f>(D95/$K$69)</f>
        <v>4.2619707498439821E-4</v>
      </c>
      <c r="F95" s="57">
        <v>102.34</v>
      </c>
      <c r="G95" s="57">
        <v>102.34</v>
      </c>
      <c r="H95" s="29">
        <v>399</v>
      </c>
      <c r="I95" s="47">
        <v>3.8999999999999998E-3</v>
      </c>
      <c r="J95" s="47">
        <v>0.13950000000000001</v>
      </c>
      <c r="K95" s="41">
        <v>1765917485</v>
      </c>
      <c r="L95" s="27">
        <f>(K95/$K$69)</f>
        <v>4.914240733680386E-4</v>
      </c>
      <c r="M95" s="57">
        <v>102.38</v>
      </c>
      <c r="N95" s="57">
        <v>102.38</v>
      </c>
      <c r="O95" s="29">
        <v>399</v>
      </c>
      <c r="P95" s="47">
        <v>4.0000000000000002E-4</v>
      </c>
      <c r="Q95" s="47">
        <v>0.13569999999999999</v>
      </c>
      <c r="R95" s="53">
        <f t="shared" si="40"/>
        <v>0.15304421877139399</v>
      </c>
      <c r="S95" s="53">
        <f t="shared" si="41"/>
        <v>3.9085401602493691E-4</v>
      </c>
      <c r="T95" s="53">
        <f t="shared" si="42"/>
        <v>0</v>
      </c>
      <c r="U95" s="54">
        <f t="shared" si="43"/>
        <v>-3.4999999999999996E-3</v>
      </c>
      <c r="V95" s="55">
        <f t="shared" si="44"/>
        <v>-3.8000000000000256E-3</v>
      </c>
    </row>
    <row r="96" spans="1:22">
      <c r="A96" s="138">
        <v>85</v>
      </c>
      <c r="B96" s="139" t="s">
        <v>136</v>
      </c>
      <c r="C96" s="140" t="s">
        <v>43</v>
      </c>
      <c r="D96" s="26">
        <v>62557692.590000004</v>
      </c>
      <c r="E96" s="27">
        <f t="shared" ref="E96:E109" si="51">(D96/$D$110)</f>
        <v>2.8325622739301247E-4</v>
      </c>
      <c r="F96" s="26">
        <v>12.775509</v>
      </c>
      <c r="G96" s="26">
        <v>13.257123</v>
      </c>
      <c r="H96" s="29">
        <v>59</v>
      </c>
      <c r="I96" s="47">
        <v>-1.6299999999999999E-2</v>
      </c>
      <c r="J96" s="47">
        <v>4.4299999999999999E-2</v>
      </c>
      <c r="K96" s="26">
        <v>65675009.049999997</v>
      </c>
      <c r="L96" s="27">
        <f t="shared" ref="L96:L109" si="52">(K96/$K$110)</f>
        <v>2.8659982092000549E-4</v>
      </c>
      <c r="M96" s="26">
        <v>3.590268</v>
      </c>
      <c r="N96" s="26">
        <v>3.6685050000000001</v>
      </c>
      <c r="O96" s="29">
        <v>60</v>
      </c>
      <c r="P96" s="47">
        <v>6.9999999999999999E-4</v>
      </c>
      <c r="Q96" s="47">
        <v>4.4999999999999998E-2</v>
      </c>
      <c r="R96" s="53">
        <f t="shared" si="40"/>
        <v>4.9831065228551984E-2</v>
      </c>
      <c r="S96" s="53">
        <f t="shared" si="41"/>
        <v>-0.72328045836189347</v>
      </c>
      <c r="T96" s="53">
        <f t="shared" si="42"/>
        <v>1.6949152542372881E-2</v>
      </c>
      <c r="U96" s="54">
        <f t="shared" si="43"/>
        <v>1.6999999999999998E-2</v>
      </c>
      <c r="V96" s="55">
        <f t="shared" si="44"/>
        <v>6.9999999999999923E-4</v>
      </c>
    </row>
    <row r="97" spans="1:22">
      <c r="A97" s="138">
        <v>86</v>
      </c>
      <c r="B97" s="139" t="s">
        <v>137</v>
      </c>
      <c r="C97" s="140" t="s">
        <v>138</v>
      </c>
      <c r="D97" s="26">
        <v>636331506.64999998</v>
      </c>
      <c r="E97" s="27">
        <f t="shared" si="51"/>
        <v>2.8812581551929425E-3</v>
      </c>
      <c r="F97" s="26">
        <v>145.47999999999999</v>
      </c>
      <c r="G97" s="26">
        <v>145.47999999999999</v>
      </c>
      <c r="H97" s="29">
        <v>149</v>
      </c>
      <c r="I97" s="47">
        <v>0.19040000000000001</v>
      </c>
      <c r="J97" s="47">
        <v>0.19550000000000001</v>
      </c>
      <c r="K97" s="26">
        <v>691298400.89999998</v>
      </c>
      <c r="L97" s="27">
        <f t="shared" si="52"/>
        <v>3.0167639223222333E-3</v>
      </c>
      <c r="M97" s="26">
        <v>145.96</v>
      </c>
      <c r="N97" s="26">
        <v>145.96</v>
      </c>
      <c r="O97" s="29">
        <v>152</v>
      </c>
      <c r="P97" s="47">
        <v>0.18679999999999999</v>
      </c>
      <c r="Q97" s="47">
        <v>0.19520000000000001</v>
      </c>
      <c r="R97" s="53">
        <f t="shared" si="40"/>
        <v>8.6380909440389092E-2</v>
      </c>
      <c r="S97" s="53">
        <f t="shared" si="41"/>
        <v>3.2994226010449423E-3</v>
      </c>
      <c r="T97" s="53">
        <f t="shared" si="42"/>
        <v>2.0134228187919462E-2</v>
      </c>
      <c r="U97" s="54">
        <f t="shared" si="43"/>
        <v>-3.6000000000000199E-3</v>
      </c>
      <c r="V97" s="55">
        <f t="shared" si="44"/>
        <v>-2.9999999999999472E-4</v>
      </c>
    </row>
    <row r="98" spans="1:22">
      <c r="A98" s="138">
        <v>87</v>
      </c>
      <c r="B98" s="139" t="s">
        <v>139</v>
      </c>
      <c r="C98" s="140" t="s">
        <v>140</v>
      </c>
      <c r="D98" s="26">
        <v>9621419645.8525639</v>
      </c>
      <c r="E98" s="27">
        <f t="shared" si="51"/>
        <v>4.3565018436835079E-2</v>
      </c>
      <c r="F98" s="26">
        <v>1.1000000000000001</v>
      </c>
      <c r="G98" s="26">
        <v>1.1000000000000001</v>
      </c>
      <c r="H98" s="29">
        <v>4873</v>
      </c>
      <c r="I98" s="47">
        <v>0.1903</v>
      </c>
      <c r="J98" s="47">
        <v>0.1903</v>
      </c>
      <c r="K98" s="26">
        <v>9661935916.25</v>
      </c>
      <c r="L98" s="27">
        <f t="shared" si="52"/>
        <v>4.2163817613327291E-2</v>
      </c>
      <c r="M98" s="26">
        <v>1.1000000000000001</v>
      </c>
      <c r="N98" s="26">
        <v>1.1000000000000001</v>
      </c>
      <c r="O98" s="29">
        <v>4893</v>
      </c>
      <c r="P98" s="47">
        <v>0.19009999999999999</v>
      </c>
      <c r="Q98" s="47">
        <v>0.19009999999999999</v>
      </c>
      <c r="R98" s="53">
        <f t="shared" si="40"/>
        <v>4.2110490851421491E-3</v>
      </c>
      <c r="S98" s="53">
        <f t="shared" si="41"/>
        <v>0</v>
      </c>
      <c r="T98" s="53">
        <f t="shared" si="42"/>
        <v>4.1042478965729531E-3</v>
      </c>
      <c r="U98" s="54">
        <f t="shared" si="43"/>
        <v>-2.0000000000000573E-4</v>
      </c>
      <c r="V98" s="55">
        <f t="shared" si="44"/>
        <v>-2.0000000000000573E-4</v>
      </c>
    </row>
    <row r="99" spans="1:22" ht="14.25" customHeight="1">
      <c r="A99" s="138">
        <v>88</v>
      </c>
      <c r="B99" s="139" t="s">
        <v>141</v>
      </c>
      <c r="C99" s="140" t="s">
        <v>47</v>
      </c>
      <c r="D99" s="26">
        <v>7753863016.8800001</v>
      </c>
      <c r="E99" s="27">
        <f t="shared" si="51"/>
        <v>3.5108871426544903E-2</v>
      </c>
      <c r="F99" s="26">
        <v>5176.01</v>
      </c>
      <c r="G99" s="26">
        <v>5176.01</v>
      </c>
      <c r="H99" s="29">
        <v>236</v>
      </c>
      <c r="I99" s="47">
        <v>0</v>
      </c>
      <c r="J99" s="47">
        <v>1.6999999999999999E-3</v>
      </c>
      <c r="K99" s="26">
        <v>7530745221.1099997</v>
      </c>
      <c r="L99" s="27">
        <f t="shared" si="52"/>
        <v>3.2863493480771944E-2</v>
      </c>
      <c r="M99" s="26">
        <v>5176.01</v>
      </c>
      <c r="N99" s="26">
        <v>5176.01</v>
      </c>
      <c r="O99" s="29">
        <v>235</v>
      </c>
      <c r="P99" s="47">
        <v>0</v>
      </c>
      <c r="Q99" s="47">
        <v>1.6999999999999999E-3</v>
      </c>
      <c r="R99" s="53">
        <f t="shared" si="40"/>
        <v>-2.8775049969837953E-2</v>
      </c>
      <c r="S99" s="53">
        <f t="shared" si="41"/>
        <v>0</v>
      </c>
      <c r="T99" s="53">
        <f t="shared" si="42"/>
        <v>-4.2372881355932203E-3</v>
      </c>
      <c r="U99" s="54">
        <f t="shared" si="43"/>
        <v>0</v>
      </c>
      <c r="V99" s="55">
        <f t="shared" si="44"/>
        <v>0</v>
      </c>
    </row>
    <row r="100" spans="1:22" ht="13.5" customHeight="1">
      <c r="A100" s="138">
        <v>89</v>
      </c>
      <c r="B100" s="139" t="s">
        <v>142</v>
      </c>
      <c r="C100" s="140" t="s">
        <v>47</v>
      </c>
      <c r="D100" s="26">
        <v>16803967610.65</v>
      </c>
      <c r="E100" s="27">
        <f t="shared" si="51"/>
        <v>7.6087021013111392E-2</v>
      </c>
      <c r="F100" s="57">
        <v>259.14</v>
      </c>
      <c r="G100" s="57">
        <v>259.14</v>
      </c>
      <c r="H100" s="29">
        <v>6150</v>
      </c>
      <c r="I100" s="47">
        <v>0</v>
      </c>
      <c r="J100" s="47">
        <v>1.1000000000000001E-3</v>
      </c>
      <c r="K100" s="26">
        <v>16790970437.969999</v>
      </c>
      <c r="L100" s="27">
        <f t="shared" si="52"/>
        <v>7.3274281803777055E-2</v>
      </c>
      <c r="M100" s="57">
        <v>259.14999999999998</v>
      </c>
      <c r="N100" s="57">
        <v>259.14999999999998</v>
      </c>
      <c r="O100" s="29">
        <v>6144</v>
      </c>
      <c r="P100" s="47">
        <v>0</v>
      </c>
      <c r="Q100" s="47">
        <v>1.1999999999999999E-3</v>
      </c>
      <c r="R100" s="53">
        <f t="shared" si="40"/>
        <v>-7.7345856533090262E-4</v>
      </c>
      <c r="S100" s="53">
        <f t="shared" si="41"/>
        <v>3.8589179594006739E-5</v>
      </c>
      <c r="T100" s="53">
        <f t="shared" si="42"/>
        <v>-9.7560975609756097E-4</v>
      </c>
      <c r="U100" s="54">
        <f t="shared" si="43"/>
        <v>0</v>
      </c>
      <c r="V100" s="55">
        <f t="shared" si="44"/>
        <v>9.9999999999999829E-5</v>
      </c>
    </row>
    <row r="101" spans="1:22" ht="13.5" customHeight="1">
      <c r="A101" s="138">
        <v>90</v>
      </c>
      <c r="B101" s="139" t="s">
        <v>143</v>
      </c>
      <c r="C101" s="140" t="s">
        <v>47</v>
      </c>
      <c r="D101" s="26">
        <v>536175182.19</v>
      </c>
      <c r="E101" s="27">
        <f t="shared" si="51"/>
        <v>2.4277583306066201E-3</v>
      </c>
      <c r="F101" s="32">
        <v>8855.68</v>
      </c>
      <c r="G101" s="32">
        <v>8893.85</v>
      </c>
      <c r="H101" s="29">
        <v>15</v>
      </c>
      <c r="I101" s="47">
        <v>1.8599999999999998E-2</v>
      </c>
      <c r="J101" s="47">
        <v>0.30349999999999999</v>
      </c>
      <c r="K101" s="26">
        <v>543648999.07000005</v>
      </c>
      <c r="L101" s="27">
        <f t="shared" si="52"/>
        <v>2.3724352387706638E-3</v>
      </c>
      <c r="M101" s="32">
        <v>8978.7099999999991</v>
      </c>
      <c r="N101" s="32">
        <v>9018.11</v>
      </c>
      <c r="O101" s="29">
        <v>15</v>
      </c>
      <c r="P101" s="47">
        <v>0.14000000000000001</v>
      </c>
      <c r="Q101" s="47">
        <v>0.32169999999999999</v>
      </c>
      <c r="R101" s="53">
        <f t="shared" si="40"/>
        <v>1.3939132448229615E-2</v>
      </c>
      <c r="S101" s="53">
        <f t="shared" si="41"/>
        <v>1.3971452183250247E-2</v>
      </c>
      <c r="T101" s="53">
        <f t="shared" si="42"/>
        <v>0</v>
      </c>
      <c r="U101" s="54">
        <f t="shared" si="43"/>
        <v>0.12140000000000001</v>
      </c>
      <c r="V101" s="55">
        <f t="shared" si="44"/>
        <v>1.8199999999999994E-2</v>
      </c>
    </row>
    <row r="102" spans="1:22" ht="15" customHeight="1">
      <c r="A102" s="138">
        <v>91</v>
      </c>
      <c r="B102" s="139" t="s">
        <v>144</v>
      </c>
      <c r="C102" s="140" t="s">
        <v>47</v>
      </c>
      <c r="D102" s="26">
        <v>6304173028.1099997</v>
      </c>
      <c r="E102" s="27">
        <f t="shared" si="51"/>
        <v>2.8544791133499545E-2</v>
      </c>
      <c r="F102" s="57">
        <v>151.5</v>
      </c>
      <c r="G102" s="57">
        <v>151.5</v>
      </c>
      <c r="H102" s="29">
        <v>4737</v>
      </c>
      <c r="I102" s="47">
        <v>3.2000000000000002E-3</v>
      </c>
      <c r="J102" s="47">
        <v>9.8799999999999999E-2</v>
      </c>
      <c r="K102" s="26">
        <v>6293134818.2700005</v>
      </c>
      <c r="L102" s="27">
        <f t="shared" si="52"/>
        <v>2.7462673215141849E-2</v>
      </c>
      <c r="M102" s="57">
        <v>151.97</v>
      </c>
      <c r="N102" s="57">
        <v>151.97</v>
      </c>
      <c r="O102" s="29">
        <v>4750</v>
      </c>
      <c r="P102" s="47">
        <v>3.0999999999999999E-3</v>
      </c>
      <c r="Q102" s="47">
        <v>0.1022</v>
      </c>
      <c r="R102" s="53">
        <f t="shared" si="40"/>
        <v>-1.7509370048665162E-3</v>
      </c>
      <c r="S102" s="53">
        <f t="shared" si="41"/>
        <v>3.1023102310230948E-3</v>
      </c>
      <c r="T102" s="53">
        <f t="shared" si="42"/>
        <v>2.744352966012244E-3</v>
      </c>
      <c r="U102" s="54">
        <f t="shared" si="43"/>
        <v>-1.0000000000000026E-4</v>
      </c>
      <c r="V102" s="55">
        <f t="shared" si="44"/>
        <v>3.4000000000000002E-3</v>
      </c>
    </row>
    <row r="103" spans="1:22" ht="15" customHeight="1">
      <c r="A103" s="138">
        <v>92</v>
      </c>
      <c r="B103" s="139" t="s">
        <v>145</v>
      </c>
      <c r="C103" s="140" t="s">
        <v>47</v>
      </c>
      <c r="D103" s="26">
        <v>7273041463.8800001</v>
      </c>
      <c r="E103" s="27">
        <f t="shared" si="51"/>
        <v>3.2931749900585672E-2</v>
      </c>
      <c r="F103" s="57">
        <v>386.07</v>
      </c>
      <c r="G103" s="57">
        <v>386.86</v>
      </c>
      <c r="H103" s="29">
        <v>10363</v>
      </c>
      <c r="I103" s="47">
        <v>4.3E-3</v>
      </c>
      <c r="J103" s="47">
        <v>9.2100000000000001E-2</v>
      </c>
      <c r="K103" s="26">
        <v>7252664358.9700003</v>
      </c>
      <c r="L103" s="27">
        <f t="shared" si="52"/>
        <v>3.16499736587963E-2</v>
      </c>
      <c r="M103" s="57">
        <v>385.47</v>
      </c>
      <c r="N103" s="57">
        <v>386.24</v>
      </c>
      <c r="O103" s="29">
        <v>10400</v>
      </c>
      <c r="P103" s="47">
        <v>-1.6000000000000001E-3</v>
      </c>
      <c r="Q103" s="47">
        <v>9.0300000000000005E-2</v>
      </c>
      <c r="R103" s="53">
        <f t="shared" si="40"/>
        <v>-2.8017308867546494E-3</v>
      </c>
      <c r="S103" s="53">
        <f t="shared" si="41"/>
        <v>-1.6026469523858877E-3</v>
      </c>
      <c r="T103" s="53">
        <f t="shared" si="42"/>
        <v>3.5703946733571358E-3</v>
      </c>
      <c r="U103" s="54">
        <f t="shared" si="43"/>
        <v>-5.8999999999999999E-3</v>
      </c>
      <c r="V103" s="55">
        <f t="shared" si="44"/>
        <v>-1.799999999999996E-3</v>
      </c>
    </row>
    <row r="104" spans="1:22" ht="15" customHeight="1">
      <c r="A104" s="138">
        <v>93</v>
      </c>
      <c r="B104" s="139" t="s">
        <v>314</v>
      </c>
      <c r="C104" s="140" t="s">
        <v>99</v>
      </c>
      <c r="D104" s="26">
        <v>84566247.239999995</v>
      </c>
      <c r="E104" s="27">
        <f t="shared" si="51"/>
        <v>3.829092021500845E-4</v>
      </c>
      <c r="F104" s="57">
        <v>102.126</v>
      </c>
      <c r="G104" s="57">
        <v>102.126</v>
      </c>
      <c r="H104" s="29">
        <v>22</v>
      </c>
      <c r="I104" s="47">
        <v>0.17505399999999999</v>
      </c>
      <c r="J104" s="47">
        <v>0.17244200000000001</v>
      </c>
      <c r="K104" s="26">
        <v>85877756.590000004</v>
      </c>
      <c r="L104" s="27">
        <f t="shared" si="52"/>
        <v>3.7476279053068247E-4</v>
      </c>
      <c r="M104" s="57">
        <v>102.80159999999999</v>
      </c>
      <c r="N104" s="57">
        <v>102.80159999999999</v>
      </c>
      <c r="O104" s="29">
        <v>23</v>
      </c>
      <c r="P104" s="47">
        <v>0.1757</v>
      </c>
      <c r="Q104" s="47">
        <v>0.17330000000000001</v>
      </c>
      <c r="R104" s="53">
        <f t="shared" ref="R104" si="53">((K104-D104)/D104)</f>
        <v>1.5508662058491612E-2</v>
      </c>
      <c r="S104" s="53">
        <f t="shared" ref="S104" si="54">((N104-G104)/G104)</f>
        <v>6.6153574995592565E-3</v>
      </c>
      <c r="T104" s="53">
        <f t="shared" ref="T104" si="55">((O104-H104)/H104)</f>
        <v>4.5454545454545456E-2</v>
      </c>
      <c r="U104" s="54">
        <f t="shared" ref="U104" si="56">P104-I104</f>
        <v>6.4600000000000768E-4</v>
      </c>
      <c r="V104" s="55">
        <f t="shared" ref="V104" si="57">Q104-J104</f>
        <v>8.5799999999999765E-4</v>
      </c>
    </row>
    <row r="105" spans="1:22">
      <c r="A105" s="138">
        <v>94</v>
      </c>
      <c r="B105" s="139" t="s">
        <v>146</v>
      </c>
      <c r="C105" s="140" t="s">
        <v>50</v>
      </c>
      <c r="D105" s="26">
        <v>86093579403.699997</v>
      </c>
      <c r="E105" s="27">
        <f t="shared" si="51"/>
        <v>0.38982483999979034</v>
      </c>
      <c r="F105" s="26">
        <v>1.9137999999999999</v>
      </c>
      <c r="G105" s="26">
        <v>1.9137999999999999</v>
      </c>
      <c r="H105" s="29">
        <v>6540</v>
      </c>
      <c r="I105" s="47">
        <v>4.4600000000000001E-2</v>
      </c>
      <c r="J105" s="47">
        <v>8.8099999999999998E-2</v>
      </c>
      <c r="K105" s="26">
        <v>86226170433.509995</v>
      </c>
      <c r="L105" s="27">
        <f t="shared" si="52"/>
        <v>0.37628323714501016</v>
      </c>
      <c r="M105" s="26">
        <v>1.9168000000000001</v>
      </c>
      <c r="N105" s="26">
        <v>1.9168000000000001</v>
      </c>
      <c r="O105" s="29">
        <v>6567</v>
      </c>
      <c r="P105" s="47">
        <v>1.5E-3</v>
      </c>
      <c r="Q105" s="47">
        <v>8.7800000000000003E-2</v>
      </c>
      <c r="R105" s="53">
        <f t="shared" si="40"/>
        <v>1.5400803489452695E-3</v>
      </c>
      <c r="S105" s="53">
        <f t="shared" si="41"/>
        <v>1.567561918695848E-3</v>
      </c>
      <c r="T105" s="53">
        <f t="shared" si="42"/>
        <v>4.1284403669724773E-3</v>
      </c>
      <c r="U105" s="54">
        <f t="shared" si="43"/>
        <v>-4.3099999999999999E-2</v>
      </c>
      <c r="V105" s="55">
        <f t="shared" si="44"/>
        <v>-2.9999999999999472E-4</v>
      </c>
    </row>
    <row r="106" spans="1:22">
      <c r="A106" s="138">
        <v>95</v>
      </c>
      <c r="B106" s="139" t="s">
        <v>147</v>
      </c>
      <c r="C106" s="140" t="s">
        <v>50</v>
      </c>
      <c r="D106" s="26">
        <v>42417103951.32</v>
      </c>
      <c r="E106" s="27">
        <f t="shared" si="51"/>
        <v>0.19206125329674897</v>
      </c>
      <c r="F106" s="26">
        <v>120.3415</v>
      </c>
      <c r="G106" s="26">
        <v>120.3415</v>
      </c>
      <c r="H106" s="29">
        <v>815</v>
      </c>
      <c r="I106" s="47">
        <v>0.18410000000000001</v>
      </c>
      <c r="J106" s="47">
        <v>0.21149999999999999</v>
      </c>
      <c r="K106" s="26">
        <v>50390263147.519997</v>
      </c>
      <c r="L106" s="27">
        <f t="shared" si="52"/>
        <v>0.21989856724947318</v>
      </c>
      <c r="M106" s="26">
        <v>120.71040000000001</v>
      </c>
      <c r="N106" s="26">
        <v>120.71040000000001</v>
      </c>
      <c r="O106" s="29">
        <v>840</v>
      </c>
      <c r="P106" s="47">
        <v>0.31</v>
      </c>
      <c r="Q106" s="47">
        <v>0.2102</v>
      </c>
      <c r="R106" s="53">
        <f t="shared" ref="R106:R108" si="58">((K106-D106)/D106)</f>
        <v>0.18797038113093234</v>
      </c>
      <c r="S106" s="53">
        <f t="shared" ref="S106:S108" si="59">((N106-G106)/G106)</f>
        <v>3.0654429270036577E-3</v>
      </c>
      <c r="T106" s="53">
        <f t="shared" ref="T106:T108" si="60">((O106-H106)/H106)</f>
        <v>3.0674846625766871E-2</v>
      </c>
      <c r="U106" s="54">
        <f t="shared" ref="U106:U108" si="61">P106-I106</f>
        <v>0.12589999999999998</v>
      </c>
      <c r="V106" s="55">
        <f t="shared" ref="V106:V108" si="62">Q106-J106</f>
        <v>-1.2999999999999956E-3</v>
      </c>
    </row>
    <row r="107" spans="1:22">
      <c r="A107" s="138">
        <v>96</v>
      </c>
      <c r="B107" s="139" t="s">
        <v>148</v>
      </c>
      <c r="C107" s="139" t="s">
        <v>149</v>
      </c>
      <c r="D107" s="26">
        <v>109148438.7</v>
      </c>
      <c r="E107" s="27">
        <f t="shared" si="51"/>
        <v>4.9421539849028319E-4</v>
      </c>
      <c r="F107" s="26">
        <v>117.99656575893489</v>
      </c>
      <c r="G107" s="26">
        <v>117.99656575893489</v>
      </c>
      <c r="H107" s="59">
        <v>84</v>
      </c>
      <c r="I107" s="60">
        <v>3.4712709355929983E-3</v>
      </c>
      <c r="J107" s="60">
        <v>6.877655723406062E-2</v>
      </c>
      <c r="K107" s="26">
        <v>109438130.40000001</v>
      </c>
      <c r="L107" s="61">
        <f t="shared" si="52"/>
        <v>4.7757813859730582E-4</v>
      </c>
      <c r="M107" s="26">
        <v>118.255620698472</v>
      </c>
      <c r="N107" s="26">
        <v>118.255620698472</v>
      </c>
      <c r="O107" s="59">
        <v>85</v>
      </c>
      <c r="P107" s="60">
        <v>2.19544473917885E-3</v>
      </c>
      <c r="Q107" s="60">
        <v>7.1122997103997707E-2</v>
      </c>
      <c r="R107" s="53">
        <f t="shared" si="58"/>
        <v>2.6541075937534502E-3</v>
      </c>
      <c r="S107" s="53">
        <f t="shared" si="59"/>
        <v>2.1954447391829487E-3</v>
      </c>
      <c r="T107" s="53">
        <f t="shared" si="60"/>
        <v>1.1904761904761904E-2</v>
      </c>
      <c r="U107" s="54">
        <f t="shared" si="61"/>
        <v>-1.2758261964141483E-3</v>
      </c>
      <c r="V107" s="55">
        <f t="shared" si="62"/>
        <v>2.3464398699370864E-3</v>
      </c>
    </row>
    <row r="108" spans="1:22">
      <c r="A108" s="138">
        <v>97</v>
      </c>
      <c r="B108" s="139" t="s">
        <v>150</v>
      </c>
      <c r="C108" s="140" t="s">
        <v>105</v>
      </c>
      <c r="D108" s="26">
        <v>318445709.60000002</v>
      </c>
      <c r="E108" s="27">
        <f t="shared" si="51"/>
        <v>1.4418966972129946E-3</v>
      </c>
      <c r="F108" s="26">
        <v>1.31</v>
      </c>
      <c r="G108" s="26">
        <v>1.31</v>
      </c>
      <c r="H108" s="29">
        <v>537</v>
      </c>
      <c r="I108" s="47">
        <v>-8.1550000000000008E-3</v>
      </c>
      <c r="J108" s="47">
        <v>0.21267800000000001</v>
      </c>
      <c r="K108" s="26">
        <v>318634393.82999998</v>
      </c>
      <c r="L108" s="27">
        <f t="shared" si="52"/>
        <v>1.3904917796221073E-3</v>
      </c>
      <c r="M108" s="26">
        <v>1.3</v>
      </c>
      <c r="N108" s="26">
        <v>1.3</v>
      </c>
      <c r="O108" s="29">
        <v>544</v>
      </c>
      <c r="P108" s="47">
        <v>-2.0999999999999999E-3</v>
      </c>
      <c r="Q108" s="47">
        <v>0.2107</v>
      </c>
      <c r="R108" s="53">
        <f t="shared" si="58"/>
        <v>5.9251616307522538E-4</v>
      </c>
      <c r="S108" s="53">
        <f t="shared" si="59"/>
        <v>-7.6335877862595486E-3</v>
      </c>
      <c r="T108" s="53">
        <f t="shared" si="60"/>
        <v>1.3035381750465549E-2</v>
      </c>
      <c r="U108" s="54">
        <f t="shared" si="61"/>
        <v>6.0550000000000014E-3</v>
      </c>
      <c r="V108" s="55">
        <f t="shared" si="62"/>
        <v>-1.9780000000000075E-3</v>
      </c>
    </row>
    <row r="109" spans="1:22">
      <c r="A109" s="138">
        <v>98</v>
      </c>
      <c r="B109" s="139" t="s">
        <v>151</v>
      </c>
      <c r="C109" s="140" t="s">
        <v>107</v>
      </c>
      <c r="D109" s="26">
        <v>1929916997.52</v>
      </c>
      <c r="E109" s="27">
        <f t="shared" si="51"/>
        <v>8.7385097702045063E-3</v>
      </c>
      <c r="F109" s="57">
        <v>29.130700000000001</v>
      </c>
      <c r="G109" s="57">
        <v>29.130700000000001</v>
      </c>
      <c r="H109" s="29">
        <v>1289</v>
      </c>
      <c r="I109" s="47">
        <v>0</v>
      </c>
      <c r="J109" s="47">
        <v>0.11459999999999999</v>
      </c>
      <c r="K109" s="26">
        <v>1934563000.73</v>
      </c>
      <c r="L109" s="27">
        <f t="shared" si="52"/>
        <v>8.442258594065416E-3</v>
      </c>
      <c r="M109" s="57">
        <v>28.745899999999999</v>
      </c>
      <c r="N109" s="57">
        <v>28.745899999999999</v>
      </c>
      <c r="O109" s="29">
        <v>1289</v>
      </c>
      <c r="P109" s="47">
        <v>0</v>
      </c>
      <c r="Q109" s="47">
        <v>0.1249</v>
      </c>
      <c r="R109" s="53">
        <f t="shared" si="40"/>
        <v>2.4073590812300678E-3</v>
      </c>
      <c r="S109" s="53">
        <f t="shared" si="41"/>
        <v>-1.3209431973828368E-2</v>
      </c>
      <c r="T109" s="53">
        <f t="shared" si="42"/>
        <v>0</v>
      </c>
      <c r="U109" s="54">
        <f t="shared" si="43"/>
        <v>0</v>
      </c>
      <c r="V109" s="55">
        <f t="shared" si="44"/>
        <v>1.0300000000000004E-2</v>
      </c>
    </row>
    <row r="110" spans="1:22">
      <c r="A110" s="33"/>
      <c r="B110" s="34"/>
      <c r="C110" s="35" t="s">
        <v>51</v>
      </c>
      <c r="D110" s="45">
        <f>SUM(D72:D109)</f>
        <v>220851958545.65424</v>
      </c>
      <c r="E110" s="37">
        <f>(D110/$D$222)</f>
        <v>3.5165780903853298E-2</v>
      </c>
      <c r="F110" s="38"/>
      <c r="G110" s="42"/>
      <c r="H110" s="40">
        <f>SUM(H72:H109)</f>
        <v>52217</v>
      </c>
      <c r="I110" s="50"/>
      <c r="J110" s="50"/>
      <c r="K110" s="45">
        <f>SUM(K72:K109)</f>
        <v>229152303163.27002</v>
      </c>
      <c r="L110" s="37">
        <f>(K110/$K$222)</f>
        <v>3.5886469018059371E-2</v>
      </c>
      <c r="M110" s="38"/>
      <c r="N110" s="42"/>
      <c r="O110" s="40">
        <f>SUM(O72:O109)</f>
        <v>52444</v>
      </c>
      <c r="P110" s="50"/>
      <c r="Q110" s="50"/>
      <c r="R110" s="53">
        <f t="shared" si="40"/>
        <v>3.758329639580691E-2</v>
      </c>
      <c r="S110" s="53" t="e">
        <f t="shared" si="41"/>
        <v>#DIV/0!</v>
      </c>
      <c r="T110" s="53">
        <f t="shared" si="42"/>
        <v>4.3472432349617937E-3</v>
      </c>
      <c r="U110" s="54">
        <f t="shared" si="43"/>
        <v>0</v>
      </c>
      <c r="V110" s="55">
        <f t="shared" si="44"/>
        <v>0</v>
      </c>
    </row>
    <row r="111" spans="1:22" ht="3.75" customHeight="1">
      <c r="A111" s="33"/>
      <c r="B111" s="183"/>
      <c r="C111" s="183"/>
      <c r="D111" s="183"/>
      <c r="E111" s="183"/>
      <c r="F111" s="183"/>
      <c r="G111" s="183"/>
      <c r="H111" s="183"/>
      <c r="I111" s="183"/>
      <c r="J111" s="183"/>
      <c r="K111" s="183"/>
      <c r="L111" s="183"/>
      <c r="M111" s="183"/>
      <c r="N111" s="183"/>
      <c r="O111" s="183"/>
      <c r="P111" s="183"/>
      <c r="Q111" s="183"/>
      <c r="R111" s="183"/>
      <c r="S111" s="183"/>
      <c r="T111" s="183"/>
      <c r="U111" s="183"/>
      <c r="V111" s="183"/>
    </row>
    <row r="112" spans="1:22" ht="15" customHeight="1">
      <c r="A112" s="182" t="s">
        <v>152</v>
      </c>
      <c r="B112" s="182"/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</row>
    <row r="113" spans="1:28">
      <c r="A113" s="184" t="s">
        <v>153</v>
      </c>
      <c r="B113" s="184"/>
      <c r="C113" s="184"/>
      <c r="D113" s="184"/>
      <c r="E113" s="184"/>
      <c r="F113" s="184"/>
      <c r="G113" s="184"/>
      <c r="H113" s="184"/>
      <c r="I113" s="184"/>
      <c r="J113" s="184"/>
      <c r="K113" s="184"/>
      <c r="L113" s="184"/>
      <c r="M113" s="184"/>
      <c r="N113" s="184"/>
      <c r="O113" s="184"/>
      <c r="P113" s="184"/>
      <c r="Q113" s="184"/>
      <c r="R113" s="184"/>
      <c r="S113" s="184"/>
      <c r="T113" s="184"/>
      <c r="U113" s="184"/>
      <c r="V113" s="184"/>
      <c r="Z113" s="62"/>
      <c r="AB113" s="65"/>
    </row>
    <row r="114" spans="1:28" ht="16.5" customHeight="1">
      <c r="A114" s="138">
        <v>99</v>
      </c>
      <c r="B114" s="139" t="s">
        <v>154</v>
      </c>
      <c r="C114" s="140" t="s">
        <v>17</v>
      </c>
      <c r="D114" s="26">
        <v>2937831255.6579361</v>
      </c>
      <c r="E114" s="27">
        <f t="shared" ref="E114:E119" si="63">(D114/$D$150)</f>
        <v>1.4939213309592566E-3</v>
      </c>
      <c r="F114" s="26">
        <v>172201.90815465001</v>
      </c>
      <c r="G114" s="26">
        <v>172201.90815465001</v>
      </c>
      <c r="H114" s="29">
        <v>192</v>
      </c>
      <c r="I114" s="47">
        <v>8.9999999999999998E-4</v>
      </c>
      <c r="J114" s="47">
        <v>3.7600000000000001E-2</v>
      </c>
      <c r="K114" s="26">
        <f>1937316.02*W133</f>
        <v>2971000429.6745038</v>
      </c>
      <c r="L114" s="27">
        <f t="shared" ref="L114:L130" si="64">(K114/$K$150)</f>
        <v>1.5004417289032929E-3</v>
      </c>
      <c r="M114" s="26">
        <f xml:space="preserve">          112.4041*W133</f>
        <v>172379.01609732001</v>
      </c>
      <c r="N114" s="26">
        <f>112.4041*W133</f>
        <v>172379.01609732001</v>
      </c>
      <c r="O114" s="29">
        <v>190</v>
      </c>
      <c r="P114" s="47">
        <v>1.1000000000000001E-3</v>
      </c>
      <c r="Q114" s="47">
        <v>3.8800000000000001E-2</v>
      </c>
      <c r="R114" s="54">
        <f>((K114-D114)/D114)</f>
        <v>1.1290360517707602E-2</v>
      </c>
      <c r="S114" s="54">
        <f>((N114-G114)/G114)</f>
        <v>1.028490012497107E-3</v>
      </c>
      <c r="T114" s="54">
        <f>((O114-H114)/H114)</f>
        <v>-1.0416666666666666E-2</v>
      </c>
      <c r="U114" s="54">
        <f>P114-I114</f>
        <v>2.0000000000000009E-4</v>
      </c>
      <c r="V114" s="55">
        <f>Q114-J114</f>
        <v>1.1999999999999997E-3</v>
      </c>
      <c r="X114" s="62"/>
      <c r="Y114" s="66"/>
      <c r="Z114" s="62"/>
      <c r="AA114" s="67"/>
    </row>
    <row r="115" spans="1:28" ht="16.5" customHeight="1">
      <c r="A115" s="138">
        <v>100</v>
      </c>
      <c r="B115" s="139" t="s">
        <v>155</v>
      </c>
      <c r="C115" s="140" t="s">
        <v>55</v>
      </c>
      <c r="D115" s="26">
        <v>5636227587.4131813</v>
      </c>
      <c r="E115" s="27">
        <f t="shared" si="63"/>
        <v>2.8660872208917517E-3</v>
      </c>
      <c r="F115" s="26">
        <v>153374.43</v>
      </c>
      <c r="G115" s="26">
        <v>153374.43</v>
      </c>
      <c r="H115" s="29">
        <v>78</v>
      </c>
      <c r="I115" s="47">
        <v>-1.524E-3</v>
      </c>
      <c r="J115" s="47">
        <v>7.5290999999999997E-2</v>
      </c>
      <c r="K115" s="26">
        <f>3681857.46*W133</f>
        <v>5646368472.0163918</v>
      </c>
      <c r="L115" s="27">
        <f t="shared" si="64"/>
        <v>2.8515804937481945E-3</v>
      </c>
      <c r="M115" s="26">
        <f>100*W133</f>
        <v>153356.51999999999</v>
      </c>
      <c r="N115" s="26">
        <f>100*W133</f>
        <v>153356.51999999999</v>
      </c>
      <c r="O115" s="29">
        <v>79</v>
      </c>
      <c r="P115" s="47">
        <v>3.6499999999999998E-4</v>
      </c>
      <c r="Q115" s="47">
        <v>7.5656000000000001E-2</v>
      </c>
      <c r="R115" s="54">
        <f>((K115-D115)/D115)</f>
        <v>1.7992326331635479E-3</v>
      </c>
      <c r="S115" s="54">
        <f>((N115-G115)/G115)</f>
        <v>-1.1677305011013566E-4</v>
      </c>
      <c r="T115" s="54">
        <f>((O115-H115)/H115)</f>
        <v>1.282051282051282E-2</v>
      </c>
      <c r="U115" s="54">
        <f>P115-I115</f>
        <v>1.8890000000000001E-3</v>
      </c>
      <c r="V115" s="55">
        <f>Q115-J115</f>
        <v>3.6500000000000421E-4</v>
      </c>
      <c r="X115" s="62"/>
      <c r="Y115" s="66"/>
      <c r="Z115" s="62"/>
      <c r="AA115" s="67"/>
    </row>
    <row r="116" spans="1:28">
      <c r="A116" s="138">
        <v>101</v>
      </c>
      <c r="B116" s="139" t="s">
        <v>156</v>
      </c>
      <c r="C116" s="140" t="s">
        <v>21</v>
      </c>
      <c r="D116" s="26">
        <v>16834420994.235933</v>
      </c>
      <c r="E116" s="27">
        <f t="shared" si="63"/>
        <v>8.5604986907272633E-3</v>
      </c>
      <c r="F116" s="26">
        <v>1824.7225248</v>
      </c>
      <c r="G116" s="26">
        <v>1824.7225248</v>
      </c>
      <c r="H116" s="29">
        <v>314</v>
      </c>
      <c r="I116" s="47">
        <v>0.1361</v>
      </c>
      <c r="J116" s="47">
        <v>8.3099999999999993E-2</v>
      </c>
      <c r="K116" s="26">
        <f>11004347.18*W133</f>
        <v>16875883883.966135</v>
      </c>
      <c r="L116" s="27">
        <f t="shared" si="64"/>
        <v>8.5228127666085556E-3</v>
      </c>
      <c r="M116" s="26">
        <f>1.1925*W133</f>
        <v>1828.7765009999998</v>
      </c>
      <c r="N116" s="26">
        <f>1.1925*W133</f>
        <v>1828.7765009999998</v>
      </c>
      <c r="O116" s="29">
        <v>315</v>
      </c>
      <c r="P116" s="47">
        <v>6.5699999999999995E-2</v>
      </c>
      <c r="Q116" s="47">
        <v>8.2699999999999996E-2</v>
      </c>
      <c r="R116" s="54">
        <f t="shared" ref="R116:R128" si="65">((K116-D116)/D116)</f>
        <v>2.4629828221831044E-3</v>
      </c>
      <c r="S116" s="54">
        <f t="shared" ref="S116:S128" si="66">((N116-G116)/G116)</f>
        <v>2.2216946110445975E-3</v>
      </c>
      <c r="T116" s="54">
        <f t="shared" ref="T116:T128" si="67">((O116-H116)/H116)</f>
        <v>3.1847133757961785E-3</v>
      </c>
      <c r="U116" s="54">
        <f t="shared" ref="U116:U128" si="68">P116-I116</f>
        <v>-7.0400000000000004E-2</v>
      </c>
      <c r="V116" s="55">
        <f t="shared" ref="V116:V128" si="69">Q116-J116</f>
        <v>-3.9999999999999758E-4</v>
      </c>
    </row>
    <row r="117" spans="1:28">
      <c r="A117" s="138">
        <v>102</v>
      </c>
      <c r="B117" s="139" t="s">
        <v>286</v>
      </c>
      <c r="C117" s="140" t="s">
        <v>21</v>
      </c>
      <c r="D117" s="26">
        <v>3319797174.3431039</v>
      </c>
      <c r="E117" s="27">
        <f t="shared" si="63"/>
        <v>1.6881554390361778E-3</v>
      </c>
      <c r="F117" s="26">
        <v>1575.2978169599999</v>
      </c>
      <c r="G117" s="26">
        <v>1575.2978169599999</v>
      </c>
      <c r="H117" s="29">
        <v>84</v>
      </c>
      <c r="I117" s="47">
        <v>5.0799999999999998E-2</v>
      </c>
      <c r="J117" s="47">
        <v>4.8300000000000003E-2</v>
      </c>
      <c r="K117" s="26">
        <f>2191341.78*W133</f>
        <v>3360565495.1140556</v>
      </c>
      <c r="L117" s="27">
        <f t="shared" si="64"/>
        <v>1.6971834306109849E-3</v>
      </c>
      <c r="M117" s="26">
        <f>1.0312*W133</f>
        <v>1581.4124342399998</v>
      </c>
      <c r="N117" s="26">
        <f>1.0312*W133</f>
        <v>1581.4124342399998</v>
      </c>
      <c r="O117" s="29">
        <v>86</v>
      </c>
      <c r="P117" s="47">
        <v>0.15210000000000001</v>
      </c>
      <c r="Q117" s="47">
        <v>5.1799999999999999E-2</v>
      </c>
      <c r="R117" s="54">
        <f t="shared" si="65"/>
        <v>1.2280364922901856E-2</v>
      </c>
      <c r="S117" s="54">
        <f t="shared" ref="S117" si="70">((N117-G117)/G117)</f>
        <v>3.8815627205018915E-3</v>
      </c>
      <c r="T117" s="54">
        <f t="shared" ref="T117" si="71">((O117-H117)/H117)</f>
        <v>2.3809523809523808E-2</v>
      </c>
      <c r="U117" s="54">
        <f t="shared" ref="U117" si="72">P117-I117</f>
        <v>0.10130000000000002</v>
      </c>
      <c r="V117" s="55">
        <f t="shared" ref="V117" si="73">Q117-J117</f>
        <v>3.4999999999999962E-3</v>
      </c>
    </row>
    <row r="118" spans="1:28">
      <c r="A118" s="138">
        <v>103</v>
      </c>
      <c r="B118" s="139" t="s">
        <v>157</v>
      </c>
      <c r="C118" s="140" t="s">
        <v>25</v>
      </c>
      <c r="D118" s="26">
        <v>22062103732.990433</v>
      </c>
      <c r="E118" s="27">
        <f t="shared" si="63"/>
        <v>1.1218836108804682E-2</v>
      </c>
      <c r="F118" s="26">
        <v>1694.1739537800001</v>
      </c>
      <c r="G118" s="26">
        <v>1694.1739537800001</v>
      </c>
      <c r="H118" s="29">
        <v>491</v>
      </c>
      <c r="I118" s="47">
        <v>1.29E-2</v>
      </c>
      <c r="J118" s="47">
        <v>6.1899999999999997E-2</v>
      </c>
      <c r="K118" s="26">
        <f>14830513.32*W133</f>
        <v>22743559125.688465</v>
      </c>
      <c r="L118" s="27">
        <f t="shared" si="64"/>
        <v>1.1486159623242117E-2</v>
      </c>
      <c r="M118" s="26">
        <f>1.1063*W133</f>
        <v>1696.58318076</v>
      </c>
      <c r="N118" s="26">
        <f>1.1063*W133</f>
        <v>1696.58318076</v>
      </c>
      <c r="O118" s="29">
        <v>497</v>
      </c>
      <c r="P118" s="47">
        <v>1.5E-3</v>
      </c>
      <c r="Q118" s="47">
        <v>6.3399999999999998E-2</v>
      </c>
      <c r="R118" s="54">
        <f t="shared" si="65"/>
        <v>3.0888051336601333E-2</v>
      </c>
      <c r="S118" s="54">
        <f t="shared" ref="S118:T121" si="74">((N118-G118)/G118)</f>
        <v>1.4220658832727587E-3</v>
      </c>
      <c r="T118" s="54">
        <f t="shared" si="74"/>
        <v>1.2219959266802444E-2</v>
      </c>
      <c r="U118" s="54">
        <f t="shared" si="68"/>
        <v>-1.14E-2</v>
      </c>
      <c r="V118" s="55">
        <f t="shared" si="69"/>
        <v>1.5000000000000013E-3</v>
      </c>
    </row>
    <row r="119" spans="1:28">
      <c r="A119" s="138">
        <v>104</v>
      </c>
      <c r="B119" s="139" t="s">
        <v>158</v>
      </c>
      <c r="C119" s="140" t="s">
        <v>61</v>
      </c>
      <c r="D119" s="26">
        <v>940673477.38557601</v>
      </c>
      <c r="E119" s="27">
        <f t="shared" si="63"/>
        <v>4.783433938309069E-4</v>
      </c>
      <c r="F119" s="26">
        <v>1671.7812870000002</v>
      </c>
      <c r="G119" s="26">
        <v>1671.7812870000002</v>
      </c>
      <c r="H119" s="29">
        <v>37</v>
      </c>
      <c r="I119" s="47">
        <v>0.23899999999999999</v>
      </c>
      <c r="J119" s="47">
        <v>0.14499999999999999</v>
      </c>
      <c r="K119" s="26">
        <f>646819.1*W133</f>
        <v>991939262.45532</v>
      </c>
      <c r="L119" s="27">
        <f t="shared" si="64"/>
        <v>5.0095821160435765E-4</v>
      </c>
      <c r="M119" s="26">
        <f>1.09*W133</f>
        <v>1671.5860680000001</v>
      </c>
      <c r="N119" s="26">
        <f>1.1*W133</f>
        <v>1686.9217200000001</v>
      </c>
      <c r="O119" s="29">
        <v>39</v>
      </c>
      <c r="P119" s="47">
        <v>0.629</v>
      </c>
      <c r="Q119" s="47">
        <v>0.151</v>
      </c>
      <c r="R119" s="54">
        <f t="shared" si="65"/>
        <v>5.4499022564373285E-2</v>
      </c>
      <c r="S119" s="54">
        <f t="shared" si="74"/>
        <v>9.0564675641089405E-3</v>
      </c>
      <c r="T119" s="54">
        <f t="shared" si="74"/>
        <v>5.4054054054054057E-2</v>
      </c>
      <c r="U119" s="54">
        <f t="shared" si="68"/>
        <v>0.39</v>
      </c>
      <c r="V119" s="55">
        <f t="shared" si="69"/>
        <v>6.0000000000000053E-3</v>
      </c>
    </row>
    <row r="120" spans="1:28">
      <c r="A120" s="138">
        <v>105</v>
      </c>
      <c r="B120" s="139" t="s">
        <v>159</v>
      </c>
      <c r="C120" s="140" t="s">
        <v>27</v>
      </c>
      <c r="D120" s="26">
        <v>580884871.38973498</v>
      </c>
      <c r="E120" s="27">
        <v>0</v>
      </c>
      <c r="F120" s="26">
        <v>2028.9903344700001</v>
      </c>
      <c r="G120" s="26">
        <v>2028.9903344700001</v>
      </c>
      <c r="H120" s="29">
        <v>52</v>
      </c>
      <c r="I120" s="47">
        <v>4.5600000000000003E-4</v>
      </c>
      <c r="J120" s="47">
        <v>0.1013</v>
      </c>
      <c r="K120" s="26">
        <f>386234.4*W133</f>
        <v>592315634.88288009</v>
      </c>
      <c r="L120" s="27">
        <f t="shared" si="64"/>
        <v>2.9913664312646634E-4</v>
      </c>
      <c r="M120" s="26">
        <f>1.3325*W133</f>
        <v>2043.475629</v>
      </c>
      <c r="N120" s="26">
        <f>1.3325*W133</f>
        <v>2043.475629</v>
      </c>
      <c r="O120" s="29">
        <v>54</v>
      </c>
      <c r="P120" s="47">
        <v>4.7100000000000001E-4</v>
      </c>
      <c r="Q120" s="47">
        <v>0.11020000000000001</v>
      </c>
      <c r="R120" s="54">
        <f t="shared" si="65"/>
        <v>1.9678191077343154E-2</v>
      </c>
      <c r="S120" s="54">
        <f t="shared" si="74"/>
        <v>7.1391638904892444E-3</v>
      </c>
      <c r="T120" s="54">
        <f t="shared" si="74"/>
        <v>3.8461538461538464E-2</v>
      </c>
      <c r="U120" s="54">
        <f t="shared" si="68"/>
        <v>1.4999999999999985E-5</v>
      </c>
      <c r="V120" s="55">
        <f t="shared" si="69"/>
        <v>8.9000000000000051E-3</v>
      </c>
    </row>
    <row r="121" spans="1:28">
      <c r="A121" s="138">
        <v>106</v>
      </c>
      <c r="B121" s="139" t="s">
        <v>160</v>
      </c>
      <c r="C121" s="140" t="s">
        <v>68</v>
      </c>
      <c r="D121" s="26">
        <v>829582920.67949104</v>
      </c>
      <c r="E121" s="27">
        <f t="shared" ref="E121:E130" si="75">(D121/$D$150)</f>
        <v>4.218525548789631E-4</v>
      </c>
      <c r="F121" s="26">
        <v>161948.06063700002</v>
      </c>
      <c r="G121" s="26">
        <v>162116.77251000001</v>
      </c>
      <c r="H121" s="29">
        <v>52</v>
      </c>
      <c r="I121" s="47">
        <v>0</v>
      </c>
      <c r="J121" s="47">
        <v>1.9400000000000001E-2</v>
      </c>
      <c r="K121" s="26">
        <f>1316812.26*W133</f>
        <v>2019417456.8693521</v>
      </c>
      <c r="L121" s="27">
        <f t="shared" si="64"/>
        <v>1.0198646186983231E-3</v>
      </c>
      <c r="M121" s="26">
        <f>106.06*W133</f>
        <v>162649.925112</v>
      </c>
      <c r="N121" s="26">
        <f>106.25*W133</f>
        <v>162941.30249999999</v>
      </c>
      <c r="O121" s="29">
        <v>86</v>
      </c>
      <c r="P121" s="47">
        <v>4.7999999999999996E-3</v>
      </c>
      <c r="Q121" s="47">
        <v>2.4199999999999999E-2</v>
      </c>
      <c r="R121" s="54">
        <f t="shared" si="65"/>
        <v>1.4342563070311245</v>
      </c>
      <c r="S121" s="54">
        <f t="shared" si="74"/>
        <v>5.0860251979733965E-3</v>
      </c>
      <c r="T121" s="54">
        <f t="shared" si="74"/>
        <v>0.65384615384615385</v>
      </c>
      <c r="U121" s="54">
        <f t="shared" si="68"/>
        <v>4.7999999999999996E-3</v>
      </c>
      <c r="V121" s="55">
        <f t="shared" si="69"/>
        <v>4.7999999999999987E-3</v>
      </c>
    </row>
    <row r="122" spans="1:28">
      <c r="A122" s="138">
        <v>107</v>
      </c>
      <c r="B122" s="139" t="s">
        <v>161</v>
      </c>
      <c r="C122" s="140" t="s">
        <v>71</v>
      </c>
      <c r="D122" s="26">
        <v>5369391892.1425867</v>
      </c>
      <c r="E122" s="27">
        <f t="shared" si="75"/>
        <v>2.7303981692287723E-3</v>
      </c>
      <c r="F122" s="26">
        <v>170901.59973711002</v>
      </c>
      <c r="G122" s="26">
        <v>170901.59973711002</v>
      </c>
      <c r="H122" s="29">
        <v>60</v>
      </c>
      <c r="I122" s="47">
        <v>8.9999999999999993E-3</v>
      </c>
      <c r="J122" s="47">
        <v>6.6000000000000003E-2</v>
      </c>
      <c r="K122" s="26">
        <v>5418842742.6999998</v>
      </c>
      <c r="L122" s="27">
        <f t="shared" si="64"/>
        <v>2.7366733751710117E-3</v>
      </c>
      <c r="M122" s="26">
        <v>171099.26</v>
      </c>
      <c r="N122" s="26">
        <v>171099.26</v>
      </c>
      <c r="O122" s="29">
        <v>61</v>
      </c>
      <c r="P122" s="47">
        <v>8.9999999999999993E-3</v>
      </c>
      <c r="Q122" s="47">
        <v>6.6000000000000003E-2</v>
      </c>
      <c r="R122" s="54">
        <f t="shared" si="65"/>
        <v>9.2097674281845683E-3</v>
      </c>
      <c r="S122" s="54">
        <f t="shared" si="66"/>
        <v>1.1565735089316721E-3</v>
      </c>
      <c r="T122" s="54">
        <f t="shared" si="67"/>
        <v>1.6666666666666666E-2</v>
      </c>
      <c r="U122" s="54">
        <f t="shared" si="68"/>
        <v>0</v>
      </c>
      <c r="V122" s="55">
        <f t="shared" si="69"/>
        <v>0</v>
      </c>
      <c r="X122" s="63"/>
    </row>
    <row r="123" spans="1:28">
      <c r="A123" s="138">
        <v>108</v>
      </c>
      <c r="B123" s="139" t="s">
        <v>162</v>
      </c>
      <c r="C123" s="140" t="s">
        <v>29</v>
      </c>
      <c r="D123" s="26">
        <v>56885124996.984901</v>
      </c>
      <c r="E123" s="27">
        <f t="shared" si="75"/>
        <v>2.892674706336985E-2</v>
      </c>
      <c r="F123" s="26">
        <v>202321.29059999998</v>
      </c>
      <c r="G123" s="26">
        <v>202321.29059999998</v>
      </c>
      <c r="H123" s="29">
        <v>2463</v>
      </c>
      <c r="I123" s="47">
        <v>1.2999999999999999E-3</v>
      </c>
      <c r="J123" s="47">
        <v>4.2999999999999997E-2</v>
      </c>
      <c r="K123" s="26">
        <f>37183353.93*1535.5</f>
        <v>57095039959.514999</v>
      </c>
      <c r="L123" s="27">
        <f t="shared" si="64"/>
        <v>2.8834657717650636E-2</v>
      </c>
      <c r="M123" s="26">
        <f>132.01*1535.5</f>
        <v>202701.35499999998</v>
      </c>
      <c r="N123" s="26">
        <f>132.01*1535.5</f>
        <v>202701.35499999998</v>
      </c>
      <c r="O123" s="29">
        <v>2468</v>
      </c>
      <c r="P123" s="47">
        <v>1.4E-3</v>
      </c>
      <c r="Q123" s="47">
        <v>4.4499999999999998E-2</v>
      </c>
      <c r="R123" s="54">
        <f t="shared" si="65"/>
        <v>3.690155599398334E-3</v>
      </c>
      <c r="S123" s="54">
        <f t="shared" si="66"/>
        <v>1.8785190568569997E-3</v>
      </c>
      <c r="T123" s="54">
        <f t="shared" si="67"/>
        <v>2.0300446609825416E-3</v>
      </c>
      <c r="U123" s="54">
        <f t="shared" si="68"/>
        <v>1.0000000000000005E-4</v>
      </c>
      <c r="V123" s="55">
        <f t="shared" si="69"/>
        <v>1.5000000000000013E-3</v>
      </c>
    </row>
    <row r="124" spans="1:28">
      <c r="A124" s="138">
        <v>109</v>
      </c>
      <c r="B124" s="170" t="s">
        <v>163</v>
      </c>
      <c r="C124" s="170" t="s">
        <v>29</v>
      </c>
      <c r="D124" s="26">
        <v>162792552682.6236</v>
      </c>
      <c r="E124" s="27">
        <f t="shared" si="75"/>
        <v>8.2781904680707993E-2</v>
      </c>
      <c r="F124" s="26">
        <v>190994.24519999998</v>
      </c>
      <c r="G124" s="26">
        <v>190994.24519999998</v>
      </c>
      <c r="H124" s="29">
        <v>926</v>
      </c>
      <c r="I124" s="47">
        <v>1.2999999999999999E-3</v>
      </c>
      <c r="J124" s="47">
        <v>4.8099999999999997E-2</v>
      </c>
      <c r="K124" s="26">
        <f>107522431.6*1535.5</f>
        <v>165100693721.79999</v>
      </c>
      <c r="L124" s="27">
        <f t="shared" si="64"/>
        <v>8.338065786083064E-2</v>
      </c>
      <c r="M124" s="26">
        <f>124.62*1535.5</f>
        <v>191354.01</v>
      </c>
      <c r="N124" s="26">
        <f>124.62*1535.5</f>
        <v>191354.01</v>
      </c>
      <c r="O124" s="29">
        <v>942</v>
      </c>
      <c r="P124" s="47">
        <v>1.4E-3</v>
      </c>
      <c r="Q124" s="47">
        <v>4.9599999999999998E-2</v>
      </c>
      <c r="R124" s="54">
        <f t="shared" si="65"/>
        <v>1.4178419105426077E-2</v>
      </c>
      <c r="S124" s="54">
        <f t="shared" si="66"/>
        <v>1.8836420941547489E-3</v>
      </c>
      <c r="T124" s="54">
        <f t="shared" si="67"/>
        <v>1.7278617710583154E-2</v>
      </c>
      <c r="U124" s="54">
        <f t="shared" si="68"/>
        <v>1.0000000000000005E-4</v>
      </c>
      <c r="V124" s="55">
        <f t="shared" si="69"/>
        <v>1.5000000000000013E-3</v>
      </c>
      <c r="X124" s="62"/>
    </row>
    <row r="125" spans="1:28">
      <c r="A125" s="138">
        <v>110</v>
      </c>
      <c r="B125" s="139" t="s">
        <v>298</v>
      </c>
      <c r="C125" s="140" t="s">
        <v>297</v>
      </c>
      <c r="D125" s="26">
        <v>1151636738.9752169</v>
      </c>
      <c r="E125" s="27">
        <f t="shared" si="75"/>
        <v>5.856206637321424E-4</v>
      </c>
      <c r="F125" s="26">
        <v>1533.7443000000001</v>
      </c>
      <c r="G125" s="26">
        <v>1533.7443000000001</v>
      </c>
      <c r="H125" s="29">
        <v>9</v>
      </c>
      <c r="I125" s="47">
        <v>9.2499999999999999E-2</v>
      </c>
      <c r="J125" s="47">
        <v>8.7599999999999997E-2</v>
      </c>
      <c r="K125" s="26">
        <f>755505.5*W133</f>
        <v>1158616943.2086</v>
      </c>
      <c r="L125" s="27">
        <f t="shared" si="64"/>
        <v>5.8513529383602937E-4</v>
      </c>
      <c r="M125" s="26">
        <f>1*W133</f>
        <v>1533.5652</v>
      </c>
      <c r="N125" s="26">
        <f>1*W133</f>
        <v>1533.5652</v>
      </c>
      <c r="O125" s="29">
        <v>9</v>
      </c>
      <c r="P125" s="47">
        <v>9.35E-2</v>
      </c>
      <c r="Q125" s="47">
        <v>8.7099999999999997E-2</v>
      </c>
      <c r="R125" s="54">
        <f t="shared" ref="R125" si="76">((K125-D125)/D125)</f>
        <v>6.0611163200598381E-3</v>
      </c>
      <c r="S125" s="54">
        <f t="shared" ref="S125" si="77">((N125-G125)/G125)</f>
        <v>-1.1677305011015343E-4</v>
      </c>
      <c r="T125" s="54">
        <f t="shared" si="67"/>
        <v>0</v>
      </c>
      <c r="U125" s="54">
        <f t="shared" si="68"/>
        <v>1.0000000000000009E-3</v>
      </c>
      <c r="V125" s="55">
        <f t="shared" si="69"/>
        <v>-5.0000000000000044E-4</v>
      </c>
    </row>
    <row r="126" spans="1:28">
      <c r="A126" s="138">
        <v>111</v>
      </c>
      <c r="B126" s="139" t="s">
        <v>164</v>
      </c>
      <c r="C126" s="140" t="s">
        <v>33</v>
      </c>
      <c r="D126" s="26">
        <v>252968622.25611898</v>
      </c>
      <c r="E126" s="27">
        <f t="shared" si="75"/>
        <v>1.2863748390040035E-4</v>
      </c>
      <c r="F126" s="26">
        <v>198129.08867400003</v>
      </c>
      <c r="G126" s="26">
        <v>198129.08867400003</v>
      </c>
      <c r="H126" s="29">
        <v>9</v>
      </c>
      <c r="I126" s="47">
        <v>2E-3</v>
      </c>
      <c r="J126" s="47">
        <v>0.1394</v>
      </c>
      <c r="K126" s="26">
        <f>164935.33*W133</f>
        <v>252939082.33851597</v>
      </c>
      <c r="L126" s="27">
        <f t="shared" si="64"/>
        <v>1.2774160185927496E-4</v>
      </c>
      <c r="M126" s="26">
        <f>129.18*W133</f>
        <v>198105.952536</v>
      </c>
      <c r="N126" s="26">
        <f>129.18*W133</f>
        <v>198105.952536</v>
      </c>
      <c r="O126" s="29">
        <v>9</v>
      </c>
      <c r="P126" s="47">
        <v>2E-3</v>
      </c>
      <c r="Q126" s="47">
        <v>0.1394</v>
      </c>
      <c r="R126" s="54">
        <f t="shared" si="65"/>
        <v>-1.1677305011017574E-4</v>
      </c>
      <c r="S126" s="54">
        <f t="shared" si="66"/>
        <v>-1.1677305011026816E-4</v>
      </c>
      <c r="T126" s="54">
        <f t="shared" si="67"/>
        <v>0</v>
      </c>
      <c r="U126" s="54">
        <f t="shared" si="68"/>
        <v>0</v>
      </c>
      <c r="V126" s="55">
        <f t="shared" si="69"/>
        <v>0</v>
      </c>
    </row>
    <row r="127" spans="1:28">
      <c r="A127" s="138">
        <v>112</v>
      </c>
      <c r="B127" s="139" t="s">
        <v>165</v>
      </c>
      <c r="C127" s="140" t="s">
        <v>39</v>
      </c>
      <c r="D127" s="26">
        <v>16570108754.026871</v>
      </c>
      <c r="E127" s="27">
        <f t="shared" si="75"/>
        <v>8.4260928452854992E-3</v>
      </c>
      <c r="F127" s="26">
        <v>2193.2543489999998</v>
      </c>
      <c r="G127" s="26">
        <v>2193.2543489999998</v>
      </c>
      <c r="H127" s="43">
        <v>117</v>
      </c>
      <c r="I127" s="50">
        <v>1E-3</v>
      </c>
      <c r="J127" s="50">
        <v>4.9599999999999998E-2</v>
      </c>
      <c r="K127" s="26">
        <f>10787943.29*W133</f>
        <v>16544014409.117506</v>
      </c>
      <c r="L127" s="27">
        <f t="shared" si="64"/>
        <v>8.3552090181746794E-3</v>
      </c>
      <c r="M127" s="26">
        <f>1.43*W133</f>
        <v>2192.9982359999999</v>
      </c>
      <c r="N127" s="26">
        <f>1.43*W133</f>
        <v>2192.9982359999999</v>
      </c>
      <c r="O127" s="43">
        <v>117</v>
      </c>
      <c r="P127" s="50">
        <v>1.6000000000000001E-3</v>
      </c>
      <c r="Q127" s="50">
        <v>5.0799999999999998E-2</v>
      </c>
      <c r="R127" s="54">
        <f t="shared" si="65"/>
        <v>-1.5747841668826252E-3</v>
      </c>
      <c r="S127" s="54">
        <f t="shared" si="66"/>
        <v>-1.1677305011007362E-4</v>
      </c>
      <c r="T127" s="54">
        <f t="shared" si="67"/>
        <v>0</v>
      </c>
      <c r="U127" s="54">
        <f t="shared" si="68"/>
        <v>6.0000000000000006E-4</v>
      </c>
      <c r="V127" s="55">
        <f t="shared" si="69"/>
        <v>1.1999999999999997E-3</v>
      </c>
    </row>
    <row r="128" spans="1:28">
      <c r="A128" s="138">
        <v>113</v>
      </c>
      <c r="B128" s="139" t="s">
        <v>166</v>
      </c>
      <c r="C128" s="140" t="s">
        <v>85</v>
      </c>
      <c r="D128" s="26">
        <v>32503610739.986103</v>
      </c>
      <c r="E128" s="27">
        <f t="shared" si="75"/>
        <v>1.6528463751668731E-2</v>
      </c>
      <c r="F128" s="26">
        <v>159555.41952900001</v>
      </c>
      <c r="G128" s="26">
        <v>159555.41952900001</v>
      </c>
      <c r="H128" s="29">
        <v>713</v>
      </c>
      <c r="I128" s="50">
        <v>1.1000000000000001E-3</v>
      </c>
      <c r="J128" s="47">
        <v>9.5299999999999996E-2</v>
      </c>
      <c r="K128" s="26">
        <f>21557288*W133</f>
        <v>33059506683.177601</v>
      </c>
      <c r="L128" s="27">
        <f t="shared" si="64"/>
        <v>1.6696013527615496E-2</v>
      </c>
      <c r="M128" s="26">
        <f>104.2*W133</f>
        <v>159797.49384000001</v>
      </c>
      <c r="N128" s="26">
        <f>104.2*W133</f>
        <v>159797.49384000001</v>
      </c>
      <c r="O128" s="29">
        <v>729</v>
      </c>
      <c r="P128" s="50">
        <v>1.6999999999999999E-3</v>
      </c>
      <c r="Q128" s="47">
        <v>9.5000000000000001E-2</v>
      </c>
      <c r="R128" s="54">
        <f t="shared" si="65"/>
        <v>1.7102590467207135E-2</v>
      </c>
      <c r="S128" s="54">
        <f t="shared" si="66"/>
        <v>1.5171801228350361E-3</v>
      </c>
      <c r="T128" s="54">
        <f t="shared" si="67"/>
        <v>2.244039270687237E-2</v>
      </c>
      <c r="U128" s="54">
        <f t="shared" si="68"/>
        <v>5.9999999999999984E-4</v>
      </c>
      <c r="V128" s="55">
        <f t="shared" si="69"/>
        <v>-2.9999999999999472E-4</v>
      </c>
    </row>
    <row r="129" spans="1:24">
      <c r="A129" s="138">
        <v>114</v>
      </c>
      <c r="B129" s="139" t="s">
        <v>167</v>
      </c>
      <c r="C129" s="140" t="s">
        <v>43</v>
      </c>
      <c r="D129" s="26">
        <v>2654738975.1032372</v>
      </c>
      <c r="E129" s="27">
        <f t="shared" si="75"/>
        <v>1.3499656167785749E-3</v>
      </c>
      <c r="F129" s="26">
        <v>213825.60575453882</v>
      </c>
      <c r="G129" s="26">
        <v>221986.72819333232</v>
      </c>
      <c r="H129" s="29">
        <v>52</v>
      </c>
      <c r="I129" s="47">
        <v>-2.5000000000000001E-3</v>
      </c>
      <c r="J129" s="47">
        <v>1.8700000000000001E-2</v>
      </c>
      <c r="K129" s="26">
        <f>1730887.59*W133</f>
        <v>2654428973.1358681</v>
      </c>
      <c r="L129" s="27">
        <f t="shared" si="64"/>
        <v>1.340563925175643E-3</v>
      </c>
      <c r="M129" s="26">
        <f>138.43*W133</f>
        <v>212291.430636</v>
      </c>
      <c r="N129" s="26">
        <f>143.08*W133</f>
        <v>219422.50881600002</v>
      </c>
      <c r="O129" s="29">
        <v>54</v>
      </c>
      <c r="P129" s="47">
        <v>1E-4</v>
      </c>
      <c r="Q129" s="47">
        <v>1.8800000000000001E-2</v>
      </c>
      <c r="R129" s="54">
        <f t="shared" ref="R129:R130" si="78">((K129-D129)/D129)</f>
        <v>-1.1677305011014286E-4</v>
      </c>
      <c r="S129" s="54">
        <f t="shared" ref="S129:S130" si="79">((N129-G129)/G129)</f>
        <v>-1.1551228301806778E-2</v>
      </c>
      <c r="T129" s="54">
        <f t="shared" ref="T129:T130" si="80">((O129-H129)/H129)</f>
        <v>3.8461538461538464E-2</v>
      </c>
      <c r="U129" s="54">
        <f t="shared" ref="U129:U130" si="81">P129-I129</f>
        <v>2.5999999999999999E-3</v>
      </c>
      <c r="V129" s="55">
        <f t="shared" ref="V129:V130" si="82">Q129-J129</f>
        <v>9.9999999999999395E-5</v>
      </c>
    </row>
    <row r="130" spans="1:24">
      <c r="A130" s="138">
        <v>115</v>
      </c>
      <c r="B130" s="139" t="s">
        <v>168</v>
      </c>
      <c r="C130" s="140" t="s">
        <v>50</v>
      </c>
      <c r="D130" s="30">
        <v>183761632977.02399</v>
      </c>
      <c r="E130" s="27">
        <f t="shared" si="75"/>
        <v>9.3444925670110104E-2</v>
      </c>
      <c r="F130" s="26">
        <v>187062.95879999999</v>
      </c>
      <c r="G130" s="26">
        <v>187062.95879999999</v>
      </c>
      <c r="H130" s="29">
        <v>3864</v>
      </c>
      <c r="I130" s="47">
        <v>4.9599999999999998E-2</v>
      </c>
      <c r="J130" s="47">
        <v>9.3299999999999994E-2</v>
      </c>
      <c r="K130" s="30">
        <f>119906226.26*1535.5</f>
        <v>184116010422.23001</v>
      </c>
      <c r="L130" s="27">
        <f t="shared" si="64"/>
        <v>9.2983946497434009E-2</v>
      </c>
      <c r="M130" s="26">
        <f>122.0637*1535.5</f>
        <v>187428.81135</v>
      </c>
      <c r="N130" s="26">
        <f>122.0637*1535.5</f>
        <v>187428.81135</v>
      </c>
      <c r="O130" s="29">
        <v>3877</v>
      </c>
      <c r="P130" s="47">
        <v>1.4E-3</v>
      </c>
      <c r="Q130" s="47">
        <v>9.2700000000000005E-2</v>
      </c>
      <c r="R130" s="54">
        <f t="shared" si="78"/>
        <v>1.9284626473162249E-3</v>
      </c>
      <c r="S130" s="54">
        <f t="shared" si="79"/>
        <v>1.9557722830160352E-3</v>
      </c>
      <c r="T130" s="54">
        <f t="shared" si="80"/>
        <v>3.3643892339544515E-3</v>
      </c>
      <c r="U130" s="54">
        <f t="shared" si="81"/>
        <v>-4.82E-2</v>
      </c>
      <c r="V130" s="55">
        <f t="shared" si="82"/>
        <v>-5.9999999999998943E-4</v>
      </c>
    </row>
    <row r="131" spans="1:24" ht="6" customHeight="1">
      <c r="A131" s="33"/>
      <c r="B131" s="183"/>
      <c r="C131" s="183"/>
      <c r="D131" s="183"/>
      <c r="E131" s="183"/>
      <c r="F131" s="183"/>
      <c r="G131" s="183"/>
      <c r="H131" s="183"/>
      <c r="I131" s="183"/>
      <c r="J131" s="183"/>
      <c r="K131" s="183"/>
      <c r="L131" s="183"/>
      <c r="M131" s="183"/>
      <c r="N131" s="183"/>
      <c r="O131" s="183"/>
      <c r="P131" s="183"/>
      <c r="Q131" s="183"/>
      <c r="R131" s="183"/>
      <c r="S131" s="183"/>
      <c r="T131" s="183"/>
      <c r="U131" s="183"/>
      <c r="V131" s="183"/>
    </row>
    <row r="132" spans="1:24">
      <c r="A132" s="184" t="s">
        <v>169</v>
      </c>
      <c r="B132" s="184"/>
      <c r="C132" s="184"/>
      <c r="D132" s="184"/>
      <c r="E132" s="184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</row>
    <row r="133" spans="1:24">
      <c r="A133" s="138">
        <v>116</v>
      </c>
      <c r="B133" s="139" t="s">
        <v>170</v>
      </c>
      <c r="C133" s="140" t="s">
        <v>113</v>
      </c>
      <c r="D133" s="30">
        <v>1887420628.2114809</v>
      </c>
      <c r="E133" s="27">
        <f t="shared" ref="E133:E149" si="83">(D133/$D$150)</f>
        <v>9.5977532118201279E-4</v>
      </c>
      <c r="F133" s="26">
        <v>171349.91319600001</v>
      </c>
      <c r="G133" s="26">
        <v>171349.91319600001</v>
      </c>
      <c r="H133" s="29">
        <v>23</v>
      </c>
      <c r="I133" s="47">
        <v>4.7999999999999996E-3</v>
      </c>
      <c r="J133" s="47">
        <v>0.14180000000000001</v>
      </c>
      <c r="K133" s="30">
        <f>1238316.3*W133</f>
        <v>1899038784.2727602</v>
      </c>
      <c r="L133" s="27">
        <f t="shared" ref="L133:L149" si="84">(K133/$K$150)</f>
        <v>9.5906988375656392E-4</v>
      </c>
      <c r="M133" s="26">
        <f>112.42*W133</f>
        <v>172403.39978400001</v>
      </c>
      <c r="N133" s="26">
        <f>112.42*W133</f>
        <v>172403.39978400001</v>
      </c>
      <c r="O133" s="29">
        <v>23</v>
      </c>
      <c r="P133" s="47">
        <v>5.8999999999999999E-3</v>
      </c>
      <c r="Q133" s="47">
        <v>0.14449999999999999</v>
      </c>
      <c r="R133" s="54">
        <f>((K133-D133)/D133)</f>
        <v>6.1555733192810644E-3</v>
      </c>
      <c r="S133" s="54">
        <f>((N133-G133)/G133)</f>
        <v>6.1481594495759124E-3</v>
      </c>
      <c r="T133" s="54">
        <f>((O133-H133)/H133)</f>
        <v>0</v>
      </c>
      <c r="U133" s="54">
        <f>P133-I133</f>
        <v>1.1000000000000003E-3</v>
      </c>
      <c r="V133" s="55">
        <f>Q133-J133</f>
        <v>2.6999999999999802E-3</v>
      </c>
      <c r="W133" s="132">
        <v>1533.5652</v>
      </c>
    </row>
    <row r="134" spans="1:24">
      <c r="A134" s="138">
        <v>117</v>
      </c>
      <c r="B134" s="140" t="s">
        <v>171</v>
      </c>
      <c r="C134" s="140" t="s">
        <v>23</v>
      </c>
      <c r="D134" s="26">
        <v>19288254037.512207</v>
      </c>
      <c r="E134" s="27">
        <f t="shared" si="83"/>
        <v>9.8083013066546099E-3</v>
      </c>
      <c r="F134" s="30">
        <v>211978.79970300003</v>
      </c>
      <c r="G134" s="30">
        <v>211978.79970300003</v>
      </c>
      <c r="H134" s="29">
        <v>609</v>
      </c>
      <c r="I134" s="47">
        <v>5.0000000000000001E-4</v>
      </c>
      <c r="J134" s="47">
        <v>3.3399999999999999E-2</v>
      </c>
      <c r="K134" s="26">
        <f>12669498.01*W133</f>
        <v>19429501249.605251</v>
      </c>
      <c r="L134" s="27">
        <f t="shared" si="84"/>
        <v>9.8124638944869867E-3</v>
      </c>
      <c r="M134" s="30">
        <f>132.41*W133</f>
        <v>203059.368132</v>
      </c>
      <c r="N134" s="30">
        <f>132.41*W133</f>
        <v>203059.368132</v>
      </c>
      <c r="O134" s="29">
        <v>612</v>
      </c>
      <c r="P134" s="47">
        <v>5.0000000000000001E-4</v>
      </c>
      <c r="Q134" s="47">
        <v>3.4599999999999999E-2</v>
      </c>
      <c r="R134" s="54">
        <f t="shared" ref="R134:R150" si="85">((K134-D134)/D134)</f>
        <v>7.3229651485481112E-3</v>
      </c>
      <c r="S134" s="54">
        <f t="shared" ref="S134:S150" si="86">((N134-G134)/G134)</f>
        <v>-4.207699818801168E-2</v>
      </c>
      <c r="T134" s="54">
        <f t="shared" ref="T134:T150" si="87">((O134-H134)/H134)</f>
        <v>4.9261083743842365E-3</v>
      </c>
      <c r="U134" s="54">
        <f t="shared" ref="U134:U150" si="88">P134-I134</f>
        <v>0</v>
      </c>
      <c r="V134" s="55">
        <f t="shared" ref="V134:V150" si="89">Q134-J134</f>
        <v>1.1999999999999997E-3</v>
      </c>
    </row>
    <row r="135" spans="1:24">
      <c r="A135" s="138">
        <v>118</v>
      </c>
      <c r="B135" s="139" t="s">
        <v>172</v>
      </c>
      <c r="C135" s="140" t="s">
        <v>65</v>
      </c>
      <c r="D135" s="30">
        <v>18063370923.200001</v>
      </c>
      <c r="E135" s="27">
        <f t="shared" si="83"/>
        <v>9.1854340099442686E-3</v>
      </c>
      <c r="F135" s="30">
        <v>175666.4</v>
      </c>
      <c r="G135" s="30">
        <v>175666.4</v>
      </c>
      <c r="H135" s="29">
        <v>437</v>
      </c>
      <c r="I135" s="47">
        <v>1.1000000000000001E-3</v>
      </c>
      <c r="J135" s="47">
        <v>6.6199999999999995E-2</v>
      </c>
      <c r="K135" s="30">
        <v>17932659936.799999</v>
      </c>
      <c r="L135" s="27">
        <f>(K135/$K$150)</f>
        <v>9.0565154453225265E-3</v>
      </c>
      <c r="M135" s="30">
        <v>175894.39999999999</v>
      </c>
      <c r="N135" s="30">
        <v>175894.39999999999</v>
      </c>
      <c r="O135" s="29">
        <v>437</v>
      </c>
      <c r="P135" s="47">
        <v>1.2999999999999999E-3</v>
      </c>
      <c r="Q135" s="47">
        <v>6.6699999999999995E-2</v>
      </c>
      <c r="R135" s="54">
        <f t="shared" si="85"/>
        <v>-7.2362454912621331E-3</v>
      </c>
      <c r="S135" s="54">
        <f t="shared" si="86"/>
        <v>1.2979146837414554E-3</v>
      </c>
      <c r="T135" s="54">
        <f t="shared" si="87"/>
        <v>0</v>
      </c>
      <c r="U135" s="54">
        <f t="shared" si="88"/>
        <v>1.9999999999999987E-4</v>
      </c>
      <c r="V135" s="55">
        <f t="shared" si="89"/>
        <v>5.0000000000000044E-4</v>
      </c>
    </row>
    <row r="136" spans="1:24">
      <c r="A136" s="138">
        <v>119</v>
      </c>
      <c r="B136" s="139" t="s">
        <v>293</v>
      </c>
      <c r="C136" s="140" t="s">
        <v>294</v>
      </c>
      <c r="D136" s="26">
        <v>193175754.09504899</v>
      </c>
      <c r="E136" s="27">
        <f t="shared" ref="E136" si="90">(D136/$D$110)</f>
        <v>8.7468436036131395E-4</v>
      </c>
      <c r="F136" s="32">
        <v>1525.4620807800002</v>
      </c>
      <c r="G136" s="32">
        <v>1525.4620807800002</v>
      </c>
      <c r="H136" s="29">
        <v>3</v>
      </c>
      <c r="I136" s="47">
        <v>3.0171980287652111E-4</v>
      </c>
      <c r="J136" s="47">
        <v>5.1098993356992417E-2</v>
      </c>
      <c r="K136" s="26">
        <f>128992.65*W133</f>
        <v>197818639.09577999</v>
      </c>
      <c r="L136" s="27">
        <f t="shared" ref="L136" si="91">(K136/$K$110)</f>
        <v>8.6326271377178815E-4</v>
      </c>
      <c r="M136" s="32">
        <f>1.0186*W133</f>
        <v>1562.0895127199999</v>
      </c>
      <c r="N136" s="32">
        <f>1.0186*W133</f>
        <v>1562.0895127199999</v>
      </c>
      <c r="O136" s="29">
        <v>3</v>
      </c>
      <c r="P136" s="47">
        <v>2.41E-2</v>
      </c>
      <c r="Q136" s="47">
        <v>7.51E-2</v>
      </c>
      <c r="R136" s="53">
        <f t="shared" si="85"/>
        <v>2.4034512107800728E-2</v>
      </c>
      <c r="S136" s="53">
        <f t="shared" si="86"/>
        <v>2.4010712820387751E-2</v>
      </c>
      <c r="T136" s="53">
        <f t="shared" si="87"/>
        <v>0</v>
      </c>
      <c r="U136" s="54">
        <f t="shared" si="88"/>
        <v>2.3798280197123479E-2</v>
      </c>
      <c r="V136" s="55">
        <f t="shared" si="89"/>
        <v>2.4001006643007583E-2</v>
      </c>
    </row>
    <row r="137" spans="1:24">
      <c r="A137" s="138">
        <v>120</v>
      </c>
      <c r="B137" s="139" t="s">
        <v>173</v>
      </c>
      <c r="C137" s="140" t="s">
        <v>63</v>
      </c>
      <c r="D137" s="30">
        <v>9949232231.4425983</v>
      </c>
      <c r="E137" s="27">
        <f t="shared" si="83"/>
        <v>5.0593001992862126E-3</v>
      </c>
      <c r="F137" s="30">
        <v>2011.1351499307773</v>
      </c>
      <c r="G137" s="30">
        <v>2011.1351499307773</v>
      </c>
      <c r="H137" s="29">
        <v>278</v>
      </c>
      <c r="I137" s="47">
        <v>5.6823105420527903E-2</v>
      </c>
      <c r="J137" s="47">
        <v>6.6323670152521094E-2</v>
      </c>
      <c r="K137" s="30">
        <v>10031665379.969999</v>
      </c>
      <c r="L137" s="27">
        <f t="shared" si="84"/>
        <v>5.0662831267750952E-3</v>
      </c>
      <c r="M137" s="30">
        <v>2014.57</v>
      </c>
      <c r="N137" s="30">
        <v>2014.57</v>
      </c>
      <c r="O137" s="29">
        <v>279</v>
      </c>
      <c r="P137" s="47">
        <v>6.6400000000000001E-2</v>
      </c>
      <c r="Q137" s="47">
        <v>6.6400000000000001E-2</v>
      </c>
      <c r="R137" s="54">
        <f t="shared" si="85"/>
        <v>8.2853778673380608E-3</v>
      </c>
      <c r="S137" s="54">
        <f t="shared" si="86"/>
        <v>1.7079160837802842E-3</v>
      </c>
      <c r="T137" s="53">
        <f t="shared" si="87"/>
        <v>3.5971223021582736E-3</v>
      </c>
      <c r="U137" s="54">
        <f t="shared" si="88"/>
        <v>9.5768945794720978E-3</v>
      </c>
      <c r="V137" s="55">
        <f t="shared" si="89"/>
        <v>7.6329847478906476E-5</v>
      </c>
    </row>
    <row r="138" spans="1:24">
      <c r="A138" s="138">
        <v>121</v>
      </c>
      <c r="B138" s="139" t="s">
        <v>300</v>
      </c>
      <c r="C138" s="140" t="s">
        <v>35</v>
      </c>
      <c r="D138" s="30">
        <v>97026679104.5625</v>
      </c>
      <c r="E138" s="27">
        <f t="shared" si="83"/>
        <v>4.9339193769991622E-2</v>
      </c>
      <c r="F138" s="30">
        <v>153355</v>
      </c>
      <c r="G138" s="30">
        <v>153355</v>
      </c>
      <c r="H138" s="29">
        <v>1893</v>
      </c>
      <c r="I138" s="47">
        <v>4.2999999999999997E-2</v>
      </c>
      <c r="J138" s="47">
        <v>5.0574599999999997E-2</v>
      </c>
      <c r="K138" s="30">
        <v>97690753993.973999</v>
      </c>
      <c r="L138" s="27">
        <f t="shared" si="84"/>
        <v>4.9336675402851936E-2</v>
      </c>
      <c r="M138" s="30">
        <f>100*1533.55</f>
        <v>153355</v>
      </c>
      <c r="N138" s="30">
        <f>100*1533.55</f>
        <v>153355</v>
      </c>
      <c r="O138" s="29">
        <v>1903</v>
      </c>
      <c r="P138" s="47">
        <v>5.1900000000000002E-2</v>
      </c>
      <c r="Q138" s="47">
        <v>5.0599999999999999E-2</v>
      </c>
      <c r="R138" s="54">
        <f t="shared" si="85"/>
        <v>6.8442504220498687E-3</v>
      </c>
      <c r="S138" s="54">
        <f t="shared" si="86"/>
        <v>0</v>
      </c>
      <c r="T138" s="54">
        <f t="shared" si="87"/>
        <v>5.2826201796090863E-3</v>
      </c>
      <c r="U138" s="54">
        <f t="shared" si="88"/>
        <v>8.9000000000000051E-3</v>
      </c>
      <c r="V138" s="55">
        <f t="shared" si="89"/>
        <v>2.540000000000181E-5</v>
      </c>
    </row>
    <row r="139" spans="1:24" ht="15.6">
      <c r="A139" s="138">
        <v>122</v>
      </c>
      <c r="B139" s="139" t="s">
        <v>174</v>
      </c>
      <c r="C139" s="140" t="s">
        <v>130</v>
      </c>
      <c r="D139" s="30">
        <v>1582119530.8060231</v>
      </c>
      <c r="E139" s="27">
        <f t="shared" si="83"/>
        <v>8.0452616556734192E-4</v>
      </c>
      <c r="F139" s="30">
        <v>1687.1187300000001</v>
      </c>
      <c r="G139" s="30">
        <v>1748.4685019999999</v>
      </c>
      <c r="H139" s="29">
        <v>53</v>
      </c>
      <c r="I139" s="47">
        <v>1.9E-3</v>
      </c>
      <c r="J139" s="47">
        <v>9.2299999999999993E-2</v>
      </c>
      <c r="K139" s="30">
        <f>998365.66*W133</f>
        <v>1531058833.0510321</v>
      </c>
      <c r="L139" s="27">
        <f t="shared" si="84"/>
        <v>7.7322929326113625E-4</v>
      </c>
      <c r="M139" s="30">
        <f>1.12*W133</f>
        <v>1717.5930240000002</v>
      </c>
      <c r="N139" s="30">
        <f>1.17*W133</f>
        <v>1794.2712839999999</v>
      </c>
      <c r="O139" s="29">
        <v>53</v>
      </c>
      <c r="P139" s="47">
        <v>1.9E-3</v>
      </c>
      <c r="Q139" s="47">
        <v>9.1700000000000004E-2</v>
      </c>
      <c r="R139" s="54">
        <f t="shared" si="85"/>
        <v>-3.2273603075349044E-2</v>
      </c>
      <c r="S139" s="54">
        <f t="shared" si="86"/>
        <v>2.619594344857119E-2</v>
      </c>
      <c r="T139" s="54">
        <f t="shared" si="87"/>
        <v>0</v>
      </c>
      <c r="U139" s="54">
        <f t="shared" si="88"/>
        <v>0</v>
      </c>
      <c r="V139" s="55">
        <f t="shared" si="89"/>
        <v>-5.9999999999998943E-4</v>
      </c>
      <c r="X139" s="64"/>
    </row>
    <row r="140" spans="1:24" ht="15.6">
      <c r="A140" s="138">
        <v>123</v>
      </c>
      <c r="B140" s="139" t="s">
        <v>175</v>
      </c>
      <c r="C140" s="140" t="s">
        <v>41</v>
      </c>
      <c r="D140" s="26">
        <v>5922486421.1122169</v>
      </c>
      <c r="E140" s="27">
        <f t="shared" si="83"/>
        <v>3.0116531641415233E-3</v>
      </c>
      <c r="F140" s="30">
        <v>16671.800541000001</v>
      </c>
      <c r="G140" s="30">
        <v>16671.800541000001</v>
      </c>
      <c r="H140" s="29">
        <v>139</v>
      </c>
      <c r="I140" s="47">
        <v>7.5399999999999995E-2</v>
      </c>
      <c r="J140" s="47">
        <v>9.5500000000000002E-2</v>
      </c>
      <c r="K140" s="26">
        <f xml:space="preserve">  4095123.43 *W133</f>
        <v>6280138781.9526367</v>
      </c>
      <c r="L140" s="27">
        <f t="shared" si="84"/>
        <v>3.1716529548863094E-3</v>
      </c>
      <c r="M140" s="30">
        <f>10.87*W133</f>
        <v>16669.853724000001</v>
      </c>
      <c r="N140" s="30">
        <f>10.87*W133</f>
        <v>16669.853724000001</v>
      </c>
      <c r="O140" s="29">
        <v>143</v>
      </c>
      <c r="P140" s="47">
        <v>7.2099999999999997E-2</v>
      </c>
      <c r="Q140" s="47">
        <v>9.2600000000000002E-2</v>
      </c>
      <c r="R140" s="54">
        <f t="shared" si="85"/>
        <v>6.0388886594231181E-2</v>
      </c>
      <c r="S140" s="54">
        <f t="shared" si="86"/>
        <v>-1.1677305011011348E-4</v>
      </c>
      <c r="T140" s="54">
        <f t="shared" si="87"/>
        <v>2.8776978417266189E-2</v>
      </c>
      <c r="U140" s="54">
        <f t="shared" si="88"/>
        <v>-3.2999999999999974E-3</v>
      </c>
      <c r="V140" s="55">
        <f t="shared" si="89"/>
        <v>-2.8999999999999998E-3</v>
      </c>
      <c r="X140" s="64"/>
    </row>
    <row r="141" spans="1:24" ht="15.6">
      <c r="A141" s="138">
        <v>124</v>
      </c>
      <c r="B141" s="140" t="s">
        <v>176</v>
      </c>
      <c r="C141" s="174" t="s">
        <v>45</v>
      </c>
      <c r="D141" s="30">
        <v>26373399022.799999</v>
      </c>
      <c r="E141" s="27">
        <f t="shared" si="83"/>
        <v>1.3411179860715735E-2</v>
      </c>
      <c r="F141" s="30">
        <v>1625.7689580000001</v>
      </c>
      <c r="G141" s="30">
        <v>1625.7689580000001</v>
      </c>
      <c r="H141" s="29">
        <v>460</v>
      </c>
      <c r="I141" s="47">
        <v>5.96E-2</v>
      </c>
      <c r="J141" s="47">
        <v>6.5100000000000005E-2</v>
      </c>
      <c r="K141" s="30">
        <v>26373399022.799999</v>
      </c>
      <c r="L141" s="27">
        <f t="shared" si="84"/>
        <v>1.3319334467804787E-2</v>
      </c>
      <c r="M141" s="30">
        <f>1.06*W133</f>
        <v>1625.5791120000001</v>
      </c>
      <c r="N141" s="30">
        <f>1.06*W133</f>
        <v>1625.5791120000001</v>
      </c>
      <c r="O141" s="29">
        <v>460</v>
      </c>
      <c r="P141" s="47">
        <v>4.7000000000000002E-3</v>
      </c>
      <c r="Q141" s="47">
        <v>8.1299999999999997E-2</v>
      </c>
      <c r="R141" s="54">
        <f t="shared" si="85"/>
        <v>0</v>
      </c>
      <c r="S141" s="54">
        <f t="shared" si="86"/>
        <v>-1.1677305011010589E-4</v>
      </c>
      <c r="T141" s="54">
        <f t="shared" si="87"/>
        <v>0</v>
      </c>
      <c r="U141" s="54">
        <f t="shared" si="88"/>
        <v>-5.4899999999999997E-2</v>
      </c>
      <c r="V141" s="55">
        <f t="shared" si="89"/>
        <v>1.6199999999999992E-2</v>
      </c>
      <c r="X141" s="64"/>
    </row>
    <row r="142" spans="1:24">
      <c r="A142" s="138">
        <v>125</v>
      </c>
      <c r="B142" s="139" t="s">
        <v>177</v>
      </c>
      <c r="C142" s="140" t="s">
        <v>87</v>
      </c>
      <c r="D142" s="26">
        <v>448556078.12729996</v>
      </c>
      <c r="E142" s="27">
        <f t="shared" si="83"/>
        <v>2.2809597792767974E-4</v>
      </c>
      <c r="F142" s="30">
        <v>1872.4925999999998</v>
      </c>
      <c r="G142" s="30">
        <v>1872.4925999999998</v>
      </c>
      <c r="H142" s="29">
        <v>2</v>
      </c>
      <c r="I142" s="47">
        <v>1.116E-3</v>
      </c>
      <c r="J142" s="47">
        <v>9.6778000000000003E-2</v>
      </c>
      <c r="K142" s="26">
        <f>294623.85*1535.5</f>
        <v>452394921.67499995</v>
      </c>
      <c r="L142" s="27">
        <f t="shared" si="84"/>
        <v>2.2847260863556108E-4</v>
      </c>
      <c r="M142" s="30">
        <f>1.23*1535.5</f>
        <v>1888.665</v>
      </c>
      <c r="N142" s="30">
        <f>1.23*1535.5</f>
        <v>1888.665</v>
      </c>
      <c r="O142" s="29">
        <v>2</v>
      </c>
      <c r="P142" s="47">
        <v>8.1180000000000002E-3</v>
      </c>
      <c r="Q142" s="47">
        <v>0.105682</v>
      </c>
      <c r="R142" s="54">
        <f t="shared" si="85"/>
        <v>8.5582243444943945E-3</v>
      </c>
      <c r="S142" s="54">
        <f t="shared" si="86"/>
        <v>8.6368298598350421E-3</v>
      </c>
      <c r="T142" s="54">
        <f t="shared" si="87"/>
        <v>0</v>
      </c>
      <c r="U142" s="54">
        <f t="shared" ref="U142" si="92">P142-I142</f>
        <v>7.0020000000000004E-3</v>
      </c>
      <c r="V142" s="55">
        <f t="shared" ref="V142" si="93">Q142-J142</f>
        <v>8.9039999999999953E-3</v>
      </c>
    </row>
    <row r="143" spans="1:24">
      <c r="A143" s="138">
        <v>126</v>
      </c>
      <c r="B143" s="139" t="s">
        <v>303</v>
      </c>
      <c r="C143" s="140" t="s">
        <v>301</v>
      </c>
      <c r="D143" s="26">
        <v>658511236.06148374</v>
      </c>
      <c r="E143" s="27">
        <f t="shared" si="83"/>
        <v>3.3486061540599957E-4</v>
      </c>
      <c r="F143" s="30">
        <v>1574.3795518825784</v>
      </c>
      <c r="G143" s="30">
        <v>1574.3795518825784</v>
      </c>
      <c r="H143" s="29">
        <v>6</v>
      </c>
      <c r="I143" s="47">
        <v>7.2499999999999995E-2</v>
      </c>
      <c r="J143" s="47">
        <v>6.7599999999999993E-2</v>
      </c>
      <c r="K143" s="26">
        <f>429999.25*W133</f>
        <v>659431885.82609999</v>
      </c>
      <c r="L143" s="27">
        <f t="shared" si="84"/>
        <v>3.3303230419635889E-4</v>
      </c>
      <c r="M143" s="30">
        <f>1.028*W133</f>
        <v>1576.5050256</v>
      </c>
      <c r="N143" s="30">
        <f>1.028*W133</f>
        <v>1576.5050256</v>
      </c>
      <c r="O143" s="29">
        <v>6</v>
      </c>
      <c r="P143" s="47">
        <v>8.1100000000000005E-2</v>
      </c>
      <c r="Q143" s="47">
        <v>6.83E-2</v>
      </c>
      <c r="R143" s="54">
        <f t="shared" ref="R143" si="94">((K143-D143)/D143)</f>
        <v>1.3980775333806027E-3</v>
      </c>
      <c r="S143" s="54">
        <f t="shared" ref="S143" si="95">((N143-G143)/G143)</f>
        <v>1.3500389501883289E-3</v>
      </c>
      <c r="T143" s="54">
        <f t="shared" si="87"/>
        <v>0</v>
      </c>
      <c r="U143" s="54">
        <f t="shared" si="88"/>
        <v>8.6000000000000104E-3</v>
      </c>
      <c r="V143" s="55">
        <f t="shared" si="89"/>
        <v>7.0000000000000617E-4</v>
      </c>
    </row>
    <row r="144" spans="1:24">
      <c r="A144" s="138">
        <v>127</v>
      </c>
      <c r="B144" s="139" t="s">
        <v>178</v>
      </c>
      <c r="C144" s="140" t="s">
        <v>47</v>
      </c>
      <c r="D144" s="26">
        <v>1081731886776</v>
      </c>
      <c r="E144" s="27">
        <f t="shared" si="83"/>
        <v>0.55007323409783682</v>
      </c>
      <c r="F144" s="30">
        <v>2514.67</v>
      </c>
      <c r="G144" s="30">
        <v>2514.67</v>
      </c>
      <c r="H144" s="29">
        <v>11595</v>
      </c>
      <c r="I144" s="47">
        <v>1.2999999999999999E-3</v>
      </c>
      <c r="J144" s="47">
        <v>4.0500000000000001E-2</v>
      </c>
      <c r="K144" s="26">
        <v>1088682446798.5699</v>
      </c>
      <c r="L144" s="27">
        <f t="shared" si="84"/>
        <v>0.54981633674151864</v>
      </c>
      <c r="M144" s="30">
        <v>2518.9899999999998</v>
      </c>
      <c r="N144" s="30">
        <v>2518.9899999999998</v>
      </c>
      <c r="O144" s="29">
        <v>11669</v>
      </c>
      <c r="P144" s="47">
        <v>1.2999999999999999E-3</v>
      </c>
      <c r="Q144" s="47">
        <v>4.19E-2</v>
      </c>
      <c r="R144" s="54">
        <f t="shared" si="85"/>
        <v>6.4253999605072528E-3</v>
      </c>
      <c r="S144" s="54">
        <f t="shared" si="86"/>
        <v>1.7179192498418118E-3</v>
      </c>
      <c r="T144" s="54">
        <f t="shared" si="87"/>
        <v>6.3820612332902114E-3</v>
      </c>
      <c r="U144" s="54">
        <f t="shared" si="88"/>
        <v>0</v>
      </c>
      <c r="V144" s="55">
        <f t="shared" si="89"/>
        <v>1.3999999999999985E-3</v>
      </c>
    </row>
    <row r="145" spans="1:22">
      <c r="A145" s="138">
        <v>128</v>
      </c>
      <c r="B145" s="139" t="s">
        <v>285</v>
      </c>
      <c r="C145" s="139" t="s">
        <v>97</v>
      </c>
      <c r="D145" s="26">
        <v>562458022.58368802</v>
      </c>
      <c r="E145" s="27">
        <f t="shared" si="83"/>
        <v>2.8601644021884238E-4</v>
      </c>
      <c r="F145" s="30">
        <v>159616.76930099999</v>
      </c>
      <c r="G145" s="30">
        <v>159616.76930099999</v>
      </c>
      <c r="H145" s="29">
        <v>27</v>
      </c>
      <c r="I145" s="47">
        <v>0</v>
      </c>
      <c r="J145" s="47">
        <v>7.4499999999999997E-2</v>
      </c>
      <c r="K145" s="26">
        <f xml:space="preserve"> 362269.83*W133</f>
        <v>555564404.29791605</v>
      </c>
      <c r="L145" s="27">
        <f t="shared" si="84"/>
        <v>2.8057620152994046E-4</v>
      </c>
      <c r="M145" s="30">
        <f>104.23*W133</f>
        <v>159843.50079600001</v>
      </c>
      <c r="N145" s="30">
        <f>104.23*W133</f>
        <v>159843.50079600001</v>
      </c>
      <c r="O145" s="29">
        <v>27</v>
      </c>
      <c r="P145" s="47">
        <v>0</v>
      </c>
      <c r="Q145" s="47">
        <v>7.4700000000000003E-2</v>
      </c>
      <c r="R145" s="54">
        <f t="shared" ref="R145" si="96">((K145-D145)/D145)</f>
        <v>-1.2256236037145804E-2</v>
      </c>
      <c r="S145" s="54">
        <f t="shared" ref="S145" si="97">((N145-G145)/G145)</f>
        <v>1.4204741518884637E-3</v>
      </c>
      <c r="T145" s="54">
        <f t="shared" ref="T145" si="98">((O145-H145)/H145)</f>
        <v>0</v>
      </c>
      <c r="U145" s="54">
        <f t="shared" ref="U145" si="99">P145-I145</f>
        <v>0</v>
      </c>
      <c r="V145" s="55">
        <f t="shared" ref="V145" si="100">Q145-J145</f>
        <v>2.0000000000000573E-4</v>
      </c>
    </row>
    <row r="146" spans="1:22" ht="16.5" customHeight="1">
      <c r="A146" s="138">
        <v>129</v>
      </c>
      <c r="B146" s="139" t="s">
        <v>179</v>
      </c>
      <c r="C146" s="140" t="s">
        <v>50</v>
      </c>
      <c r="D146" s="26">
        <v>183249519100.40399</v>
      </c>
      <c r="E146" s="27">
        <f t="shared" si="83"/>
        <v>9.3184509813110342E-2</v>
      </c>
      <c r="F146" s="30">
        <v>1846.05744</v>
      </c>
      <c r="G146" s="30">
        <v>1846.05744</v>
      </c>
      <c r="H146" s="29">
        <v>781</v>
      </c>
      <c r="I146" s="47">
        <v>5.8000000000000003E-2</v>
      </c>
      <c r="J146" s="47">
        <v>8.6300000000000002E-2</v>
      </c>
      <c r="K146" s="26">
        <f>119312252.27*1535.5</f>
        <v>183203963360.58499</v>
      </c>
      <c r="L146" s="27">
        <f t="shared" si="84"/>
        <v>9.2523336173602533E-2</v>
      </c>
      <c r="M146" s="30">
        <f>1.2042*1535.5</f>
        <v>1849.0491</v>
      </c>
      <c r="N146" s="30">
        <f>1.2042*1535.5</f>
        <v>1849.0491</v>
      </c>
      <c r="O146" s="29">
        <v>789</v>
      </c>
      <c r="P146" s="47">
        <v>1.1000000000000001E-3</v>
      </c>
      <c r="Q146" s="47">
        <v>8.5500000000000007E-2</v>
      </c>
      <c r="R146" s="54">
        <f t="shared" si="85"/>
        <v>-2.4859950543193438E-4</v>
      </c>
      <c r="S146" s="54">
        <f t="shared" si="86"/>
        <v>1.6205671260152721E-3</v>
      </c>
      <c r="T146" s="54">
        <f t="shared" si="87"/>
        <v>1.0243277848911651E-2</v>
      </c>
      <c r="U146" s="54">
        <f t="shared" si="88"/>
        <v>-5.6900000000000006E-2</v>
      </c>
      <c r="V146" s="55">
        <f t="shared" si="89"/>
        <v>-7.9999999999999516E-4</v>
      </c>
    </row>
    <row r="147" spans="1:22" ht="16.5" customHeight="1">
      <c r="A147" s="138">
        <v>130</v>
      </c>
      <c r="B147" s="139" t="s">
        <v>180</v>
      </c>
      <c r="C147" s="140" t="s">
        <v>92</v>
      </c>
      <c r="D147" s="30">
        <v>1145916141.7637999</v>
      </c>
      <c r="E147" s="27">
        <f t="shared" si="83"/>
        <v>5.8271167357707375E-4</v>
      </c>
      <c r="F147" s="30">
        <v>164150.06849999999</v>
      </c>
      <c r="G147" s="30">
        <v>164150.06849999999</v>
      </c>
      <c r="H147" s="29">
        <v>28</v>
      </c>
      <c r="I147" s="47">
        <v>1.2999999999999999E-3</v>
      </c>
      <c r="J147" s="47">
        <v>7.5200000000000003E-2</v>
      </c>
      <c r="K147" s="30">
        <v>1148070038.039</v>
      </c>
      <c r="L147" s="27">
        <f t="shared" si="84"/>
        <v>5.7980879961233535E-4</v>
      </c>
      <c r="M147" s="30">
        <v>164452.04999999999</v>
      </c>
      <c r="N147" s="30">
        <v>164452.04999999999</v>
      </c>
      <c r="O147" s="29">
        <v>28</v>
      </c>
      <c r="P147" s="47">
        <v>8.0000000000000004E-4</v>
      </c>
      <c r="Q147" s="47">
        <v>7.5300000000000006E-2</v>
      </c>
      <c r="R147" s="54">
        <f t="shared" si="85"/>
        <v>1.8796281828134828E-3</v>
      </c>
      <c r="S147" s="54">
        <f t="shared" si="86"/>
        <v>1.8396672189021621E-3</v>
      </c>
      <c r="T147" s="54">
        <f t="shared" si="87"/>
        <v>0</v>
      </c>
      <c r="U147" s="54">
        <f t="shared" si="88"/>
        <v>-4.999999999999999E-4</v>
      </c>
      <c r="V147" s="55">
        <f t="shared" si="89"/>
        <v>1.0000000000000286E-4</v>
      </c>
    </row>
    <row r="148" spans="1:22" ht="16.5" customHeight="1">
      <c r="A148" s="138">
        <v>131</v>
      </c>
      <c r="B148" s="139" t="s">
        <v>305</v>
      </c>
      <c r="C148" s="140" t="s">
        <v>103</v>
      </c>
      <c r="D148" s="30">
        <v>1416515882.6546311</v>
      </c>
      <c r="E148" s="27">
        <f t="shared" si="83"/>
        <v>7.2031478617597166E-4</v>
      </c>
      <c r="F148" s="30">
        <v>1641.1064010000002</v>
      </c>
      <c r="G148" s="30">
        <v>1641.1064010000002</v>
      </c>
      <c r="H148" s="29">
        <v>27</v>
      </c>
      <c r="I148" s="47">
        <v>5.96E-2</v>
      </c>
      <c r="J148" s="47">
        <v>6.7799999999999999E-2</v>
      </c>
      <c r="K148" s="30">
        <f>938824.6*W133</f>
        <v>1439748735.4639199</v>
      </c>
      <c r="L148" s="27">
        <f t="shared" si="84"/>
        <v>7.2711503514070075E-4</v>
      </c>
      <c r="M148" s="30">
        <f>1.08*W133</f>
        <v>1656.2504160000001</v>
      </c>
      <c r="N148" s="30">
        <f>1.08*W133</f>
        <v>1656.2504160000001</v>
      </c>
      <c r="O148" s="29">
        <v>27</v>
      </c>
      <c r="P148" s="47">
        <v>6.2100000000000002E-2</v>
      </c>
      <c r="Q148" s="47">
        <v>6.5799999999999997E-2</v>
      </c>
      <c r="R148" s="54">
        <f t="shared" ref="R148" si="101">((K148-D148)/D148)</f>
        <v>1.6401406502939492E-2</v>
      </c>
      <c r="S148" s="54">
        <f t="shared" ref="S148" si="102">((N148-G148)/G148)</f>
        <v>9.2279300054962446E-3</v>
      </c>
      <c r="T148" s="54">
        <f t="shared" si="87"/>
        <v>0</v>
      </c>
      <c r="U148" s="54">
        <f t="shared" si="88"/>
        <v>2.5000000000000022E-3</v>
      </c>
      <c r="V148" s="55">
        <f t="shared" si="89"/>
        <v>-2.0000000000000018E-3</v>
      </c>
    </row>
    <row r="149" spans="1:22">
      <c r="A149" s="138">
        <v>132</v>
      </c>
      <c r="B149" s="139" t="s">
        <v>181</v>
      </c>
      <c r="C149" s="140" t="s">
        <v>105</v>
      </c>
      <c r="D149" s="30">
        <v>1940611095.2596831</v>
      </c>
      <c r="E149" s="27">
        <f t="shared" si="83"/>
        <v>9.8682329174667994E-4</v>
      </c>
      <c r="F149" s="30">
        <v>2055.2173620000003</v>
      </c>
      <c r="G149" s="30">
        <v>2055.2173620000003</v>
      </c>
      <c r="H149" s="29">
        <v>101</v>
      </c>
      <c r="I149" s="47">
        <v>6.2350000000000001E-3</v>
      </c>
      <c r="J149" s="47">
        <v>7.9336000000000004E-2</v>
      </c>
      <c r="K149" s="30">
        <f xml:space="preserve"> 1287880.56 *W133</f>
        <v>1975048808.5725121</v>
      </c>
      <c r="L149" s="27">
        <f t="shared" si="84"/>
        <v>9.9745715934736428E-4</v>
      </c>
      <c r="M149" s="30">
        <f>1.35*W133</f>
        <v>2070.3130200000001</v>
      </c>
      <c r="N149" s="30">
        <f>1.35*W133</f>
        <v>2070.3130200000001</v>
      </c>
      <c r="O149" s="29">
        <v>102</v>
      </c>
      <c r="P149" s="47">
        <v>8.3000000000000001E-3</v>
      </c>
      <c r="Q149" s="47">
        <v>8.8499999999999995E-2</v>
      </c>
      <c r="R149" s="54">
        <f t="shared" si="85"/>
        <v>1.7745808728472066E-2</v>
      </c>
      <c r="S149" s="54">
        <f t="shared" si="86"/>
        <v>7.3450420763814701E-3</v>
      </c>
      <c r="T149" s="54">
        <f t="shared" si="87"/>
        <v>9.9009900990099011E-3</v>
      </c>
      <c r="U149" s="54">
        <f t="shared" si="88"/>
        <v>2.065E-3</v>
      </c>
      <c r="V149" s="55">
        <f t="shared" si="89"/>
        <v>9.1639999999999916E-3</v>
      </c>
    </row>
    <row r="150" spans="1:22">
      <c r="A150" s="33"/>
      <c r="B150" s="34"/>
      <c r="C150" s="68" t="s">
        <v>51</v>
      </c>
      <c r="D150" s="45">
        <f>SUM(D114:D149)</f>
        <v>1966523400379.8149</v>
      </c>
      <c r="E150" s="37">
        <f>(D150/$D$222)</f>
        <v>0.31312527855967215</v>
      </c>
      <c r="F150" s="38"/>
      <c r="G150" s="42"/>
      <c r="H150" s="40">
        <f>SUM(H114:H149)</f>
        <v>25975</v>
      </c>
      <c r="I150" s="77"/>
      <c r="J150" s="77"/>
      <c r="K150" s="45">
        <f>SUM(K114:K149)</f>
        <v>1980083846272.4412</v>
      </c>
      <c r="L150" s="37">
        <f>(K150/$K$222)</f>
        <v>0.31009165791271631</v>
      </c>
      <c r="M150" s="38"/>
      <c r="N150" s="42"/>
      <c r="O150" s="40">
        <f>SUM(O114:O149)</f>
        <v>26175</v>
      </c>
      <c r="P150" s="77"/>
      <c r="Q150" s="77"/>
      <c r="R150" s="54">
        <f t="shared" si="85"/>
        <v>6.895644308126286E-3</v>
      </c>
      <c r="S150" s="54" t="e">
        <f t="shared" si="86"/>
        <v>#DIV/0!</v>
      </c>
      <c r="T150" s="54">
        <f t="shared" si="87"/>
        <v>7.6997112608277194E-3</v>
      </c>
      <c r="U150" s="54">
        <f t="shared" si="88"/>
        <v>0</v>
      </c>
      <c r="V150" s="55">
        <f t="shared" si="89"/>
        <v>0</v>
      </c>
    </row>
    <row r="151" spans="1:22" ht="6" customHeight="1">
      <c r="A151" s="33"/>
      <c r="B151" s="183"/>
      <c r="C151" s="183"/>
      <c r="D151" s="183"/>
      <c r="E151" s="183"/>
      <c r="F151" s="183"/>
      <c r="G151" s="183"/>
      <c r="H151" s="183"/>
      <c r="I151" s="183"/>
      <c r="J151" s="183"/>
      <c r="K151" s="183"/>
      <c r="L151" s="183"/>
      <c r="M151" s="183"/>
      <c r="N151" s="183"/>
      <c r="O151" s="183"/>
      <c r="P151" s="183"/>
      <c r="Q151" s="183"/>
      <c r="R151" s="183"/>
      <c r="S151" s="183"/>
      <c r="T151" s="183"/>
      <c r="U151" s="183"/>
      <c r="V151" s="183"/>
    </row>
    <row r="152" spans="1:22">
      <c r="A152" s="185" t="s">
        <v>182</v>
      </c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  <c r="R152" s="185"/>
      <c r="S152" s="185"/>
      <c r="T152" s="185"/>
      <c r="U152" s="185"/>
      <c r="V152" s="185"/>
    </row>
    <row r="153" spans="1:22">
      <c r="A153" s="138">
        <v>133</v>
      </c>
      <c r="B153" s="139" t="s">
        <v>183</v>
      </c>
      <c r="C153" s="140" t="s">
        <v>184</v>
      </c>
      <c r="D153" s="69">
        <v>2465693706.9267359</v>
      </c>
      <c r="E153" s="27">
        <f>(D153/$D$159)</f>
        <v>6.8392436331607799E-3</v>
      </c>
      <c r="F153" s="57">
        <v>116.19668741407803</v>
      </c>
      <c r="G153" s="57">
        <v>116.19668741407803</v>
      </c>
      <c r="H153" s="29">
        <v>8</v>
      </c>
      <c r="I153" s="47">
        <v>2.5999999999999999E-3</v>
      </c>
      <c r="J153" s="47">
        <v>0.10203876457180816</v>
      </c>
      <c r="K153" s="69">
        <v>2473090788.0500002</v>
      </c>
      <c r="L153" s="27">
        <f>(K153/$K$159)</f>
        <v>6.8427853701701928E-3</v>
      </c>
      <c r="M153" s="57">
        <v>116.55</v>
      </c>
      <c r="N153" s="57">
        <v>116.55</v>
      </c>
      <c r="O153" s="29">
        <v>8</v>
      </c>
      <c r="P153" s="47">
        <v>3.0000000000000001E-3</v>
      </c>
      <c r="Q153" s="47">
        <v>0.1053</v>
      </c>
      <c r="R153" s="54">
        <f t="shared" ref="R153:R159" si="103">((K153-D153)/D153)</f>
        <v>3.0000000010074672E-3</v>
      </c>
      <c r="S153" s="54">
        <f t="shared" ref="S153:T159" si="104">((N153-G153)/G153)</f>
        <v>3.0406424983778256E-3</v>
      </c>
      <c r="T153" s="54">
        <f t="shared" si="104"/>
        <v>0</v>
      </c>
      <c r="U153" s="54">
        <f t="shared" ref="U153:V159" si="105">P153-I153</f>
        <v>4.0000000000000018E-4</v>
      </c>
      <c r="V153" s="55">
        <f t="shared" si="105"/>
        <v>3.2612354281918443E-3</v>
      </c>
    </row>
    <row r="154" spans="1:22">
      <c r="A154" s="138">
        <v>134</v>
      </c>
      <c r="B154" s="139" t="s">
        <v>312</v>
      </c>
      <c r="C154" s="140" t="s">
        <v>21</v>
      </c>
      <c r="D154" s="69">
        <v>254923180299.95001</v>
      </c>
      <c r="E154" s="27">
        <v>0</v>
      </c>
      <c r="F154" s="57">
        <v>101.9693</v>
      </c>
      <c r="G154" s="57">
        <v>101.9693</v>
      </c>
      <c r="H154" s="29">
        <v>45</v>
      </c>
      <c r="I154" s="47">
        <v>0.2452</v>
      </c>
      <c r="J154" s="47">
        <v>5.2499999999999998E-2</v>
      </c>
      <c r="K154" s="69">
        <v>255767218727.41</v>
      </c>
      <c r="L154" s="27">
        <f t="shared" ref="L154:L155" si="106">(K154/$K$159)</f>
        <v>0.70768133177068659</v>
      </c>
      <c r="M154" s="57">
        <v>102.3069</v>
      </c>
      <c r="N154" s="57">
        <v>102.3069</v>
      </c>
      <c r="O154" s="29">
        <v>45</v>
      </c>
      <c r="P154" s="47">
        <v>0.1726</v>
      </c>
      <c r="Q154" s="47">
        <v>5.8500000000000003E-2</v>
      </c>
      <c r="R154" s="54">
        <f t="shared" ref="R154" si="107">((K154-D154)/D154)</f>
        <v>3.3109520541320385E-3</v>
      </c>
      <c r="S154" s="54">
        <f t="shared" ref="S154" si="108">((N154-G154)/G154)</f>
        <v>3.3108004075736008E-3</v>
      </c>
      <c r="T154" s="54">
        <f t="shared" ref="T154" si="109">((O154-H154)/H154)</f>
        <v>0</v>
      </c>
      <c r="U154" s="54">
        <f t="shared" ref="U154" si="110">P154-I154</f>
        <v>-7.2599999999999998E-2</v>
      </c>
      <c r="V154" s="55">
        <f t="shared" ref="V154" si="111">Q154-J154</f>
        <v>6.0000000000000053E-3</v>
      </c>
    </row>
    <row r="155" spans="1:22">
      <c r="A155" s="138">
        <v>135</v>
      </c>
      <c r="B155" s="139" t="s">
        <v>185</v>
      </c>
      <c r="C155" s="140" t="s">
        <v>45</v>
      </c>
      <c r="D155" s="26">
        <v>57062508820</v>
      </c>
      <c r="E155" s="27">
        <f>(D155/$D$159)</f>
        <v>0.15827772891783673</v>
      </c>
      <c r="F155" s="57">
        <v>102.5</v>
      </c>
      <c r="G155" s="57">
        <v>102.5</v>
      </c>
      <c r="H155" s="29">
        <v>645</v>
      </c>
      <c r="I155" s="47">
        <v>8.3900000000000002E-2</v>
      </c>
      <c r="J155" s="47">
        <v>8.3900000000000002E-2</v>
      </c>
      <c r="K155" s="26">
        <v>57062508820</v>
      </c>
      <c r="L155" s="27">
        <f t="shared" si="106"/>
        <v>0.15788603573530002</v>
      </c>
      <c r="M155" s="57">
        <v>102.5</v>
      </c>
      <c r="N155" s="57">
        <v>102.5</v>
      </c>
      <c r="O155" s="29">
        <v>645</v>
      </c>
      <c r="P155" s="47">
        <v>8.3900000000000002E-2</v>
      </c>
      <c r="Q155" s="47">
        <v>8.3900000000000002E-2</v>
      </c>
      <c r="R155" s="54">
        <f t="shared" si="103"/>
        <v>0</v>
      </c>
      <c r="S155" s="54">
        <f t="shared" si="104"/>
        <v>0</v>
      </c>
      <c r="T155" s="54">
        <f t="shared" si="104"/>
        <v>0</v>
      </c>
      <c r="U155" s="54">
        <f t="shared" si="105"/>
        <v>0</v>
      </c>
      <c r="V155" s="55">
        <f t="shared" si="105"/>
        <v>0</v>
      </c>
    </row>
    <row r="156" spans="1:22" ht="15.75" customHeight="1">
      <c r="A156" s="138">
        <v>136</v>
      </c>
      <c r="B156" s="139" t="s">
        <v>186</v>
      </c>
      <c r="C156" s="140" t="s">
        <v>140</v>
      </c>
      <c r="D156" s="26">
        <v>2546147495.1100001</v>
      </c>
      <c r="E156" s="27">
        <f>(D156/$D$159)</f>
        <v>7.0624031671492433E-3</v>
      </c>
      <c r="F156" s="57">
        <v>249.25</v>
      </c>
      <c r="G156" s="57">
        <v>249.25</v>
      </c>
      <c r="H156" s="29">
        <v>3552</v>
      </c>
      <c r="I156" s="47">
        <v>0.30047233468286777</v>
      </c>
      <c r="J156" s="47">
        <v>7.0319919462612068E-2</v>
      </c>
      <c r="K156" s="26">
        <v>2550384636.2399998</v>
      </c>
      <c r="L156" s="27">
        <f>(K156/$K$159)</f>
        <v>7.0566494208368167E-3</v>
      </c>
      <c r="M156" s="57">
        <v>149.02000000000001</v>
      </c>
      <c r="N156" s="57">
        <v>149.02000000000001</v>
      </c>
      <c r="O156" s="29">
        <v>3552</v>
      </c>
      <c r="P156" s="47">
        <v>0.1026</v>
      </c>
      <c r="Q156" s="47">
        <v>7.1800000000000003E-2</v>
      </c>
      <c r="R156" s="54">
        <f t="shared" si="103"/>
        <v>1.6641381295220614E-3</v>
      </c>
      <c r="S156" s="54">
        <f t="shared" si="104"/>
        <v>-0.40212637913741217</v>
      </c>
      <c r="T156" s="54">
        <f t="shared" si="104"/>
        <v>0</v>
      </c>
      <c r="U156" s="54">
        <f t="shared" si="105"/>
        <v>-0.19787233468286777</v>
      </c>
      <c r="V156" s="55">
        <f t="shared" si="105"/>
        <v>1.4800805373879344E-3</v>
      </c>
    </row>
    <row r="157" spans="1:22">
      <c r="A157" s="138">
        <v>137</v>
      </c>
      <c r="B157" s="139" t="s">
        <v>187</v>
      </c>
      <c r="C157" s="140" t="s">
        <v>140</v>
      </c>
      <c r="D157" s="26">
        <v>10223092060.76</v>
      </c>
      <c r="E157" s="27">
        <f>(D157/$D$159)</f>
        <v>2.8356408215404857E-2</v>
      </c>
      <c r="F157" s="57">
        <v>50.25</v>
      </c>
      <c r="G157" s="57">
        <v>50.25</v>
      </c>
      <c r="H157" s="29">
        <v>5482</v>
      </c>
      <c r="I157" s="47">
        <v>8.7812154164506259E-3</v>
      </c>
      <c r="J157" s="47">
        <v>0.15424428754953254</v>
      </c>
      <c r="K157" s="26">
        <v>10226116234.549999</v>
      </c>
      <c r="L157" s="27">
        <f>(K157/$K$159)</f>
        <v>2.8294601597951486E-2</v>
      </c>
      <c r="M157" s="57">
        <v>59.39</v>
      </c>
      <c r="N157" s="57">
        <v>59.39</v>
      </c>
      <c r="O157" s="29">
        <v>5482</v>
      </c>
      <c r="P157" s="47">
        <v>1.7600000000000001E-2</v>
      </c>
      <c r="Q157" s="47">
        <v>0.1313</v>
      </c>
      <c r="R157" s="54">
        <f t="shared" si="103"/>
        <v>2.9581791614759131E-4</v>
      </c>
      <c r="S157" s="54">
        <f t="shared" si="104"/>
        <v>0.18189054726368159</v>
      </c>
      <c r="T157" s="54">
        <f t="shared" si="104"/>
        <v>0</v>
      </c>
      <c r="U157" s="54">
        <f t="shared" si="105"/>
        <v>8.8187845835493751E-3</v>
      </c>
      <c r="V157" s="55">
        <f t="shared" si="105"/>
        <v>-2.2944287549532538E-2</v>
      </c>
    </row>
    <row r="158" spans="1:22">
      <c r="A158" s="138">
        <v>138</v>
      </c>
      <c r="B158" s="139" t="s">
        <v>188</v>
      </c>
      <c r="C158" s="140" t="s">
        <v>47</v>
      </c>
      <c r="D158" s="26">
        <v>33300780155.330002</v>
      </c>
      <c r="E158" s="27">
        <f>(D158/$D$159)</f>
        <v>9.2368386234192898E-2</v>
      </c>
      <c r="F158" s="57">
        <v>9.35</v>
      </c>
      <c r="G158" s="57">
        <v>9.35</v>
      </c>
      <c r="H158" s="29">
        <v>208483</v>
      </c>
      <c r="I158" s="47">
        <v>8.72E-2</v>
      </c>
      <c r="J158" s="47">
        <v>0.87</v>
      </c>
      <c r="K158" s="26">
        <v>33336486531.419998</v>
      </c>
      <c r="L158" s="27">
        <f>(K158/$K$159)</f>
        <v>9.2238596105055123E-2</v>
      </c>
      <c r="M158" s="57">
        <v>8.4</v>
      </c>
      <c r="N158" s="57">
        <v>8.4</v>
      </c>
      <c r="O158" s="29">
        <v>208914</v>
      </c>
      <c r="P158" s="47">
        <v>-0.15509999999999999</v>
      </c>
      <c r="Q158" s="47">
        <v>0.57999999999999996</v>
      </c>
      <c r="R158" s="54">
        <f t="shared" si="103"/>
        <v>1.0722384257499536E-3</v>
      </c>
      <c r="S158" s="54">
        <f t="shared" si="104"/>
        <v>-0.10160427807486624</v>
      </c>
      <c r="T158" s="54">
        <f t="shared" si="104"/>
        <v>2.0673148410182123E-3</v>
      </c>
      <c r="U158" s="54">
        <f t="shared" si="105"/>
        <v>-0.24229999999999999</v>
      </c>
      <c r="V158" s="55">
        <f t="shared" si="105"/>
        <v>-0.29000000000000004</v>
      </c>
    </row>
    <row r="159" spans="1:22">
      <c r="A159" s="33"/>
      <c r="B159" s="70"/>
      <c r="C159" s="35" t="s">
        <v>51</v>
      </c>
      <c r="D159" s="36">
        <f>SUM(D153:D158)</f>
        <v>360521402538.07672</v>
      </c>
      <c r="E159" s="37">
        <f>(D159/$D$222)</f>
        <v>5.740504515463974E-2</v>
      </c>
      <c r="F159" s="38"/>
      <c r="G159" s="71"/>
      <c r="H159" s="40">
        <f>SUM(H153:H158)</f>
        <v>218215</v>
      </c>
      <c r="I159" s="78"/>
      <c r="J159" s="78"/>
      <c r="K159" s="36">
        <f>SUM(K153:K158)</f>
        <v>361415805737.66992</v>
      </c>
      <c r="L159" s="37">
        <f>(K159/$K$222)</f>
        <v>5.6599636731562028E-2</v>
      </c>
      <c r="M159" s="38"/>
      <c r="N159" s="71"/>
      <c r="O159" s="40">
        <f>SUM(O153:O158)</f>
        <v>218646</v>
      </c>
      <c r="P159" s="78"/>
      <c r="Q159" s="78"/>
      <c r="R159" s="54">
        <f t="shared" si="103"/>
        <v>2.4808602021865753E-3</v>
      </c>
      <c r="S159" s="54" t="e">
        <f t="shared" si="104"/>
        <v>#DIV/0!</v>
      </c>
      <c r="T159" s="54">
        <f t="shared" si="104"/>
        <v>1.9751162843984144E-3</v>
      </c>
      <c r="U159" s="54">
        <f t="shared" si="105"/>
        <v>0</v>
      </c>
      <c r="V159" s="55">
        <f t="shared" si="105"/>
        <v>0</v>
      </c>
    </row>
    <row r="160" spans="1:22" ht="5.25" customHeight="1">
      <c r="A160" s="33"/>
      <c r="B160" s="183"/>
      <c r="C160" s="183"/>
      <c r="D160" s="183"/>
      <c r="E160" s="183"/>
      <c r="F160" s="183"/>
      <c r="G160" s="183"/>
      <c r="H160" s="183"/>
      <c r="I160" s="183"/>
      <c r="J160" s="183"/>
      <c r="K160" s="183"/>
      <c r="L160" s="183"/>
      <c r="M160" s="183"/>
      <c r="N160" s="183"/>
      <c r="O160" s="183"/>
      <c r="P160" s="183"/>
      <c r="Q160" s="183"/>
      <c r="R160" s="183"/>
      <c r="S160" s="183"/>
      <c r="T160" s="183"/>
      <c r="U160" s="183"/>
      <c r="V160" s="183"/>
    </row>
    <row r="161" spans="1:22" ht="15" customHeight="1">
      <c r="A161" s="185" t="s">
        <v>189</v>
      </c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  <c r="R161" s="185"/>
      <c r="S161" s="185"/>
      <c r="T161" s="185"/>
      <c r="U161" s="185"/>
      <c r="V161" s="185"/>
    </row>
    <row r="162" spans="1:22">
      <c r="A162" s="167">
        <v>139</v>
      </c>
      <c r="B162" s="139" t="s">
        <v>190</v>
      </c>
      <c r="C162" s="140" t="s">
        <v>55</v>
      </c>
      <c r="D162" s="30">
        <v>414289292.97000003</v>
      </c>
      <c r="E162" s="27">
        <f t="shared" ref="E162:E189" si="112">(D162/$D$190)</f>
        <v>5.4707027490615611E-3</v>
      </c>
      <c r="F162" s="30">
        <v>7.4387999999999996</v>
      </c>
      <c r="G162" s="30">
        <v>7.5488999999999997</v>
      </c>
      <c r="H162" s="31">
        <v>11864</v>
      </c>
      <c r="I162" s="48">
        <v>3.0053E-2</v>
      </c>
      <c r="J162" s="48">
        <v>0.30182799999999999</v>
      </c>
      <c r="K162" s="30">
        <v>507192867.94999999</v>
      </c>
      <c r="L162" s="51">
        <f t="shared" ref="L162:L189" si="113">(K162/$K$190)</f>
        <v>6.599555886244367E-3</v>
      </c>
      <c r="M162" s="30">
        <v>7.4519000000000002</v>
      </c>
      <c r="N162" s="30">
        <v>7.5392000000000001</v>
      </c>
      <c r="O162" s="31">
        <v>11875</v>
      </c>
      <c r="P162" s="48">
        <v>2.2929999999999999E-3</v>
      </c>
      <c r="Q162" s="48">
        <v>0.30412099999999997</v>
      </c>
      <c r="R162" s="54">
        <f>((K162-D162)/D162)</f>
        <v>0.22424807147194942</v>
      </c>
      <c r="S162" s="54">
        <f>((N162-G162)/G162)</f>
        <v>-1.2849554239690018E-3</v>
      </c>
      <c r="T162" s="54">
        <f>((O162-H162)/H162)</f>
        <v>9.2717464598786239E-4</v>
      </c>
      <c r="U162" s="54">
        <f>P162-I162</f>
        <v>-2.776E-2</v>
      </c>
      <c r="V162" s="55">
        <f>Q162-J162</f>
        <v>2.2929999999999895E-3</v>
      </c>
    </row>
    <row r="163" spans="1:22">
      <c r="A163" s="167">
        <v>140</v>
      </c>
      <c r="B163" s="139" t="s">
        <v>191</v>
      </c>
      <c r="C163" s="139" t="s">
        <v>192</v>
      </c>
      <c r="D163" s="30">
        <v>1084588499.0079074</v>
      </c>
      <c r="E163" s="27">
        <f t="shared" si="112"/>
        <v>1.4322024208221019E-2</v>
      </c>
      <c r="F163" s="30">
        <v>2243.853640062232</v>
      </c>
      <c r="G163" s="30">
        <v>2270.7024481282097</v>
      </c>
      <c r="H163" s="31">
        <v>157</v>
      </c>
      <c r="I163" s="48">
        <v>7.9361153549185381E-2</v>
      </c>
      <c r="J163" s="48">
        <v>0.49049317895694222</v>
      </c>
      <c r="K163" s="30">
        <v>1084588499.00791</v>
      </c>
      <c r="L163" s="51">
        <f t="shared" si="113"/>
        <v>1.4112584906233785E-2</v>
      </c>
      <c r="M163" s="30">
        <v>2243.8536400622302</v>
      </c>
      <c r="N163" s="30">
        <v>2270.7024481282101</v>
      </c>
      <c r="O163" s="31">
        <v>157</v>
      </c>
      <c r="P163" s="48">
        <v>7.9361153549185381E-2</v>
      </c>
      <c r="Q163" s="48">
        <v>0.49049317895694222</v>
      </c>
      <c r="R163" s="54">
        <f>((K163-D163)/D163)</f>
        <v>2.4180639685153687E-15</v>
      </c>
      <c r="S163" s="54">
        <f>((N163-G163)/G163)</f>
        <v>2.0026725706017644E-16</v>
      </c>
      <c r="T163" s="54">
        <f>((O163-H163)/H163)</f>
        <v>0</v>
      </c>
      <c r="U163" s="54">
        <f>P163-I163</f>
        <v>0</v>
      </c>
      <c r="V163" s="55">
        <f>Q163-J163</f>
        <v>0</v>
      </c>
    </row>
    <row r="164" spans="1:22">
      <c r="A164" s="167">
        <v>141</v>
      </c>
      <c r="B164" s="139" t="s">
        <v>193</v>
      </c>
      <c r="C164" s="140" t="s">
        <v>21</v>
      </c>
      <c r="D164" s="30">
        <v>8697787677.7800007</v>
      </c>
      <c r="E164" s="27">
        <f t="shared" si="112"/>
        <v>0.11485455155856623</v>
      </c>
      <c r="F164" s="30">
        <v>980.39800000000002</v>
      </c>
      <c r="G164" s="30">
        <v>1009.9577</v>
      </c>
      <c r="H164" s="31">
        <v>21613</v>
      </c>
      <c r="I164" s="48">
        <v>1.0516000000000001</v>
      </c>
      <c r="J164" s="48">
        <v>0.39989999999999998</v>
      </c>
      <c r="K164" s="30">
        <v>8893028734.6299992</v>
      </c>
      <c r="L164" s="51">
        <f t="shared" si="113"/>
        <v>0.11571542866796281</v>
      </c>
      <c r="M164" s="30">
        <v>986.71690000000001</v>
      </c>
      <c r="N164" s="30">
        <v>1016.4672</v>
      </c>
      <c r="O164" s="31">
        <v>21644</v>
      </c>
      <c r="P164" s="48">
        <v>0.33610000000000001</v>
      </c>
      <c r="Q164" s="48">
        <v>0.40039999999999998</v>
      </c>
      <c r="R164" s="54">
        <f t="shared" ref="R164:R189" si="114">((K164-D164)/D164)</f>
        <v>2.244720888609128E-2</v>
      </c>
      <c r="S164" s="54">
        <f t="shared" ref="S164:T189" si="115">((N164-G164)/G164)</f>
        <v>6.4453194425865582E-3</v>
      </c>
      <c r="T164" s="54">
        <f t="shared" si="115"/>
        <v>1.4343219358719289E-3</v>
      </c>
      <c r="U164" s="54">
        <f t="shared" ref="U164:V189" si="116">P164-I164</f>
        <v>-0.71550000000000002</v>
      </c>
      <c r="V164" s="55">
        <f t="shared" si="116"/>
        <v>5.0000000000000044E-4</v>
      </c>
    </row>
    <row r="165" spans="1:22">
      <c r="A165" s="167">
        <v>142</v>
      </c>
      <c r="B165" s="139" t="s">
        <v>194</v>
      </c>
      <c r="C165" s="140" t="s">
        <v>107</v>
      </c>
      <c r="D165" s="30">
        <v>5620654641.46</v>
      </c>
      <c r="E165" s="27">
        <f t="shared" si="112"/>
        <v>7.422091596460223E-2</v>
      </c>
      <c r="F165" s="30">
        <v>34.248100000000001</v>
      </c>
      <c r="G165" s="30">
        <v>34.718600000000002</v>
      </c>
      <c r="H165" s="29">
        <v>6190</v>
      </c>
      <c r="I165" s="47">
        <v>4.7699999999999999E-2</v>
      </c>
      <c r="J165" s="47">
        <v>0.61180000000000001</v>
      </c>
      <c r="K165" s="30">
        <v>5777220030.7200003</v>
      </c>
      <c r="L165" s="51">
        <f t="shared" si="113"/>
        <v>7.5172757483698838E-2</v>
      </c>
      <c r="M165" s="30">
        <v>34.090000000000003</v>
      </c>
      <c r="N165" s="30">
        <v>34.56</v>
      </c>
      <c r="O165" s="29">
        <v>6159</v>
      </c>
      <c r="P165" s="47">
        <v>-5.8999999999999999E-3</v>
      </c>
      <c r="Q165" s="47">
        <v>0.60440000000000005</v>
      </c>
      <c r="R165" s="54">
        <f t="shared" si="114"/>
        <v>2.7855365477379945E-2</v>
      </c>
      <c r="S165" s="54">
        <f t="shared" si="115"/>
        <v>-4.5681565500913009E-3</v>
      </c>
      <c r="T165" s="54">
        <f t="shared" si="115"/>
        <v>-5.008077544426494E-3</v>
      </c>
      <c r="U165" s="54">
        <f t="shared" si="116"/>
        <v>-5.3600000000000002E-2</v>
      </c>
      <c r="V165" s="55">
        <f t="shared" si="116"/>
        <v>-7.3999999999999622E-3</v>
      </c>
    </row>
    <row r="166" spans="1:22">
      <c r="A166" s="167">
        <v>143</v>
      </c>
      <c r="B166" s="139" t="s">
        <v>195</v>
      </c>
      <c r="C166" s="140" t="s">
        <v>116</v>
      </c>
      <c r="D166" s="26">
        <v>2530140254.1541991</v>
      </c>
      <c r="E166" s="27">
        <f t="shared" si="112"/>
        <v>3.3410579222753437E-2</v>
      </c>
      <c r="F166" s="30">
        <v>6.0343</v>
      </c>
      <c r="G166" s="30">
        <v>6.1871999999999998</v>
      </c>
      <c r="H166" s="29">
        <v>2739</v>
      </c>
      <c r="I166" s="47">
        <v>2.3332000000000002</v>
      </c>
      <c r="J166" s="47">
        <v>0.55093000000000003</v>
      </c>
      <c r="K166" s="26">
        <v>2529908773.3400002</v>
      </c>
      <c r="L166" s="51">
        <f t="shared" si="113"/>
        <v>3.291898485134695E-2</v>
      </c>
      <c r="M166" s="30">
        <v>6.0313999999999997</v>
      </c>
      <c r="N166" s="30">
        <v>6.1837</v>
      </c>
      <c r="O166" s="29">
        <v>2739</v>
      </c>
      <c r="P166" s="47">
        <v>2.9499999999999998E-2</v>
      </c>
      <c r="Q166" s="47">
        <v>0.54020000000000001</v>
      </c>
      <c r="R166" s="54">
        <f t="shared" si="114"/>
        <v>-9.1489321123169333E-5</v>
      </c>
      <c r="S166" s="54">
        <f t="shared" si="115"/>
        <v>-5.6568399275921846E-4</v>
      </c>
      <c r="T166" s="54">
        <f t="shared" si="115"/>
        <v>0</v>
      </c>
      <c r="U166" s="54">
        <f t="shared" si="116"/>
        <v>-2.3037000000000001</v>
      </c>
      <c r="V166" s="55">
        <f t="shared" si="116"/>
        <v>-1.0730000000000017E-2</v>
      </c>
    </row>
    <row r="167" spans="1:22">
      <c r="A167" s="167">
        <v>144</v>
      </c>
      <c r="B167" s="139" t="s">
        <v>304</v>
      </c>
      <c r="C167" s="140" t="s">
        <v>25</v>
      </c>
      <c r="D167" s="26">
        <v>923773642.10000002</v>
      </c>
      <c r="E167" s="27">
        <f t="shared" si="112"/>
        <v>1.2198459118066163E-2</v>
      </c>
      <c r="F167" s="30">
        <v>1.1388</v>
      </c>
      <c r="G167" s="30">
        <v>1.1444000000000001</v>
      </c>
      <c r="H167" s="29">
        <v>205</v>
      </c>
      <c r="I167" s="47">
        <v>2.7199999999999998E-2</v>
      </c>
      <c r="J167" s="47">
        <v>0.1416</v>
      </c>
      <c r="K167" s="26">
        <v>949840143.72000003</v>
      </c>
      <c r="L167" s="51">
        <f t="shared" si="113"/>
        <v>1.235924932622768E-2</v>
      </c>
      <c r="M167" s="30">
        <v>1.1332</v>
      </c>
      <c r="N167" s="30">
        <v>1.1393</v>
      </c>
      <c r="O167" s="29">
        <v>207</v>
      </c>
      <c r="P167" s="47">
        <v>-5.3E-3</v>
      </c>
      <c r="Q167" s="47">
        <v>0.1363</v>
      </c>
      <c r="R167" s="54">
        <f t="shared" ref="R167" si="117">((K167-D167)/D167)</f>
        <v>2.8217412179831671E-2</v>
      </c>
      <c r="S167" s="54">
        <f t="shared" ref="S167" si="118">((N167-G167)/G167)</f>
        <v>-4.4564837469417201E-3</v>
      </c>
      <c r="T167" s="54">
        <f t="shared" ref="T167" si="119">((O167-H167)/H167)</f>
        <v>9.7560975609756097E-3</v>
      </c>
      <c r="U167" s="54">
        <f t="shared" ref="U167" si="120">P167-I167</f>
        <v>-3.2500000000000001E-2</v>
      </c>
      <c r="V167" s="55">
        <f t="shared" ref="V167" si="121">Q167-J167</f>
        <v>-5.2999999999999992E-3</v>
      </c>
    </row>
    <row r="168" spans="1:22">
      <c r="A168" s="167">
        <v>145</v>
      </c>
      <c r="B168" s="139" t="s">
        <v>196</v>
      </c>
      <c r="C168" s="140" t="s">
        <v>63</v>
      </c>
      <c r="D168" s="30">
        <v>6250824461.2518902</v>
      </c>
      <c r="E168" s="27">
        <f t="shared" si="112"/>
        <v>8.254232765447847E-2</v>
      </c>
      <c r="F168" s="30">
        <v>11664.261148629899</v>
      </c>
      <c r="G168" s="30">
        <v>11763.849254455199</v>
      </c>
      <c r="H168" s="29">
        <v>1222</v>
      </c>
      <c r="I168" s="47">
        <v>1.1206017770694332</v>
      </c>
      <c r="J168" s="47">
        <v>0.90211921246167803</v>
      </c>
      <c r="K168" s="30">
        <v>6401800589.6300001</v>
      </c>
      <c r="L168" s="51">
        <f t="shared" si="113"/>
        <v>8.3299753276539198E-2</v>
      </c>
      <c r="M168" s="30">
        <v>11518.88</v>
      </c>
      <c r="N168" s="30">
        <v>11612.49</v>
      </c>
      <c r="O168" s="29">
        <v>1240</v>
      </c>
      <c r="P168" s="47">
        <v>-0.64990000000000003</v>
      </c>
      <c r="Q168" s="47">
        <v>0.84189999999999998</v>
      </c>
      <c r="R168" s="54">
        <f t="shared" si="114"/>
        <v>2.4152994427214011E-2</v>
      </c>
      <c r="S168" s="54">
        <f t="shared" si="115"/>
        <v>-1.2866473480002869E-2</v>
      </c>
      <c r="T168" s="54">
        <f t="shared" si="115"/>
        <v>1.4729950900163666E-2</v>
      </c>
      <c r="U168" s="54">
        <f t="shared" si="116"/>
        <v>-1.7705017770694331</v>
      </c>
      <c r="V168" s="55">
        <f t="shared" si="116"/>
        <v>-6.0219212461678051E-2</v>
      </c>
    </row>
    <row r="169" spans="1:22">
      <c r="A169" s="167">
        <v>146</v>
      </c>
      <c r="B169" s="139" t="s">
        <v>197</v>
      </c>
      <c r="C169" s="140" t="s">
        <v>65</v>
      </c>
      <c r="D169" s="30">
        <v>1065419003</v>
      </c>
      <c r="E169" s="27">
        <f t="shared" si="112"/>
        <v>1.4068890428786904E-2</v>
      </c>
      <c r="F169" s="30">
        <v>234.57</v>
      </c>
      <c r="G169" s="30">
        <v>236.48</v>
      </c>
      <c r="H169" s="29">
        <v>496</v>
      </c>
      <c r="I169" s="47">
        <v>2.5899999999999999E-2</v>
      </c>
      <c r="J169" s="47">
        <v>0.27100000000000002</v>
      </c>
      <c r="K169" s="30">
        <v>1058244515.97</v>
      </c>
      <c r="L169" s="51">
        <f t="shared" si="113"/>
        <v>1.3769798957709564E-2</v>
      </c>
      <c r="M169" s="30">
        <v>232.23</v>
      </c>
      <c r="N169" s="30">
        <v>234.1</v>
      </c>
      <c r="O169" s="29">
        <v>502</v>
      </c>
      <c r="P169" s="47">
        <v>-0.01</v>
      </c>
      <c r="Q169" s="47">
        <v>0.25950000000000001</v>
      </c>
      <c r="R169" s="54">
        <f t="shared" si="114"/>
        <v>-6.7339581984159251E-3</v>
      </c>
      <c r="S169" s="54">
        <f t="shared" si="115"/>
        <v>-1.006427604871446E-2</v>
      </c>
      <c r="T169" s="54">
        <f t="shared" si="115"/>
        <v>1.2096774193548387E-2</v>
      </c>
      <c r="U169" s="54">
        <f t="shared" si="116"/>
        <v>-3.5900000000000001E-2</v>
      </c>
      <c r="V169" s="55">
        <f t="shared" si="116"/>
        <v>-1.150000000000001E-2</v>
      </c>
    </row>
    <row r="170" spans="1:22">
      <c r="A170" s="167">
        <v>147</v>
      </c>
      <c r="B170" s="139" t="s">
        <v>198</v>
      </c>
      <c r="C170" s="140" t="s">
        <v>121</v>
      </c>
      <c r="D170" s="30">
        <v>472069824.18000001</v>
      </c>
      <c r="E170" s="27">
        <f t="shared" si="112"/>
        <v>6.2336964259357393E-3</v>
      </c>
      <c r="F170" s="30">
        <v>2.0133999999999999</v>
      </c>
      <c r="G170" s="30">
        <v>2.0310000000000001</v>
      </c>
      <c r="H170" s="29">
        <v>794</v>
      </c>
      <c r="I170" s="47">
        <v>3.628596428019959E-2</v>
      </c>
      <c r="J170" s="47">
        <v>0.37536716988865398</v>
      </c>
      <c r="K170" s="30">
        <v>533102959.62</v>
      </c>
      <c r="L170" s="51">
        <f t="shared" si="113"/>
        <v>6.9366960725506478E-3</v>
      </c>
      <c r="M170" s="30">
        <v>2.0213999999999999</v>
      </c>
      <c r="N170" s="30">
        <v>2.0398000000000001</v>
      </c>
      <c r="O170" s="29">
        <v>952</v>
      </c>
      <c r="P170" s="47">
        <v>4.0000000000000001E-3</v>
      </c>
      <c r="Q170" s="47">
        <v>0.38080000000000003</v>
      </c>
      <c r="R170" s="54">
        <f t="shared" si="114"/>
        <v>0.1292883643770632</v>
      </c>
      <c r="S170" s="54">
        <f t="shared" si="115"/>
        <v>4.3328409650418113E-3</v>
      </c>
      <c r="T170" s="54">
        <f t="shared" si="115"/>
        <v>0.19899244332493704</v>
      </c>
      <c r="U170" s="54">
        <f t="shared" si="116"/>
        <v>-3.2285964280199586E-2</v>
      </c>
      <c r="V170" s="55">
        <f t="shared" si="116"/>
        <v>5.4328301113460431E-3</v>
      </c>
    </row>
    <row r="171" spans="1:22">
      <c r="A171" s="167">
        <v>148</v>
      </c>
      <c r="B171" s="139" t="s">
        <v>199</v>
      </c>
      <c r="C171" s="140" t="s">
        <v>27</v>
      </c>
      <c r="D171" s="41">
        <v>160877830.53</v>
      </c>
      <c r="E171" s="27">
        <f t="shared" si="112"/>
        <v>2.1243966587552211E-3</v>
      </c>
      <c r="F171" s="30">
        <v>192.71559999999999</v>
      </c>
      <c r="G171" s="30">
        <v>193.85429999999999</v>
      </c>
      <c r="H171" s="29">
        <v>132</v>
      </c>
      <c r="I171" s="47">
        <v>5.3990000000000002E-3</v>
      </c>
      <c r="J171" s="47">
        <v>0.20569999999999999</v>
      </c>
      <c r="K171" s="41">
        <v>164454124.72</v>
      </c>
      <c r="L171" s="51">
        <f t="shared" si="113"/>
        <v>2.1398648431311036E-3</v>
      </c>
      <c r="M171" s="30">
        <v>197.06530000000001</v>
      </c>
      <c r="N171" s="30">
        <v>198.2397</v>
      </c>
      <c r="O171" s="29">
        <v>134</v>
      </c>
      <c r="P171" s="47">
        <v>6.097E-3</v>
      </c>
      <c r="Q171" s="47">
        <v>0.2329</v>
      </c>
      <c r="R171" s="54">
        <f t="shared" si="114"/>
        <v>2.2229875789710512E-2</v>
      </c>
      <c r="S171" s="54">
        <f t="shared" si="115"/>
        <v>2.2622144569400857E-2</v>
      </c>
      <c r="T171" s="54">
        <f t="shared" si="115"/>
        <v>1.5151515151515152E-2</v>
      </c>
      <c r="U171" s="54">
        <f t="shared" si="116"/>
        <v>6.9799999999999984E-4</v>
      </c>
      <c r="V171" s="55">
        <f t="shared" si="116"/>
        <v>2.7200000000000002E-2</v>
      </c>
    </row>
    <row r="172" spans="1:22">
      <c r="A172" s="167">
        <v>149</v>
      </c>
      <c r="B172" s="139" t="s">
        <v>200</v>
      </c>
      <c r="C172" s="140" t="s">
        <v>68</v>
      </c>
      <c r="D172" s="41">
        <v>341182691.54000002</v>
      </c>
      <c r="E172" s="27">
        <f t="shared" si="112"/>
        <v>4.5053278475030737E-3</v>
      </c>
      <c r="F172" s="30">
        <v>158.16</v>
      </c>
      <c r="G172" s="30">
        <v>158.52000000000001</v>
      </c>
      <c r="H172" s="29">
        <v>51</v>
      </c>
      <c r="I172" s="47">
        <v>3.7400000000000003E-2</v>
      </c>
      <c r="J172" s="47">
        <v>0.37859999999999999</v>
      </c>
      <c r="K172" s="41">
        <v>348941113.66000003</v>
      </c>
      <c r="L172" s="51">
        <f t="shared" si="113"/>
        <v>4.5403958259810102E-3</v>
      </c>
      <c r="M172" s="30">
        <v>159.94</v>
      </c>
      <c r="N172" s="30">
        <v>160.38999999999999</v>
      </c>
      <c r="O172" s="29">
        <v>55</v>
      </c>
      <c r="P172" s="47">
        <v>1.54E-2</v>
      </c>
      <c r="Q172" s="47">
        <v>0.39389999999999997</v>
      </c>
      <c r="R172" s="54">
        <f t="shared" si="114"/>
        <v>2.2739788132219517E-2</v>
      </c>
      <c r="S172" s="54">
        <f t="shared" si="115"/>
        <v>1.1796618723189352E-2</v>
      </c>
      <c r="T172" s="54">
        <f t="shared" si="115"/>
        <v>7.8431372549019607E-2</v>
      </c>
      <c r="U172" s="54">
        <f t="shared" si="116"/>
        <v>-2.2000000000000002E-2</v>
      </c>
      <c r="V172" s="55">
        <f t="shared" si="116"/>
        <v>1.529999999999998E-2</v>
      </c>
    </row>
    <row r="173" spans="1:22" ht="15.75" customHeight="1">
      <c r="A173" s="167">
        <v>150</v>
      </c>
      <c r="B173" s="139" t="s">
        <v>201</v>
      </c>
      <c r="C173" s="140" t="s">
        <v>71</v>
      </c>
      <c r="D173" s="26">
        <v>453705843.97000003</v>
      </c>
      <c r="E173" s="27">
        <f t="shared" si="112"/>
        <v>5.9911995071803862E-3</v>
      </c>
      <c r="F173" s="30">
        <v>1.7175</v>
      </c>
      <c r="G173" s="30">
        <v>1.7386999999999999</v>
      </c>
      <c r="H173" s="29">
        <v>100</v>
      </c>
      <c r="I173" s="47">
        <v>3.6999999999999998E-2</v>
      </c>
      <c r="J173" s="47">
        <v>0.40699999999999997</v>
      </c>
      <c r="K173" s="26">
        <v>451687826.62</v>
      </c>
      <c r="L173" s="51">
        <f t="shared" si="113"/>
        <v>5.8773284154476964E-3</v>
      </c>
      <c r="M173" s="30">
        <v>1.71</v>
      </c>
      <c r="N173" s="30">
        <v>1.7282</v>
      </c>
      <c r="O173" s="29">
        <v>101</v>
      </c>
      <c r="P173" s="47">
        <v>3.6999999999999998E-2</v>
      </c>
      <c r="Q173" s="47">
        <v>0.40899999999999997</v>
      </c>
      <c r="R173" s="54">
        <f t="shared" si="114"/>
        <v>-4.4478539935523939E-3</v>
      </c>
      <c r="S173" s="54">
        <f t="shared" si="115"/>
        <v>-6.0389946511761397E-3</v>
      </c>
      <c r="T173" s="54">
        <f t="shared" si="115"/>
        <v>0.01</v>
      </c>
      <c r="U173" s="54">
        <f t="shared" si="116"/>
        <v>0</v>
      </c>
      <c r="V173" s="55">
        <f t="shared" si="116"/>
        <v>2.0000000000000018E-3</v>
      </c>
    </row>
    <row r="174" spans="1:22">
      <c r="A174" s="167">
        <v>151</v>
      </c>
      <c r="B174" s="139" t="s">
        <v>202</v>
      </c>
      <c r="C174" s="140" t="s">
        <v>29</v>
      </c>
      <c r="D174" s="30">
        <v>13231072100.690001</v>
      </c>
      <c r="E174" s="27">
        <f t="shared" si="112"/>
        <v>0.17471671062355454</v>
      </c>
      <c r="F174" s="30">
        <v>452.32</v>
      </c>
      <c r="G174" s="30">
        <v>456.88</v>
      </c>
      <c r="H174" s="29">
        <v>5494</v>
      </c>
      <c r="I174" s="47">
        <v>4.2299999999999997E-2</v>
      </c>
      <c r="J174" s="47">
        <v>0.39560000000000001</v>
      </c>
      <c r="K174" s="30">
        <v>13365140593.299999</v>
      </c>
      <c r="L174" s="51">
        <f t="shared" si="113"/>
        <v>0.17390621565619463</v>
      </c>
      <c r="M174" s="30">
        <v>456.06</v>
      </c>
      <c r="N174" s="30">
        <v>460.67</v>
      </c>
      <c r="O174" s="29">
        <v>5496</v>
      </c>
      <c r="P174" s="47">
        <v>8.3000000000000001E-3</v>
      </c>
      <c r="Q174" s="47">
        <v>0.40710000000000002</v>
      </c>
      <c r="R174" s="54">
        <f t="shared" si="114"/>
        <v>1.0132851789312449E-2</v>
      </c>
      <c r="S174" s="54">
        <f t="shared" si="115"/>
        <v>8.2953948520399674E-3</v>
      </c>
      <c r="T174" s="54">
        <f t="shared" si="115"/>
        <v>3.6403349108117945E-4</v>
      </c>
      <c r="U174" s="54">
        <f t="shared" si="116"/>
        <v>-3.3999999999999996E-2</v>
      </c>
      <c r="V174" s="55">
        <f t="shared" si="116"/>
        <v>1.150000000000001E-2</v>
      </c>
    </row>
    <row r="175" spans="1:22">
      <c r="A175" s="167">
        <v>152</v>
      </c>
      <c r="B175" s="139" t="s">
        <v>203</v>
      </c>
      <c r="C175" s="140" t="s">
        <v>76</v>
      </c>
      <c r="D175" s="30">
        <v>4296681754</v>
      </c>
      <c r="E175" s="27">
        <f t="shared" si="112"/>
        <v>5.6737813605896359E-2</v>
      </c>
      <c r="F175" s="30">
        <v>3.0085999999999999</v>
      </c>
      <c r="G175" s="30">
        <v>3.0703999999999998</v>
      </c>
      <c r="H175" s="29">
        <v>10206</v>
      </c>
      <c r="I175" s="47">
        <v>2.1999999999999999E-2</v>
      </c>
      <c r="J175" s="47">
        <v>0.29970000000000002</v>
      </c>
      <c r="K175" s="30">
        <v>4263952753.4099998</v>
      </c>
      <c r="L175" s="51">
        <f t="shared" si="113"/>
        <v>5.5482236187928718E-2</v>
      </c>
      <c r="M175" s="30">
        <v>2.9860000000000002</v>
      </c>
      <c r="N175" s="30">
        <v>3.0467</v>
      </c>
      <c r="O175" s="29">
        <v>10206</v>
      </c>
      <c r="P175" s="47">
        <v>-7.6E-3</v>
      </c>
      <c r="Q175" s="47">
        <v>0.2898</v>
      </c>
      <c r="R175" s="54">
        <f t="shared" si="114"/>
        <v>-7.617273622727831E-3</v>
      </c>
      <c r="S175" s="54">
        <f t="shared" si="115"/>
        <v>-7.7188639916622699E-3</v>
      </c>
      <c r="T175" s="54">
        <f t="shared" si="115"/>
        <v>0</v>
      </c>
      <c r="U175" s="54">
        <f t="shared" si="116"/>
        <v>-2.9599999999999998E-2</v>
      </c>
      <c r="V175" s="55">
        <f t="shared" si="116"/>
        <v>-9.9000000000000199E-3</v>
      </c>
    </row>
    <row r="176" spans="1:22">
      <c r="A176" s="167">
        <v>153</v>
      </c>
      <c r="B176" s="139" t="s">
        <v>204</v>
      </c>
      <c r="C176" s="140" t="s">
        <v>78</v>
      </c>
      <c r="D176" s="30">
        <v>306043504.69999999</v>
      </c>
      <c r="E176" s="27">
        <f t="shared" si="112"/>
        <v>4.0413138135722082E-3</v>
      </c>
      <c r="F176" s="30">
        <v>349.03649999999999</v>
      </c>
      <c r="G176" s="30">
        <v>351.58920000000001</v>
      </c>
      <c r="H176" s="29">
        <v>32</v>
      </c>
      <c r="I176" s="47">
        <v>1.1025E-2</v>
      </c>
      <c r="J176" s="47">
        <v>0.20746600000000001</v>
      </c>
      <c r="K176" s="30">
        <v>304608507.29000002</v>
      </c>
      <c r="L176" s="51">
        <f t="shared" si="113"/>
        <v>3.9635432481751835E-3</v>
      </c>
      <c r="M176" s="30">
        <v>347.4</v>
      </c>
      <c r="N176" s="30">
        <v>349.92</v>
      </c>
      <c r="O176" s="29">
        <v>32</v>
      </c>
      <c r="P176" s="47">
        <v>-5.1000000000000004E-3</v>
      </c>
      <c r="Q176" s="47">
        <v>0.20250000000000001</v>
      </c>
      <c r="R176" s="54">
        <f t="shared" si="114"/>
        <v>-4.6888673929107788E-3</v>
      </c>
      <c r="S176" s="54">
        <f t="shared" si="115"/>
        <v>-4.747586103327376E-3</v>
      </c>
      <c r="T176" s="54">
        <f t="shared" si="115"/>
        <v>0</v>
      </c>
      <c r="U176" s="54">
        <f t="shared" si="116"/>
        <v>-1.6125E-2</v>
      </c>
      <c r="V176" s="55">
        <f t="shared" si="116"/>
        <v>-4.9659999999999982E-3</v>
      </c>
    </row>
    <row r="177" spans="1:22">
      <c r="A177" s="167">
        <v>154</v>
      </c>
      <c r="B177" s="139" t="s">
        <v>205</v>
      </c>
      <c r="C177" s="139" t="s">
        <v>80</v>
      </c>
      <c r="D177" s="128">
        <v>69129487.46558997</v>
      </c>
      <c r="E177" s="27">
        <f t="shared" si="112"/>
        <v>9.128569903606112E-4</v>
      </c>
      <c r="F177" s="30">
        <v>1.335454615890171</v>
      </c>
      <c r="G177" s="30">
        <v>1.3607631090427537</v>
      </c>
      <c r="H177" s="29">
        <v>30</v>
      </c>
      <c r="I177" s="47">
        <v>2.1300358930420624E-2</v>
      </c>
      <c r="J177" s="47">
        <v>0.13140651589876842</v>
      </c>
      <c r="K177" s="128">
        <v>71289314.510000005</v>
      </c>
      <c r="L177" s="51">
        <f t="shared" si="113"/>
        <v>9.2761125980024041E-4</v>
      </c>
      <c r="M177" s="30">
        <v>1.3759999999999999</v>
      </c>
      <c r="N177" s="30">
        <v>1.403</v>
      </c>
      <c r="O177" s="29">
        <v>31</v>
      </c>
      <c r="P177" s="47">
        <v>3.1199999999999999E-2</v>
      </c>
      <c r="Q177" s="47">
        <v>0.1668</v>
      </c>
      <c r="R177" s="54">
        <f t="shared" si="114"/>
        <v>3.1243209281496768E-2</v>
      </c>
      <c r="S177" s="54">
        <f t="shared" si="115"/>
        <v>3.1039121120029812E-2</v>
      </c>
      <c r="T177" s="54">
        <f t="shared" si="115"/>
        <v>3.3333333333333333E-2</v>
      </c>
      <c r="U177" s="54">
        <f t="shared" si="116"/>
        <v>9.8996410695793742E-3</v>
      </c>
      <c r="V177" s="55">
        <f t="shared" si="116"/>
        <v>3.5393484101231582E-2</v>
      </c>
    </row>
    <row r="178" spans="1:22" ht="13.5" customHeight="1">
      <c r="A178" s="167">
        <v>155</v>
      </c>
      <c r="B178" s="139" t="s">
        <v>206</v>
      </c>
      <c r="C178" s="140" t="s">
        <v>35</v>
      </c>
      <c r="D178" s="26">
        <v>4382717163.6800003</v>
      </c>
      <c r="E178" s="27">
        <f t="shared" si="112"/>
        <v>5.7873913814711304E-2</v>
      </c>
      <c r="F178" s="30">
        <v>5.9438680000000002</v>
      </c>
      <c r="G178" s="30">
        <v>6.0753599999999999</v>
      </c>
      <c r="H178" s="29">
        <v>2520</v>
      </c>
      <c r="I178" s="47">
        <v>1.7408095318055761E-2</v>
      </c>
      <c r="J178" s="47">
        <v>0.40209176734006635</v>
      </c>
      <c r="K178" s="26">
        <v>4393083471.5200005</v>
      </c>
      <c r="L178" s="51">
        <f t="shared" si="113"/>
        <v>5.7162475490666366E-2</v>
      </c>
      <c r="M178" s="30">
        <v>5.9021780000000001</v>
      </c>
      <c r="N178" s="30">
        <v>6.0354070000000002</v>
      </c>
      <c r="O178" s="29">
        <v>2533</v>
      </c>
      <c r="P178" s="47">
        <v>-7.0139511846494303E-3</v>
      </c>
      <c r="Q178" s="47">
        <v>0.39225756412754398</v>
      </c>
      <c r="R178" s="54">
        <f t="shared" si="114"/>
        <v>2.3652696381839889E-3</v>
      </c>
      <c r="S178" s="54">
        <f t="shared" si="115"/>
        <v>-6.5762358115403338E-3</v>
      </c>
      <c r="T178" s="54">
        <f t="shared" si="115"/>
        <v>5.1587301587301586E-3</v>
      </c>
      <c r="U178" s="54">
        <f t="shared" si="116"/>
        <v>-2.4422046502705193E-2</v>
      </c>
      <c r="V178" s="55">
        <f t="shared" si="116"/>
        <v>-9.8342032125223744E-3</v>
      </c>
    </row>
    <row r="179" spans="1:22" ht="13.5" customHeight="1">
      <c r="A179" s="167">
        <v>156</v>
      </c>
      <c r="B179" s="139" t="s">
        <v>207</v>
      </c>
      <c r="C179" s="140" t="s">
        <v>208</v>
      </c>
      <c r="D179" s="26">
        <v>93792633.599999994</v>
      </c>
      <c r="E179" s="27">
        <f t="shared" si="112"/>
        <v>1.2385345872658112E-3</v>
      </c>
      <c r="F179" s="30">
        <v>2.5499999999999998</v>
      </c>
      <c r="G179" s="30">
        <v>2.56</v>
      </c>
      <c r="H179" s="29">
        <v>101</v>
      </c>
      <c r="I179" s="47">
        <v>2E-3</v>
      </c>
      <c r="J179" s="47">
        <v>0.2</v>
      </c>
      <c r="K179" s="26">
        <v>93828786.129999995</v>
      </c>
      <c r="L179" s="51">
        <f t="shared" si="113"/>
        <v>1.220893188633027E-3</v>
      </c>
      <c r="M179" s="30">
        <v>2.5499999999999998</v>
      </c>
      <c r="N179" s="30">
        <v>2.56</v>
      </c>
      <c r="O179" s="29">
        <v>101</v>
      </c>
      <c r="P179" s="47">
        <v>1.4E-3</v>
      </c>
      <c r="Q179" s="47">
        <v>0.2074</v>
      </c>
      <c r="R179" s="54">
        <f t="shared" si="114"/>
        <v>3.854516992686427E-4</v>
      </c>
      <c r="S179" s="54">
        <f t="shared" si="115"/>
        <v>0</v>
      </c>
      <c r="T179" s="54">
        <f t="shared" si="115"/>
        <v>0</v>
      </c>
      <c r="U179" s="54">
        <f>P179-I179</f>
        <v>-6.0000000000000006E-4</v>
      </c>
      <c r="V179" s="55">
        <f>Q179-J179</f>
        <v>7.3999999999999899E-3</v>
      </c>
    </row>
    <row r="180" spans="1:22">
      <c r="A180" s="167">
        <v>157</v>
      </c>
      <c r="B180" s="139" t="s">
        <v>209</v>
      </c>
      <c r="C180" s="140" t="s">
        <v>130</v>
      </c>
      <c r="D180" s="26">
        <v>673588824.38999999</v>
      </c>
      <c r="E180" s="27">
        <f t="shared" si="112"/>
        <v>8.8947609698287813E-3</v>
      </c>
      <c r="F180" s="30">
        <v>335.39</v>
      </c>
      <c r="G180" s="30">
        <v>339.33</v>
      </c>
      <c r="H180" s="29">
        <v>158</v>
      </c>
      <c r="I180" s="47">
        <v>1.37E-2</v>
      </c>
      <c r="J180" s="47">
        <v>0.40179999999999999</v>
      </c>
      <c r="K180" s="26">
        <v>769278467.25</v>
      </c>
      <c r="L180" s="51">
        <f t="shared" si="113"/>
        <v>1.000979421737703E-2</v>
      </c>
      <c r="M180" s="30">
        <v>343.21</v>
      </c>
      <c r="N180" s="30">
        <v>343.21</v>
      </c>
      <c r="O180" s="29">
        <v>158</v>
      </c>
      <c r="P180" s="47">
        <v>1.37E-2</v>
      </c>
      <c r="Q180" s="47">
        <v>0.4345</v>
      </c>
      <c r="R180" s="54">
        <f t="shared" si="114"/>
        <v>0.14205942764364635</v>
      </c>
      <c r="S180" s="54">
        <f t="shared" si="115"/>
        <v>1.1434296997023533E-2</v>
      </c>
      <c r="T180" s="54">
        <f t="shared" si="115"/>
        <v>0</v>
      </c>
      <c r="U180" s="54">
        <f t="shared" si="116"/>
        <v>0</v>
      </c>
      <c r="V180" s="55">
        <f t="shared" si="116"/>
        <v>3.2700000000000007E-2</v>
      </c>
    </row>
    <row r="181" spans="1:22">
      <c r="A181" s="167">
        <v>158</v>
      </c>
      <c r="B181" s="139" t="s">
        <v>210</v>
      </c>
      <c r="C181" s="140" t="s">
        <v>31</v>
      </c>
      <c r="D181" s="26">
        <v>2062921605.3299999</v>
      </c>
      <c r="E181" s="27">
        <f t="shared" si="112"/>
        <v>2.7240942715346848E-2</v>
      </c>
      <c r="F181" s="30">
        <v>552.22</v>
      </c>
      <c r="G181" s="30">
        <v>552.22</v>
      </c>
      <c r="H181" s="29">
        <v>823</v>
      </c>
      <c r="I181" s="47">
        <v>-1.7999999999999999E-2</v>
      </c>
      <c r="J181" s="47">
        <v>-5.6399999999999999E-2</v>
      </c>
      <c r="K181" s="26">
        <v>2092092386.9300001</v>
      </c>
      <c r="L181" s="51">
        <f t="shared" si="113"/>
        <v>2.7222150584522844E-2</v>
      </c>
      <c r="M181" s="30">
        <v>552.22</v>
      </c>
      <c r="N181" s="30">
        <v>552.22</v>
      </c>
      <c r="O181" s="29">
        <v>823</v>
      </c>
      <c r="P181" s="47">
        <v>1.414E-2</v>
      </c>
      <c r="Q181" s="47">
        <v>-4.3099999999999999E-2</v>
      </c>
      <c r="R181" s="54">
        <f t="shared" si="114"/>
        <v>1.4140518730634833E-2</v>
      </c>
      <c r="S181" s="54">
        <f t="shared" si="115"/>
        <v>0</v>
      </c>
      <c r="T181" s="54">
        <f t="shared" si="115"/>
        <v>0</v>
      </c>
      <c r="U181" s="54">
        <f t="shared" si="116"/>
        <v>3.2140000000000002E-2</v>
      </c>
      <c r="V181" s="55">
        <f t="shared" si="116"/>
        <v>1.3299999999999999E-2</v>
      </c>
    </row>
    <row r="182" spans="1:22">
      <c r="A182" s="167">
        <v>159</v>
      </c>
      <c r="B182" s="139" t="s">
        <v>211</v>
      </c>
      <c r="C182" s="140" t="s">
        <v>87</v>
      </c>
      <c r="D182" s="30">
        <v>50586497.939999998</v>
      </c>
      <c r="E182" s="27">
        <f t="shared" si="112"/>
        <v>6.6799624813329377E-4</v>
      </c>
      <c r="F182" s="30">
        <v>2.77</v>
      </c>
      <c r="G182" s="30">
        <v>2.77</v>
      </c>
      <c r="H182" s="29">
        <v>9</v>
      </c>
      <c r="I182" s="47">
        <v>4.5846999999999999E-2</v>
      </c>
      <c r="J182" s="47">
        <v>0.47814299999999998</v>
      </c>
      <c r="K182" s="30">
        <v>49798723.009999998</v>
      </c>
      <c r="L182" s="51">
        <f t="shared" si="113"/>
        <v>6.4797728110107644E-4</v>
      </c>
      <c r="M182" s="30">
        <v>2.73</v>
      </c>
      <c r="N182" s="30">
        <v>2.73</v>
      </c>
      <c r="O182" s="29">
        <v>9</v>
      </c>
      <c r="P182" s="47">
        <v>-1.5573E-2</v>
      </c>
      <c r="Q182" s="47">
        <v>0.45512399999999997</v>
      </c>
      <c r="R182" s="54">
        <f t="shared" si="114"/>
        <v>-1.5572829946330136E-2</v>
      </c>
      <c r="S182" s="54">
        <f t="shared" si="115"/>
        <v>-1.4440433212996403E-2</v>
      </c>
      <c r="T182" s="54">
        <f t="shared" si="115"/>
        <v>0</v>
      </c>
      <c r="U182" s="54">
        <f t="shared" si="116"/>
        <v>-6.1420000000000002E-2</v>
      </c>
      <c r="V182" s="55">
        <f t="shared" si="116"/>
        <v>-2.3019000000000012E-2</v>
      </c>
    </row>
    <row r="183" spans="1:22">
      <c r="A183" s="167">
        <v>160</v>
      </c>
      <c r="B183" s="139" t="s">
        <v>212</v>
      </c>
      <c r="C183" s="140" t="s">
        <v>43</v>
      </c>
      <c r="D183" s="30">
        <v>357818135.73000002</v>
      </c>
      <c r="E183" s="27">
        <f t="shared" si="112"/>
        <v>4.7249993953957766E-3</v>
      </c>
      <c r="F183" s="30">
        <v>3.590268</v>
      </c>
      <c r="G183" s="30">
        <v>3.6685050000000001</v>
      </c>
      <c r="H183" s="29">
        <v>125</v>
      </c>
      <c r="I183" s="47">
        <v>-3.3E-3</v>
      </c>
      <c r="J183" s="47">
        <v>0.37359999999999999</v>
      </c>
      <c r="K183" s="30">
        <v>357818135.73000002</v>
      </c>
      <c r="L183" s="51">
        <f t="shared" si="113"/>
        <v>4.6559029771189578E-3</v>
      </c>
      <c r="M183" s="30">
        <v>12.811571000000001</v>
      </c>
      <c r="N183" s="30">
        <v>10.938143</v>
      </c>
      <c r="O183" s="29">
        <v>125</v>
      </c>
      <c r="P183" s="47">
        <v>-0.02</v>
      </c>
      <c r="Q183" s="47">
        <v>0.35360000000000003</v>
      </c>
      <c r="R183" s="54">
        <f t="shared" si="114"/>
        <v>0</v>
      </c>
      <c r="S183" s="54">
        <f t="shared" si="115"/>
        <v>1.9816350257121089</v>
      </c>
      <c r="T183" s="54">
        <f t="shared" si="115"/>
        <v>0</v>
      </c>
      <c r="U183" s="54">
        <f t="shared" si="116"/>
        <v>-1.67E-2</v>
      </c>
      <c r="V183" s="55">
        <f t="shared" si="116"/>
        <v>-1.9999999999999962E-2</v>
      </c>
    </row>
    <row r="184" spans="1:22">
      <c r="A184" s="167">
        <v>161</v>
      </c>
      <c r="B184" s="139" t="s">
        <v>213</v>
      </c>
      <c r="C184" s="140" t="s">
        <v>47</v>
      </c>
      <c r="D184" s="26">
        <v>3881044848.0999999</v>
      </c>
      <c r="E184" s="27">
        <f t="shared" si="112"/>
        <v>5.1249315586993353E-2</v>
      </c>
      <c r="F184" s="30">
        <v>9345.25</v>
      </c>
      <c r="G184" s="30">
        <v>9437.5400000000009</v>
      </c>
      <c r="H184" s="29">
        <v>2638</v>
      </c>
      <c r="I184" s="47">
        <v>4.1399999999999999E-2</v>
      </c>
      <c r="J184" s="47">
        <v>0.4662</v>
      </c>
      <c r="K184" s="26">
        <v>3972642765.75</v>
      </c>
      <c r="L184" s="27">
        <f t="shared" si="113"/>
        <v>5.1691732288388768E-2</v>
      </c>
      <c r="M184" s="30">
        <v>9288.49</v>
      </c>
      <c r="N184" s="30">
        <v>9377.1299999999992</v>
      </c>
      <c r="O184" s="29">
        <v>2712</v>
      </c>
      <c r="P184" s="47">
        <v>-0.64</v>
      </c>
      <c r="Q184" s="47">
        <v>0.45679999999999998</v>
      </c>
      <c r="R184" s="54">
        <f t="shared" si="114"/>
        <v>2.3601355107978891E-2</v>
      </c>
      <c r="S184" s="54">
        <f t="shared" si="115"/>
        <v>-6.4010324724453269E-3</v>
      </c>
      <c r="T184" s="54">
        <f t="shared" si="115"/>
        <v>2.8051554207733132E-2</v>
      </c>
      <c r="U184" s="54">
        <f t="shared" si="116"/>
        <v>-0.68140000000000001</v>
      </c>
      <c r="V184" s="55">
        <f t="shared" si="116"/>
        <v>-9.4000000000000195E-3</v>
      </c>
    </row>
    <row r="185" spans="1:22">
      <c r="A185" s="167">
        <v>162</v>
      </c>
      <c r="B185" s="139" t="s">
        <v>214</v>
      </c>
      <c r="C185" s="139" t="s">
        <v>97</v>
      </c>
      <c r="D185" s="26">
        <v>135969128.75</v>
      </c>
      <c r="E185" s="27">
        <f t="shared" si="112"/>
        <v>1.7954764920608136E-3</v>
      </c>
      <c r="F185" s="30">
        <v>1364.82</v>
      </c>
      <c r="G185" s="30">
        <v>1385.91</v>
      </c>
      <c r="H185" s="29">
        <v>18</v>
      </c>
      <c r="I185" s="47">
        <v>1.1550727418214723E-2</v>
      </c>
      <c r="J185" s="47">
        <v>0.23580000000000001</v>
      </c>
      <c r="K185" s="26">
        <v>137152599.59999999</v>
      </c>
      <c r="L185" s="27">
        <f t="shared" si="113"/>
        <v>1.7846194282312498E-3</v>
      </c>
      <c r="M185" s="30">
        <v>1374.21</v>
      </c>
      <c r="N185" s="30">
        <v>1395.43</v>
      </c>
      <c r="O185" s="29">
        <v>20</v>
      </c>
      <c r="P185" s="47">
        <v>8.8000000000000005E-3</v>
      </c>
      <c r="Q185" s="47">
        <v>0.2442</v>
      </c>
      <c r="R185" s="54">
        <f t="shared" si="114"/>
        <v>8.7039672966941328E-3</v>
      </c>
      <c r="S185" s="54">
        <f t="shared" si="115"/>
        <v>6.8691329162788211E-3</v>
      </c>
      <c r="T185" s="54">
        <f t="shared" si="115"/>
        <v>0.1111111111111111</v>
      </c>
      <c r="U185" s="54">
        <f t="shared" si="116"/>
        <v>-2.750727418214723E-3</v>
      </c>
      <c r="V185" s="55">
        <f t="shared" si="116"/>
        <v>8.3999999999999908E-3</v>
      </c>
    </row>
    <row r="186" spans="1:22">
      <c r="A186" s="167">
        <v>163</v>
      </c>
      <c r="B186" s="139" t="s">
        <v>215</v>
      </c>
      <c r="C186" s="139" t="s">
        <v>80</v>
      </c>
      <c r="D186" s="26">
        <v>744331492.20142937</v>
      </c>
      <c r="E186" s="27">
        <f t="shared" si="112"/>
        <v>9.8289200558565257E-3</v>
      </c>
      <c r="F186" s="30">
        <v>1.4177917731617358</v>
      </c>
      <c r="G186" s="30">
        <v>1.4177917731617358</v>
      </c>
      <c r="H186" s="29">
        <v>43</v>
      </c>
      <c r="I186" s="47">
        <v>2.676947378555642E-3</v>
      </c>
      <c r="J186" s="47">
        <v>5.580202086361228E-2</v>
      </c>
      <c r="K186" s="26">
        <v>746317940.53999996</v>
      </c>
      <c r="L186" s="27">
        <f t="shared" si="113"/>
        <v>9.7110335510200464E-3</v>
      </c>
      <c r="M186" s="30">
        <v>1.4219999999999999</v>
      </c>
      <c r="N186" s="30">
        <v>1.4219999999999999</v>
      </c>
      <c r="O186" s="29">
        <v>43</v>
      </c>
      <c r="P186" s="47">
        <v>2.676947378555642E-3</v>
      </c>
      <c r="Q186" s="47">
        <v>5.8599999999999999E-2</v>
      </c>
      <c r="R186" s="54">
        <f t="shared" si="114"/>
        <v>2.6687683638045327E-3</v>
      </c>
      <c r="S186" s="54">
        <f t="shared" si="115"/>
        <v>2.9681557742993795E-3</v>
      </c>
      <c r="T186" s="54">
        <f t="shared" si="115"/>
        <v>0</v>
      </c>
      <c r="U186" s="54">
        <f t="shared" si="116"/>
        <v>0</v>
      </c>
      <c r="V186" s="55">
        <f t="shared" si="116"/>
        <v>2.7979791363877196E-3</v>
      </c>
    </row>
    <row r="187" spans="1:22">
      <c r="A187" s="167">
        <v>164</v>
      </c>
      <c r="B187" s="139" t="s">
        <v>216</v>
      </c>
      <c r="C187" s="140" t="s">
        <v>50</v>
      </c>
      <c r="D187" s="30">
        <v>3107877887.7199998</v>
      </c>
      <c r="E187" s="27">
        <f t="shared" si="112"/>
        <v>4.1039622294386999E-2</v>
      </c>
      <c r="F187" s="30">
        <v>2.1783000000000001</v>
      </c>
      <c r="G187" s="30">
        <v>2.1945999999999999</v>
      </c>
      <c r="H187" s="29">
        <v>2487</v>
      </c>
      <c r="I187" s="47">
        <v>3.56E-2</v>
      </c>
      <c r="J187" s="47">
        <v>0.30209999999999998</v>
      </c>
      <c r="K187" s="30">
        <v>3201507603.1100001</v>
      </c>
      <c r="L187" s="51">
        <f t="shared" si="113"/>
        <v>4.1657778888648696E-2</v>
      </c>
      <c r="M187" s="30">
        <v>2.1617999999999999</v>
      </c>
      <c r="N187" s="30">
        <v>2.1775000000000002</v>
      </c>
      <c r="O187" s="29">
        <v>2514</v>
      </c>
      <c r="P187" s="47">
        <v>-7.4999999999999997E-3</v>
      </c>
      <c r="Q187" s="47">
        <v>0.29380000000000001</v>
      </c>
      <c r="R187" s="54">
        <f t="shared" si="114"/>
        <v>3.0126574715163258E-2</v>
      </c>
      <c r="S187" s="54">
        <f t="shared" si="115"/>
        <v>-7.7918527294266252E-3</v>
      </c>
      <c r="T187" s="54">
        <f t="shared" si="115"/>
        <v>1.0856453558504222E-2</v>
      </c>
      <c r="U187" s="54">
        <f t="shared" si="116"/>
        <v>-4.3099999999999999E-2</v>
      </c>
      <c r="V187" s="55">
        <f t="shared" si="116"/>
        <v>-8.2999999999999741E-3</v>
      </c>
    </row>
    <row r="188" spans="1:22">
      <c r="A188" s="167">
        <v>165</v>
      </c>
      <c r="B188" s="139" t="s">
        <v>217</v>
      </c>
      <c r="C188" s="140" t="s">
        <v>50</v>
      </c>
      <c r="D188" s="30">
        <v>1851998437.05</v>
      </c>
      <c r="E188" s="27">
        <f t="shared" si="112"/>
        <v>2.4455695845272109E-2</v>
      </c>
      <c r="F188" s="30">
        <v>1.6987000000000001</v>
      </c>
      <c r="G188" s="30">
        <v>1.7097</v>
      </c>
      <c r="H188" s="29">
        <v>1040</v>
      </c>
      <c r="I188" s="47">
        <v>3.7699999999999997E-2</v>
      </c>
      <c r="J188" s="47">
        <v>0.31769999999999998</v>
      </c>
      <c r="K188" s="30">
        <v>1959871484.3299999</v>
      </c>
      <c r="L188" s="51">
        <f t="shared" si="113"/>
        <v>2.5501702030967084E-2</v>
      </c>
      <c r="M188" s="30">
        <v>1.7076</v>
      </c>
      <c r="N188" s="30">
        <v>1.7193000000000001</v>
      </c>
      <c r="O188" s="29">
        <v>1061</v>
      </c>
      <c r="P188" s="47">
        <v>5.1999999999999998E-3</v>
      </c>
      <c r="Q188" s="47">
        <v>0.3236</v>
      </c>
      <c r="R188" s="54">
        <f t="shared" si="114"/>
        <v>5.8246834944325407E-2</v>
      </c>
      <c r="S188" s="54">
        <f t="shared" si="115"/>
        <v>5.6150201789787989E-3</v>
      </c>
      <c r="T188" s="54">
        <f t="shared" si="115"/>
        <v>2.0192307692307693E-2</v>
      </c>
      <c r="U188" s="54">
        <f t="shared" si="116"/>
        <v>-3.2500000000000001E-2</v>
      </c>
      <c r="V188" s="55">
        <f t="shared" si="116"/>
        <v>5.9000000000000163E-3</v>
      </c>
    </row>
    <row r="189" spans="1:22">
      <c r="A189" s="167">
        <v>166</v>
      </c>
      <c r="B189" s="139" t="s">
        <v>218</v>
      </c>
      <c r="C189" s="140" t="s">
        <v>101</v>
      </c>
      <c r="D189" s="26">
        <v>12467828501.450001</v>
      </c>
      <c r="E189" s="27">
        <f t="shared" si="112"/>
        <v>0.16463805561745409</v>
      </c>
      <c r="F189" s="30">
        <v>722.99</v>
      </c>
      <c r="G189" s="30">
        <v>732.72</v>
      </c>
      <c r="H189" s="29">
        <v>35</v>
      </c>
      <c r="I189" s="47">
        <v>1.9839823991503858E-2</v>
      </c>
      <c r="J189" s="47">
        <v>0.39919673044970128</v>
      </c>
      <c r="K189" s="26">
        <v>12374181929.82</v>
      </c>
      <c r="L189" s="51">
        <f t="shared" si="113"/>
        <v>0.16101193520815213</v>
      </c>
      <c r="M189" s="30">
        <v>717.58</v>
      </c>
      <c r="N189" s="30">
        <v>727.21</v>
      </c>
      <c r="O189" s="29">
        <v>35</v>
      </c>
      <c r="P189" s="47">
        <v>-7.4999999999999997E-3</v>
      </c>
      <c r="Q189" s="47">
        <v>0.38869999999999999</v>
      </c>
      <c r="R189" s="54">
        <f t="shared" si="114"/>
        <v>-7.5110570873757228E-3</v>
      </c>
      <c r="S189" s="54">
        <f t="shared" si="115"/>
        <v>-7.5199257560868964E-3</v>
      </c>
      <c r="T189" s="54">
        <f t="shared" si="115"/>
        <v>0</v>
      </c>
      <c r="U189" s="54">
        <f t="shared" si="116"/>
        <v>-2.7339823991503857E-2</v>
      </c>
      <c r="V189" s="55">
        <f t="shared" si="116"/>
        <v>-1.0496730449701286E-2</v>
      </c>
    </row>
    <row r="190" spans="1:22">
      <c r="A190" s="33"/>
      <c r="B190" s="34"/>
      <c r="C190" s="35" t="s">
        <v>51</v>
      </c>
      <c r="D190" s="72">
        <f>SUM(D162:D189)</f>
        <v>75728715664.741028</v>
      </c>
      <c r="E190" s="37">
        <f>(D190/$D$222)</f>
        <v>1.2058120021815345E-2</v>
      </c>
      <c r="F190" s="38"/>
      <c r="G190" s="73"/>
      <c r="H190" s="40">
        <f>SUM(H162:H189)</f>
        <v>71322</v>
      </c>
      <c r="I190" s="79"/>
      <c r="J190" s="79"/>
      <c r="K190" s="72">
        <f>SUM(K162:K189)</f>
        <v>76852575641.817932</v>
      </c>
      <c r="L190" s="37">
        <f>(K190/$K$222)</f>
        <v>1.203552195049562E-2</v>
      </c>
      <c r="M190" s="38"/>
      <c r="N190" s="73"/>
      <c r="O190" s="40">
        <f>SUM(O162:O189)</f>
        <v>71664</v>
      </c>
      <c r="P190" s="79"/>
      <c r="Q190" s="79"/>
      <c r="R190" s="54">
        <f t="shared" ref="R190" si="122">((K190-D190)/D190)</f>
        <v>1.4840605273861376E-2</v>
      </c>
      <c r="S190" s="54" t="e">
        <f t="shared" ref="S190" si="123">((N190-G190)/G190)</f>
        <v>#DIV/0!</v>
      </c>
      <c r="T190" s="54">
        <f t="shared" ref="T190" si="124">((O190-H190)/H190)</f>
        <v>4.7951543703205184E-3</v>
      </c>
      <c r="U190" s="54">
        <f t="shared" ref="U190" si="125">P190-I190</f>
        <v>0</v>
      </c>
      <c r="V190" s="55">
        <f t="shared" ref="V190" si="126">Q190-J190</f>
        <v>0</v>
      </c>
    </row>
    <row r="191" spans="1:22" ht="5.25" customHeight="1">
      <c r="A191" s="33"/>
      <c r="B191" s="183"/>
      <c r="C191" s="183"/>
      <c r="D191" s="183"/>
      <c r="E191" s="183"/>
      <c r="F191" s="183"/>
      <c r="G191" s="183"/>
      <c r="H191" s="183"/>
      <c r="I191" s="183"/>
      <c r="J191" s="183"/>
      <c r="K191" s="183"/>
      <c r="L191" s="183"/>
      <c r="M191" s="183"/>
      <c r="N191" s="183"/>
      <c r="O191" s="183"/>
      <c r="P191" s="183"/>
      <c r="Q191" s="183"/>
      <c r="R191" s="183"/>
      <c r="S191" s="183"/>
      <c r="T191" s="183"/>
      <c r="U191" s="183"/>
      <c r="V191" s="183"/>
    </row>
    <row r="192" spans="1:22" ht="15" customHeight="1">
      <c r="A192" s="185" t="s">
        <v>219</v>
      </c>
      <c r="B192" s="185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  <c r="S192" s="185"/>
      <c r="T192" s="185"/>
      <c r="U192" s="185"/>
      <c r="V192" s="185"/>
    </row>
    <row r="193" spans="1:24">
      <c r="A193" s="138">
        <v>167</v>
      </c>
      <c r="B193" s="139" t="s">
        <v>220</v>
      </c>
      <c r="C193" s="140" t="s">
        <v>221</v>
      </c>
      <c r="D193" s="75">
        <v>1482103374.3699999</v>
      </c>
      <c r="E193" s="27">
        <f>(D193/$D$195)</f>
        <v>0.17374857636871846</v>
      </c>
      <c r="F193" s="74">
        <v>41.378999999999998</v>
      </c>
      <c r="G193" s="74">
        <v>41.8842</v>
      </c>
      <c r="H193" s="29">
        <v>1492</v>
      </c>
      <c r="I193" s="47">
        <v>2.8199999999999999E-2</v>
      </c>
      <c r="J193" s="47">
        <v>0.55630000000000002</v>
      </c>
      <c r="K193" s="75">
        <v>1452915985.0899999</v>
      </c>
      <c r="L193" s="51">
        <f>(K193/$K$195)</f>
        <v>0.16884679550465498</v>
      </c>
      <c r="M193" s="74">
        <v>40.950000000000003</v>
      </c>
      <c r="N193" s="74">
        <v>41.45</v>
      </c>
      <c r="O193" s="29">
        <v>1492</v>
      </c>
      <c r="P193" s="47">
        <v>-1.2800000000000001E-2</v>
      </c>
      <c r="Q193" s="47">
        <v>0.54010000000000002</v>
      </c>
      <c r="R193" s="54">
        <f>((K193-D193)/D193)</f>
        <v>-1.9693220988992555E-2</v>
      </c>
      <c r="S193" s="54">
        <f t="shared" ref="S193:T195" si="127">((N193-G193)/G193)</f>
        <v>-1.0366677649328316E-2</v>
      </c>
      <c r="T193" s="54">
        <f t="shared" si="127"/>
        <v>0</v>
      </c>
      <c r="U193" s="54">
        <f t="shared" ref="U193:V195" si="128">P193-I193</f>
        <v>-4.1000000000000002E-2</v>
      </c>
      <c r="V193" s="55">
        <f t="shared" si="128"/>
        <v>-1.6199999999999992E-2</v>
      </c>
    </row>
    <row r="194" spans="1:24">
      <c r="A194" s="138">
        <v>168</v>
      </c>
      <c r="B194" s="139" t="s">
        <v>222</v>
      </c>
      <c r="C194" s="140" t="s">
        <v>47</v>
      </c>
      <c r="D194" s="41">
        <v>7048057881.3100004</v>
      </c>
      <c r="E194" s="27">
        <f>(D194/$D$195)</f>
        <v>0.82625142363128157</v>
      </c>
      <c r="F194" s="74">
        <v>4.59</v>
      </c>
      <c r="G194" s="74">
        <v>4.66</v>
      </c>
      <c r="H194" s="29">
        <v>10774</v>
      </c>
      <c r="I194" s="47">
        <v>4.7199999999999999E-2</v>
      </c>
      <c r="J194" s="47">
        <v>0.6069</v>
      </c>
      <c r="K194" s="41">
        <v>7152020701.7299995</v>
      </c>
      <c r="L194" s="51">
        <f>(K194/$K$195)</f>
        <v>0.83115320449534502</v>
      </c>
      <c r="M194" s="74">
        <v>4.5599999999999996</v>
      </c>
      <c r="N194" s="74">
        <v>4.62</v>
      </c>
      <c r="O194" s="29">
        <v>10866</v>
      </c>
      <c r="P194" s="47">
        <v>-8.6E-3</v>
      </c>
      <c r="Q194" s="47">
        <v>0.59309999999999996</v>
      </c>
      <c r="R194" s="54">
        <f>((K194-D194)/D194)</f>
        <v>1.4750562803362772E-2</v>
      </c>
      <c r="S194" s="54">
        <f t="shared" si="127"/>
        <v>-8.5836909871244704E-3</v>
      </c>
      <c r="T194" s="54">
        <f t="shared" si="127"/>
        <v>8.539075552255429E-3</v>
      </c>
      <c r="U194" s="54">
        <f t="shared" si="128"/>
        <v>-5.5800000000000002E-2</v>
      </c>
      <c r="V194" s="55">
        <f t="shared" si="128"/>
        <v>-1.3800000000000034E-2</v>
      </c>
    </row>
    <row r="195" spans="1:24">
      <c r="A195" s="33"/>
      <c r="B195" s="34"/>
      <c r="C195" s="68" t="s">
        <v>51</v>
      </c>
      <c r="D195" s="72">
        <f>SUM(D193:D194)</f>
        <v>8530161255.6800003</v>
      </c>
      <c r="E195" s="37">
        <f>(D195/$D$222)</f>
        <v>1.3582391741831514E-3</v>
      </c>
      <c r="F195" s="38"/>
      <c r="G195" s="73"/>
      <c r="H195" s="40">
        <f>SUM(H193:H194)</f>
        <v>12266</v>
      </c>
      <c r="I195" s="79"/>
      <c r="J195" s="79"/>
      <c r="K195" s="72">
        <f>SUM(K193:K194)</f>
        <v>8604936686.8199997</v>
      </c>
      <c r="L195" s="37">
        <f>(K195/$K$222)</f>
        <v>1.3475788353473764E-3</v>
      </c>
      <c r="M195" s="38"/>
      <c r="N195" s="73"/>
      <c r="O195" s="40">
        <f>SUM(O193:O194)</f>
        <v>12358</v>
      </c>
      <c r="P195" s="79"/>
      <c r="Q195" s="79"/>
      <c r="R195" s="54">
        <f>((K195-D195)/D195)</f>
        <v>8.7660044046891233E-3</v>
      </c>
      <c r="S195" s="54" t="e">
        <f t="shared" si="127"/>
        <v>#DIV/0!</v>
      </c>
      <c r="T195" s="54">
        <f t="shared" si="127"/>
        <v>7.5004076308495026E-3</v>
      </c>
      <c r="U195" s="54">
        <f t="shared" si="128"/>
        <v>0</v>
      </c>
      <c r="V195" s="55">
        <f t="shared" si="128"/>
        <v>0</v>
      </c>
    </row>
    <row r="196" spans="1:24" ht="6" customHeight="1">
      <c r="A196" s="33"/>
      <c r="B196" s="183"/>
      <c r="C196" s="183"/>
      <c r="D196" s="183"/>
      <c r="E196" s="183"/>
      <c r="F196" s="183"/>
      <c r="G196" s="183"/>
      <c r="H196" s="183"/>
      <c r="I196" s="183"/>
      <c r="J196" s="183"/>
      <c r="K196" s="183"/>
      <c r="L196" s="183"/>
      <c r="M196" s="183"/>
      <c r="N196" s="183"/>
      <c r="O196" s="183"/>
      <c r="P196" s="183"/>
      <c r="Q196" s="183"/>
      <c r="R196" s="183"/>
      <c r="S196" s="183"/>
      <c r="T196" s="183"/>
      <c r="U196" s="183"/>
      <c r="V196" s="183"/>
    </row>
    <row r="197" spans="1:24" ht="15" customHeight="1">
      <c r="A197" s="186" t="s">
        <v>223</v>
      </c>
      <c r="B197" s="186"/>
      <c r="C197" s="186"/>
      <c r="D197" s="186"/>
      <c r="E197" s="186"/>
      <c r="F197" s="186"/>
      <c r="G197" s="186"/>
      <c r="H197" s="186"/>
      <c r="I197" s="186"/>
      <c r="J197" s="186"/>
      <c r="K197" s="186"/>
      <c r="L197" s="186"/>
      <c r="M197" s="186"/>
      <c r="N197" s="186"/>
      <c r="O197" s="186"/>
      <c r="P197" s="186"/>
      <c r="Q197" s="186"/>
      <c r="R197" s="186"/>
      <c r="S197" s="186"/>
      <c r="T197" s="186"/>
      <c r="U197" s="186"/>
      <c r="V197" s="186"/>
    </row>
    <row r="198" spans="1:24">
      <c r="A198" s="187" t="s">
        <v>224</v>
      </c>
      <c r="B198" s="187"/>
      <c r="C198" s="187"/>
      <c r="D198" s="187"/>
      <c r="E198" s="187"/>
      <c r="F198" s="187"/>
      <c r="G198" s="187"/>
      <c r="H198" s="187"/>
      <c r="I198" s="187"/>
      <c r="J198" s="187"/>
      <c r="K198" s="187"/>
      <c r="L198" s="187"/>
      <c r="M198" s="187"/>
      <c r="N198" s="187"/>
      <c r="O198" s="187"/>
      <c r="P198" s="187"/>
      <c r="Q198" s="187"/>
      <c r="R198" s="187"/>
      <c r="S198" s="187"/>
      <c r="T198" s="187"/>
      <c r="U198" s="187"/>
      <c r="V198" s="187"/>
    </row>
    <row r="199" spans="1:24">
      <c r="A199" s="138">
        <v>169</v>
      </c>
      <c r="B199" s="139" t="s">
        <v>225</v>
      </c>
      <c r="C199" s="140" t="s">
        <v>226</v>
      </c>
      <c r="D199" s="44">
        <v>6893757023.6700001</v>
      </c>
      <c r="E199" s="27">
        <f>(D199/$D$221)</f>
        <v>0.10638587985524937</v>
      </c>
      <c r="F199" s="76">
        <v>2.8</v>
      </c>
      <c r="G199" s="76">
        <v>2.85</v>
      </c>
      <c r="H199" s="43">
        <v>15060</v>
      </c>
      <c r="I199" s="50">
        <v>1.5699999999999999E-2</v>
      </c>
      <c r="J199" s="50">
        <v>0.2334</v>
      </c>
      <c r="K199" s="44">
        <v>7040947568.8299999</v>
      </c>
      <c r="L199" s="27">
        <f>(K199/$K$221)</f>
        <v>0.1077269301251168</v>
      </c>
      <c r="M199" s="76">
        <v>2.86</v>
      </c>
      <c r="N199" s="76">
        <v>2.91</v>
      </c>
      <c r="O199" s="43">
        <v>15075</v>
      </c>
      <c r="P199" s="50">
        <v>1.9699999999999999E-2</v>
      </c>
      <c r="Q199" s="50">
        <v>0.25769999999999998</v>
      </c>
      <c r="R199" s="54">
        <f>((K199-D199)/D199)</f>
        <v>2.1351281261381132E-2</v>
      </c>
      <c r="S199" s="54">
        <f>((N199-G199)/G199)</f>
        <v>2.1052631578947385E-2</v>
      </c>
      <c r="T199" s="54">
        <f>((O199-H199)/H199)</f>
        <v>9.9601593625498006E-4</v>
      </c>
      <c r="U199" s="54">
        <f>P199-I199</f>
        <v>4.0000000000000001E-3</v>
      </c>
      <c r="V199" s="55">
        <f>Q199-J199</f>
        <v>2.4299999999999988E-2</v>
      </c>
    </row>
    <row r="200" spans="1:24">
      <c r="A200" s="138">
        <v>170</v>
      </c>
      <c r="B200" s="139" t="s">
        <v>227</v>
      </c>
      <c r="C200" s="140" t="s">
        <v>47</v>
      </c>
      <c r="D200" s="44">
        <v>3039490459.1799998</v>
      </c>
      <c r="E200" s="27">
        <f>(D200/$D$221)</f>
        <v>4.6906043497215548E-2</v>
      </c>
      <c r="F200" s="76">
        <v>859.02</v>
      </c>
      <c r="G200" s="76">
        <v>868.51</v>
      </c>
      <c r="H200" s="43">
        <v>1440</v>
      </c>
      <c r="I200" s="50">
        <v>6.0100000000000001E-2</v>
      </c>
      <c r="J200" s="50">
        <v>0.72089999999999999</v>
      </c>
      <c r="K200" s="44">
        <v>3370964471.0500002</v>
      </c>
      <c r="L200" s="27">
        <f>(K200/$K$221)</f>
        <v>5.1575963388035648E-2</v>
      </c>
      <c r="M200" s="76">
        <v>879.78</v>
      </c>
      <c r="N200" s="76">
        <v>889.19</v>
      </c>
      <c r="O200" s="43">
        <v>1593</v>
      </c>
      <c r="P200" s="50">
        <v>8.8918999999999997</v>
      </c>
      <c r="Q200" s="50">
        <v>0.76190000000000002</v>
      </c>
      <c r="R200" s="54">
        <f>((K200-D200)/D200)</f>
        <v>0.10905578297469837</v>
      </c>
      <c r="S200" s="54">
        <f>((N200-G200)/G200)</f>
        <v>2.3810894520500701E-2</v>
      </c>
      <c r="T200" s="54">
        <f>((O200-H200)/H200)</f>
        <v>0.10625</v>
      </c>
      <c r="U200" s="54">
        <f>P200-I200</f>
        <v>8.8317999999999994</v>
      </c>
      <c r="V200" s="55">
        <f>Q200-J200</f>
        <v>4.1000000000000036E-2</v>
      </c>
    </row>
    <row r="201" spans="1:24" ht="6" customHeight="1">
      <c r="A201" s="33"/>
      <c r="B201" s="183"/>
      <c r="C201" s="183"/>
      <c r="D201" s="183"/>
      <c r="E201" s="183"/>
      <c r="F201" s="183"/>
      <c r="G201" s="183"/>
      <c r="H201" s="183"/>
      <c r="I201" s="183"/>
      <c r="J201" s="183"/>
      <c r="K201" s="183"/>
      <c r="L201" s="183"/>
      <c r="M201" s="183"/>
      <c r="N201" s="183"/>
      <c r="O201" s="183"/>
      <c r="P201" s="183"/>
      <c r="Q201" s="183"/>
      <c r="R201" s="183"/>
      <c r="S201" s="183"/>
      <c r="T201" s="183"/>
      <c r="U201" s="183"/>
      <c r="V201" s="183"/>
    </row>
    <row r="202" spans="1:24" ht="15" customHeight="1">
      <c r="A202" s="187" t="s">
        <v>169</v>
      </c>
      <c r="B202" s="187"/>
      <c r="C202" s="187"/>
      <c r="D202" s="187"/>
      <c r="E202" s="187"/>
      <c r="F202" s="187"/>
      <c r="G202" s="187"/>
      <c r="H202" s="187"/>
      <c r="I202" s="187"/>
      <c r="J202" s="187"/>
      <c r="K202" s="187"/>
      <c r="L202" s="187"/>
      <c r="M202" s="187"/>
      <c r="N202" s="187"/>
      <c r="O202" s="187"/>
      <c r="P202" s="187"/>
      <c r="Q202" s="187"/>
      <c r="R202" s="187"/>
      <c r="S202" s="187"/>
      <c r="T202" s="187"/>
      <c r="U202" s="187"/>
      <c r="V202" s="187"/>
    </row>
    <row r="203" spans="1:24">
      <c r="A203" s="138">
        <v>171</v>
      </c>
      <c r="B203" s="139" t="s">
        <v>287</v>
      </c>
      <c r="C203" s="140" t="s">
        <v>21</v>
      </c>
      <c r="D203" s="26">
        <v>1236321844.22</v>
      </c>
      <c r="E203" s="27">
        <f>(D203/$D$221)</f>
        <v>1.9079173624774591E-2</v>
      </c>
      <c r="F203" s="74">
        <v>1.0844</v>
      </c>
      <c r="G203" s="74">
        <v>1.0844</v>
      </c>
      <c r="H203" s="29">
        <v>650</v>
      </c>
      <c r="I203" s="47">
        <v>0.12529999999999999</v>
      </c>
      <c r="J203" s="47">
        <v>0.1206</v>
      </c>
      <c r="K203" s="26">
        <v>1239996957.0699999</v>
      </c>
      <c r="L203" s="27">
        <f t="shared" ref="L203:L215" si="129">(K203/$K$221)</f>
        <v>1.8972029580364369E-2</v>
      </c>
      <c r="M203" s="74">
        <v>1.0869</v>
      </c>
      <c r="N203" s="74">
        <v>1.0869</v>
      </c>
      <c r="O203" s="29">
        <v>654</v>
      </c>
      <c r="P203" s="47">
        <v>0.1202</v>
      </c>
      <c r="Q203" s="47">
        <v>0.12089999999999999</v>
      </c>
      <c r="R203" s="54">
        <f>((K203-D203)/D203)</f>
        <v>2.9726182281593081E-3</v>
      </c>
      <c r="S203" s="54">
        <f>((N203-G203)/G203)</f>
        <v>2.3054223533750893E-3</v>
      </c>
      <c r="T203" s="54">
        <f>((O203-H203)/H203)</f>
        <v>6.1538461538461538E-3</v>
      </c>
      <c r="U203" s="54">
        <f>P203-I203</f>
        <v>-5.0999999999999934E-3</v>
      </c>
      <c r="V203" s="55">
        <f>Q203-J203</f>
        <v>2.9999999999999472E-4</v>
      </c>
      <c r="X203" s="80"/>
    </row>
    <row r="204" spans="1:24">
      <c r="A204" s="138">
        <v>172</v>
      </c>
      <c r="B204" s="139" t="s">
        <v>228</v>
      </c>
      <c r="C204" s="140" t="s">
        <v>229</v>
      </c>
      <c r="D204" s="26">
        <v>444762038.79000002</v>
      </c>
      <c r="E204" s="27">
        <f>(D204/$D$221)</f>
        <v>6.8636594908155135E-3</v>
      </c>
      <c r="F204" s="74">
        <v>1355.09</v>
      </c>
      <c r="G204" s="74">
        <v>1355.09</v>
      </c>
      <c r="H204" s="29">
        <v>18</v>
      </c>
      <c r="I204" s="47">
        <v>-6.1999999999999998E-3</v>
      </c>
      <c r="J204" s="47">
        <v>3.9399999999999998E-2</v>
      </c>
      <c r="K204" s="26">
        <v>353419105.38</v>
      </c>
      <c r="L204" s="27">
        <f t="shared" si="129"/>
        <v>5.4073340126404509E-3</v>
      </c>
      <c r="M204" s="74">
        <v>1076.18</v>
      </c>
      <c r="N204" s="74">
        <v>1076.18</v>
      </c>
      <c r="O204" s="29">
        <v>18</v>
      </c>
      <c r="P204" s="47">
        <v>1.15E-2</v>
      </c>
      <c r="Q204" s="47">
        <v>5.0900000000000001E-2</v>
      </c>
      <c r="R204" s="54">
        <f>((K204-D204)/D204)</f>
        <v>-0.20537484192334304</v>
      </c>
      <c r="S204" s="54">
        <f>((N204-G204)/G204)</f>
        <v>-0.20582396741175854</v>
      </c>
      <c r="T204" s="54">
        <f>((O204-H204)/H204)</f>
        <v>0</v>
      </c>
      <c r="U204" s="54">
        <f>P204-I204</f>
        <v>1.77E-2</v>
      </c>
      <c r="V204" s="55">
        <f>Q204-J204</f>
        <v>1.1500000000000003E-2</v>
      </c>
      <c r="X204" s="80"/>
    </row>
    <row r="205" spans="1:24">
      <c r="A205" s="138">
        <v>173</v>
      </c>
      <c r="B205" s="139" t="s">
        <v>230</v>
      </c>
      <c r="C205" s="140" t="s">
        <v>65</v>
      </c>
      <c r="D205" s="26">
        <v>247743044.22999999</v>
      </c>
      <c r="E205" s="27">
        <f>(D205/$D$221)</f>
        <v>3.8232217422126788E-3</v>
      </c>
      <c r="F205" s="74">
        <v>119.31</v>
      </c>
      <c r="G205" s="74">
        <v>119.31</v>
      </c>
      <c r="H205" s="29">
        <v>68</v>
      </c>
      <c r="I205" s="47">
        <v>1.9E-3</v>
      </c>
      <c r="J205" s="47">
        <v>0.13420000000000001</v>
      </c>
      <c r="K205" s="26">
        <v>247954428.08000001</v>
      </c>
      <c r="L205" s="27">
        <f t="shared" si="129"/>
        <v>3.7937179743018751E-3</v>
      </c>
      <c r="M205" s="74">
        <v>119.59</v>
      </c>
      <c r="N205" s="74">
        <v>119.59</v>
      </c>
      <c r="O205" s="29">
        <v>69</v>
      </c>
      <c r="P205" s="47">
        <v>2.3E-3</v>
      </c>
      <c r="Q205" s="47">
        <v>0.1346</v>
      </c>
      <c r="R205" s="54">
        <f t="shared" ref="R205:R222" si="130">((K205-D205)/D205)</f>
        <v>8.5323828427561843E-4</v>
      </c>
      <c r="S205" s="54">
        <f t="shared" ref="S205:S221" si="131">((N205-G205)/G205)</f>
        <v>2.3468275919872696E-3</v>
      </c>
      <c r="T205" s="54">
        <f t="shared" ref="T205:T221" si="132">((O205-H205)/H205)</f>
        <v>1.4705882352941176E-2</v>
      </c>
      <c r="U205" s="54">
        <f t="shared" ref="U205:U221" si="133">P205-I205</f>
        <v>3.9999999999999996E-4</v>
      </c>
      <c r="V205" s="55">
        <f t="shared" ref="V205:V221" si="134">Q205-J205</f>
        <v>3.999999999999837E-4</v>
      </c>
    </row>
    <row r="206" spans="1:24">
      <c r="A206" s="138">
        <v>174</v>
      </c>
      <c r="B206" s="175" t="s">
        <v>231</v>
      </c>
      <c r="C206" s="140" t="s">
        <v>68</v>
      </c>
      <c r="D206" s="41">
        <v>64344345.630000003</v>
      </c>
      <c r="E206" s="27">
        <f>(D206/$D$221)</f>
        <v>9.9297520931679144E-4</v>
      </c>
      <c r="F206" s="74">
        <v>99.34</v>
      </c>
      <c r="G206" s="74">
        <v>99.34</v>
      </c>
      <c r="H206" s="29">
        <v>16</v>
      </c>
      <c r="I206" s="47">
        <v>1.4E-3</v>
      </c>
      <c r="J206" s="47">
        <v>6.3E-2</v>
      </c>
      <c r="K206" s="41">
        <v>64452111.009999998</v>
      </c>
      <c r="L206" s="27">
        <f t="shared" si="129"/>
        <v>9.8612125588435576E-4</v>
      </c>
      <c r="M206" s="74">
        <v>99.54</v>
      </c>
      <c r="N206" s="74">
        <v>99.54</v>
      </c>
      <c r="O206" s="29">
        <v>16</v>
      </c>
      <c r="P206" s="47">
        <v>2E-3</v>
      </c>
      <c r="Q206" s="47">
        <v>6.5000000000000002E-2</v>
      </c>
      <c r="R206" s="54">
        <f t="shared" si="130"/>
        <v>1.6748228448802585E-3</v>
      </c>
      <c r="S206" s="54">
        <f t="shared" si="131"/>
        <v>2.013287698812189E-3</v>
      </c>
      <c r="T206" s="54">
        <f t="shared" si="132"/>
        <v>0</v>
      </c>
      <c r="U206" s="54">
        <f t="shared" si="133"/>
        <v>6.0000000000000006E-4</v>
      </c>
      <c r="V206" s="55">
        <f t="shared" si="134"/>
        <v>2.0000000000000018E-3</v>
      </c>
    </row>
    <row r="207" spans="1:24">
      <c r="A207" s="138">
        <v>175</v>
      </c>
      <c r="B207" s="139" t="s">
        <v>232</v>
      </c>
      <c r="C207" s="140" t="s">
        <v>71</v>
      </c>
      <c r="D207" s="41">
        <v>167327369.38</v>
      </c>
      <c r="E207" s="27">
        <v>0</v>
      </c>
      <c r="F207" s="74">
        <v>1.1099000000000001</v>
      </c>
      <c r="G207" s="74">
        <v>1.1099000000000001</v>
      </c>
      <c r="H207" s="29">
        <v>41</v>
      </c>
      <c r="I207" s="47">
        <v>1.8E-3</v>
      </c>
      <c r="J207" s="47">
        <v>0.1135</v>
      </c>
      <c r="K207" s="41">
        <v>167140379.46000001</v>
      </c>
      <c r="L207" s="27">
        <f t="shared" si="129"/>
        <v>2.5572580683433381E-3</v>
      </c>
      <c r="M207" s="74">
        <v>1.1099000000000001</v>
      </c>
      <c r="N207" s="74">
        <v>1.1099000000000001</v>
      </c>
      <c r="O207" s="29">
        <v>42</v>
      </c>
      <c r="P207" s="47">
        <v>1.8E-3</v>
      </c>
      <c r="Q207" s="47">
        <v>0.1132</v>
      </c>
      <c r="R207" s="54">
        <f t="shared" ref="R207:R208" si="135">((K207-D207)/D207)</f>
        <v>-1.117509470762869E-3</v>
      </c>
      <c r="S207" s="54">
        <f t="shared" ref="S207:S208" si="136">((N207-G207)/G207)</f>
        <v>0</v>
      </c>
      <c r="T207" s="54">
        <f t="shared" ref="T207" si="137">((O207-H207)/H207)</f>
        <v>2.4390243902439025E-2</v>
      </c>
      <c r="U207" s="54">
        <f t="shared" ref="U207" si="138">P207-I207</f>
        <v>0</v>
      </c>
      <c r="V207" s="55">
        <f t="shared" ref="V207" si="139">Q207-J207</f>
        <v>-3.0000000000000859E-4</v>
      </c>
    </row>
    <row r="208" spans="1:24">
      <c r="A208" s="138">
        <v>176</v>
      </c>
      <c r="B208" s="139" t="s">
        <v>233</v>
      </c>
      <c r="C208" s="140" t="s">
        <v>29</v>
      </c>
      <c r="D208" s="26">
        <v>5824318667</v>
      </c>
      <c r="E208" s="27">
        <f t="shared" ref="E208:E215" si="140">(D208/$D$221)</f>
        <v>8.9882086621074567E-2</v>
      </c>
      <c r="F208" s="74">
        <v>156.66999999999999</v>
      </c>
      <c r="G208" s="74">
        <v>156.66999999999999</v>
      </c>
      <c r="H208" s="29">
        <v>723</v>
      </c>
      <c r="I208" s="47">
        <v>2.8E-3</v>
      </c>
      <c r="J208" s="47">
        <v>9.1999999999999998E-2</v>
      </c>
      <c r="K208" s="26">
        <v>5789336728.8599997</v>
      </c>
      <c r="L208" s="27">
        <f t="shared" si="129"/>
        <v>8.8577207423277099E-2</v>
      </c>
      <c r="M208" s="74">
        <v>157.1</v>
      </c>
      <c r="N208" s="74">
        <v>157.1</v>
      </c>
      <c r="O208" s="29">
        <v>725</v>
      </c>
      <c r="P208" s="47">
        <v>2.7000000000000001E-3</v>
      </c>
      <c r="Q208" s="47">
        <v>9.5000000000000001E-2</v>
      </c>
      <c r="R208" s="54">
        <f t="shared" si="135"/>
        <v>-6.0061854682169884E-3</v>
      </c>
      <c r="S208" s="54">
        <f t="shared" si="136"/>
        <v>2.7446224548414301E-3</v>
      </c>
      <c r="T208" s="54">
        <f t="shared" si="132"/>
        <v>2.7662517289073307E-3</v>
      </c>
      <c r="U208" s="54">
        <f t="shared" si="133"/>
        <v>-9.9999999999999829E-5</v>
      </c>
      <c r="V208" s="55">
        <f t="shared" si="134"/>
        <v>3.0000000000000027E-3</v>
      </c>
    </row>
    <row r="209" spans="1:22">
      <c r="A209" s="167">
        <v>177</v>
      </c>
      <c r="B209" s="139" t="s">
        <v>234</v>
      </c>
      <c r="C209" s="140" t="s">
        <v>63</v>
      </c>
      <c r="D209" s="26">
        <v>676904742.22036004</v>
      </c>
      <c r="E209" s="27">
        <f t="shared" si="140"/>
        <v>1.0446133557078352E-2</v>
      </c>
      <c r="F209" s="32">
        <v>1276.9578081014799</v>
      </c>
      <c r="G209" s="32">
        <v>1276.9578081014799</v>
      </c>
      <c r="H209" s="29">
        <v>236</v>
      </c>
      <c r="I209" s="47">
        <v>0.12222640318448677</v>
      </c>
      <c r="J209" s="47">
        <v>0.1298736575076439</v>
      </c>
      <c r="K209" s="26">
        <v>676775907.70000005</v>
      </c>
      <c r="L209" s="27">
        <f t="shared" si="129"/>
        <v>1.0354712942604033E-2</v>
      </c>
      <c r="M209" s="32">
        <v>1279.76</v>
      </c>
      <c r="N209" s="32">
        <v>1279.76</v>
      </c>
      <c r="O209" s="29">
        <v>238</v>
      </c>
      <c r="P209" s="47">
        <v>0.1145</v>
      </c>
      <c r="Q209" s="47">
        <v>0.12970000000000001</v>
      </c>
      <c r="R209" s="54">
        <f t="shared" si="130"/>
        <v>-1.9032887838456316E-4</v>
      </c>
      <c r="S209" s="54">
        <f t="shared" si="131"/>
        <v>2.1944279448717382E-3</v>
      </c>
      <c r="T209" s="54">
        <f t="shared" si="132"/>
        <v>8.4745762711864406E-3</v>
      </c>
      <c r="U209" s="54">
        <f t="shared" si="133"/>
        <v>-7.7264031844867659E-3</v>
      </c>
      <c r="V209" s="55">
        <f t="shared" si="134"/>
        <v>-1.7365750764389287E-4</v>
      </c>
    </row>
    <row r="210" spans="1:22">
      <c r="A210" s="138">
        <v>178</v>
      </c>
      <c r="B210" s="139" t="s">
        <v>235</v>
      </c>
      <c r="C210" s="140" t="s">
        <v>226</v>
      </c>
      <c r="D210" s="26">
        <v>32186868261.52</v>
      </c>
      <c r="E210" s="27">
        <f t="shared" si="140"/>
        <v>0.49671438781923649</v>
      </c>
      <c r="F210" s="32">
        <v>1263.93</v>
      </c>
      <c r="G210" s="32">
        <v>1263.93</v>
      </c>
      <c r="H210" s="29">
        <v>10704</v>
      </c>
      <c r="I210" s="47">
        <v>8.3999999999999995E-3</v>
      </c>
      <c r="J210" s="47">
        <v>8.7499999999999994E-2</v>
      </c>
      <c r="K210" s="26">
        <v>32165829500.75</v>
      </c>
      <c r="L210" s="27">
        <f t="shared" si="129"/>
        <v>0.49213916637920924</v>
      </c>
      <c r="M210" s="32">
        <v>1267.01</v>
      </c>
      <c r="N210" s="32">
        <v>1267.01</v>
      </c>
      <c r="O210" s="29">
        <v>10833</v>
      </c>
      <c r="P210" s="47">
        <v>2.3999999999999998E-3</v>
      </c>
      <c r="Q210" s="47">
        <v>8.9899999999999994E-2</v>
      </c>
      <c r="R210" s="54">
        <f t="shared" si="130"/>
        <v>-6.5364423152508718E-4</v>
      </c>
      <c r="S210" s="54">
        <f t="shared" si="131"/>
        <v>2.4368438125528529E-3</v>
      </c>
      <c r="T210" s="54">
        <f t="shared" si="132"/>
        <v>1.2051569506726457E-2</v>
      </c>
      <c r="U210" s="54">
        <f t="shared" si="133"/>
        <v>-6.0000000000000001E-3</v>
      </c>
      <c r="V210" s="55">
        <f t="shared" si="134"/>
        <v>2.3999999999999994E-3</v>
      </c>
    </row>
    <row r="211" spans="1:22">
      <c r="A211" s="138">
        <v>179</v>
      </c>
      <c r="B211" s="139" t="s">
        <v>236</v>
      </c>
      <c r="C211" s="140" t="s">
        <v>237</v>
      </c>
      <c r="D211" s="26">
        <v>471635321.82999998</v>
      </c>
      <c r="E211" s="27">
        <f t="shared" si="140"/>
        <v>7.278373535855579E-3</v>
      </c>
      <c r="F211" s="76">
        <v>126.49</v>
      </c>
      <c r="G211" s="76">
        <v>126.49</v>
      </c>
      <c r="H211" s="43">
        <v>142</v>
      </c>
      <c r="I211" s="47">
        <v>2.23E-2</v>
      </c>
      <c r="J211" s="47">
        <v>1.9900000000000001E-2</v>
      </c>
      <c r="K211" s="26">
        <v>449222334.56</v>
      </c>
      <c r="L211" s="27">
        <f t="shared" si="129"/>
        <v>6.8731293015193585E-3</v>
      </c>
      <c r="M211" s="76">
        <v>120.36</v>
      </c>
      <c r="N211" s="76">
        <v>121.31</v>
      </c>
      <c r="O211" s="43">
        <v>143</v>
      </c>
      <c r="P211" s="47">
        <v>-4.8599999999999997E-2</v>
      </c>
      <c r="Q211" s="47">
        <v>-2.9700000000000001E-2</v>
      </c>
      <c r="R211" s="54">
        <f t="shared" si="130"/>
        <v>-4.752185901394107E-2</v>
      </c>
      <c r="S211" s="54">
        <f t="shared" si="131"/>
        <v>-4.0951853901494133E-2</v>
      </c>
      <c r="T211" s="54">
        <f t="shared" si="132"/>
        <v>7.0422535211267607E-3</v>
      </c>
      <c r="U211" s="54">
        <f t="shared" si="133"/>
        <v>-7.0899999999999991E-2</v>
      </c>
      <c r="V211" s="55">
        <f t="shared" si="134"/>
        <v>-4.9600000000000005E-2</v>
      </c>
    </row>
    <row r="212" spans="1:22">
      <c r="A212" s="138">
        <v>180</v>
      </c>
      <c r="B212" s="139" t="s">
        <v>238</v>
      </c>
      <c r="C212" s="140" t="s">
        <v>237</v>
      </c>
      <c r="D212" s="26">
        <v>297964342.55000001</v>
      </c>
      <c r="E212" s="27">
        <f t="shared" si="140"/>
        <v>4.5982471733239452E-3</v>
      </c>
      <c r="F212" s="76">
        <v>126.36</v>
      </c>
      <c r="G212" s="76">
        <v>126.36</v>
      </c>
      <c r="H212" s="43">
        <v>90</v>
      </c>
      <c r="I212" s="47">
        <v>3.5999999999999999E-3</v>
      </c>
      <c r="J212" s="47">
        <v>0.1313</v>
      </c>
      <c r="K212" s="26">
        <v>299084099.47000003</v>
      </c>
      <c r="L212" s="27">
        <f t="shared" si="129"/>
        <v>4.5760050859876096E-3</v>
      </c>
      <c r="M212" s="76">
        <v>126.75</v>
      </c>
      <c r="N212" s="76">
        <v>126.75</v>
      </c>
      <c r="O212" s="43">
        <v>90</v>
      </c>
      <c r="P212" s="47">
        <v>3.0999999999999999E-3</v>
      </c>
      <c r="Q212" s="47">
        <v>0.1348</v>
      </c>
      <c r="R212" s="54">
        <f t="shared" si="130"/>
        <v>3.7580232265950263E-3</v>
      </c>
      <c r="S212" s="54">
        <f t="shared" si="131"/>
        <v>3.0864197530864244E-3</v>
      </c>
      <c r="T212" s="54">
        <f t="shared" si="132"/>
        <v>0</v>
      </c>
      <c r="U212" s="54">
        <f t="shared" si="133"/>
        <v>-5.0000000000000001E-4</v>
      </c>
      <c r="V212" s="55">
        <f t="shared" si="134"/>
        <v>3.5000000000000031E-3</v>
      </c>
    </row>
    <row r="213" spans="1:22" ht="13.5" customHeight="1">
      <c r="A213" s="138">
        <v>181</v>
      </c>
      <c r="B213" s="139" t="s">
        <v>239</v>
      </c>
      <c r="C213" s="140" t="s">
        <v>85</v>
      </c>
      <c r="D213" s="26">
        <v>1968878857</v>
      </c>
      <c r="E213" s="27">
        <f t="shared" si="140"/>
        <v>3.0384144496411754E-2</v>
      </c>
      <c r="F213" s="57">
        <v>104.99</v>
      </c>
      <c r="G213" s="57">
        <v>104.99</v>
      </c>
      <c r="H213" s="29">
        <v>658</v>
      </c>
      <c r="I213" s="47">
        <v>3.2000000000000002E-3</v>
      </c>
      <c r="J213" s="47">
        <v>0.1479</v>
      </c>
      <c r="K213" s="26">
        <v>2005049615</v>
      </c>
      <c r="L213" s="27">
        <f t="shared" si="129"/>
        <v>3.0677382221778123E-2</v>
      </c>
      <c r="M213" s="57">
        <v>105.33</v>
      </c>
      <c r="N213" s="57">
        <v>105.33</v>
      </c>
      <c r="O213" s="29">
        <v>658</v>
      </c>
      <c r="P213" s="47">
        <v>3.2000000000000002E-3</v>
      </c>
      <c r="Q213" s="47">
        <v>0.1487</v>
      </c>
      <c r="R213" s="54">
        <f t="shared" si="130"/>
        <v>1.8371246088301103E-2</v>
      </c>
      <c r="S213" s="54">
        <f t="shared" si="131"/>
        <v>3.2384036574912224E-3</v>
      </c>
      <c r="T213" s="54">
        <f t="shared" si="132"/>
        <v>0</v>
      </c>
      <c r="U213" s="54">
        <f t="shared" si="133"/>
        <v>0</v>
      </c>
      <c r="V213" s="55">
        <f t="shared" si="134"/>
        <v>7.9999999999999516E-4</v>
      </c>
    </row>
    <row r="214" spans="1:22" ht="15.75" customHeight="1">
      <c r="A214" s="138">
        <v>182</v>
      </c>
      <c r="B214" s="139" t="s">
        <v>240</v>
      </c>
      <c r="C214" s="140" t="s">
        <v>47</v>
      </c>
      <c r="D214" s="26">
        <v>5084354349.7299995</v>
      </c>
      <c r="E214" s="27">
        <f t="shared" si="140"/>
        <v>7.8462804699190244E-2</v>
      </c>
      <c r="F214" s="57">
        <v>138.53</v>
      </c>
      <c r="G214" s="57">
        <v>138.53</v>
      </c>
      <c r="H214" s="29">
        <v>1400</v>
      </c>
      <c r="I214" s="47">
        <v>1.8E-3</v>
      </c>
      <c r="J214" s="47">
        <v>3.15E-2</v>
      </c>
      <c r="K214" s="26">
        <v>5104477437.9899998</v>
      </c>
      <c r="L214" s="27">
        <f t="shared" si="129"/>
        <v>7.8098818221843336E-2</v>
      </c>
      <c r="M214" s="57">
        <v>139.74</v>
      </c>
      <c r="N214" s="57">
        <v>139.74</v>
      </c>
      <c r="O214" s="29">
        <v>1420</v>
      </c>
      <c r="P214" s="47">
        <v>8.6999999999999994E-3</v>
      </c>
      <c r="Q214" s="47">
        <v>4.0500000000000001E-2</v>
      </c>
      <c r="R214" s="54">
        <f t="shared" si="130"/>
        <v>3.9578453577038446E-3</v>
      </c>
      <c r="S214" s="54">
        <f t="shared" si="131"/>
        <v>8.7345701292139456E-3</v>
      </c>
      <c r="T214" s="54">
        <f t="shared" si="132"/>
        <v>1.4285714285714285E-2</v>
      </c>
      <c r="U214" s="54">
        <f t="shared" si="133"/>
        <v>6.8999999999999999E-3</v>
      </c>
      <c r="V214" s="55">
        <f t="shared" si="134"/>
        <v>9.0000000000000011E-3</v>
      </c>
    </row>
    <row r="215" spans="1:22">
      <c r="A215" s="138">
        <v>183</v>
      </c>
      <c r="B215" s="139" t="s">
        <v>241</v>
      </c>
      <c r="C215" s="140" t="s">
        <v>50</v>
      </c>
      <c r="D215" s="26">
        <v>4125648538.4299998</v>
      </c>
      <c r="E215" s="27">
        <f t="shared" si="140"/>
        <v>6.3667858937786884E-2</v>
      </c>
      <c r="F215" s="57">
        <v>1.1684000000000001</v>
      </c>
      <c r="G215" s="57">
        <v>1.1684000000000001</v>
      </c>
      <c r="H215" s="29">
        <v>1760</v>
      </c>
      <c r="I215" s="47">
        <v>9.3399999999999997E-2</v>
      </c>
      <c r="J215" s="47">
        <v>0.10829999999999999</v>
      </c>
      <c r="K215" s="26">
        <v>4134598258.3299999</v>
      </c>
      <c r="L215" s="27">
        <f t="shared" si="129"/>
        <v>6.325960722138417E-2</v>
      </c>
      <c r="M215" s="57">
        <v>1.1708000000000001</v>
      </c>
      <c r="N215" s="57">
        <v>1.1708000000000001</v>
      </c>
      <c r="O215" s="29">
        <v>1772</v>
      </c>
      <c r="P215" s="47">
        <v>2E-3</v>
      </c>
      <c r="Q215" s="47">
        <v>0.1081</v>
      </c>
      <c r="R215" s="54">
        <f t="shared" si="130"/>
        <v>2.1692880080875425E-3</v>
      </c>
      <c r="S215" s="54">
        <f t="shared" si="131"/>
        <v>2.0540910647038322E-3</v>
      </c>
      <c r="T215" s="54">
        <f t="shared" si="132"/>
        <v>6.8181818181818179E-3</v>
      </c>
      <c r="U215" s="54">
        <f t="shared" si="133"/>
        <v>-9.1399999999999995E-2</v>
      </c>
      <c r="V215" s="55">
        <f t="shared" si="134"/>
        <v>-1.9999999999999185E-4</v>
      </c>
    </row>
    <row r="216" spans="1:22" ht="6" customHeight="1">
      <c r="A216" s="33"/>
      <c r="B216" s="183"/>
      <c r="C216" s="183"/>
      <c r="D216" s="183"/>
      <c r="E216" s="183"/>
      <c r="F216" s="183"/>
      <c r="G216" s="183"/>
      <c r="H216" s="183"/>
      <c r="I216" s="183"/>
      <c r="J216" s="183"/>
      <c r="K216" s="183"/>
      <c r="L216" s="183"/>
      <c r="M216" s="183"/>
      <c r="N216" s="183"/>
      <c r="O216" s="183"/>
      <c r="P216" s="183"/>
      <c r="Q216" s="183"/>
      <c r="R216" s="183"/>
      <c r="S216" s="183"/>
      <c r="T216" s="183"/>
      <c r="U216" s="183"/>
      <c r="V216" s="183"/>
    </row>
    <row r="217" spans="1:22">
      <c r="A217" s="187" t="s">
        <v>242</v>
      </c>
      <c r="B217" s="187"/>
      <c r="C217" s="187"/>
      <c r="D217" s="187"/>
      <c r="E217" s="187"/>
      <c r="F217" s="187"/>
      <c r="G217" s="187"/>
      <c r="H217" s="187"/>
      <c r="I217" s="187"/>
      <c r="J217" s="187"/>
      <c r="K217" s="187"/>
      <c r="L217" s="187"/>
      <c r="M217" s="187"/>
      <c r="N217" s="187"/>
      <c r="O217" s="187"/>
      <c r="P217" s="187"/>
      <c r="Q217" s="187"/>
      <c r="R217" s="187"/>
      <c r="S217" s="187"/>
      <c r="T217" s="187"/>
      <c r="U217" s="187"/>
      <c r="V217" s="187"/>
    </row>
    <row r="218" spans="1:22">
      <c r="A218" s="138">
        <v>184</v>
      </c>
      <c r="B218" s="139" t="s">
        <v>311</v>
      </c>
      <c r="C218" s="140" t="s">
        <v>21</v>
      </c>
      <c r="D218" s="75">
        <v>1738378573.21</v>
      </c>
      <c r="E218" s="27">
        <f>(D218/$D$195)</f>
        <v>0.20379199420790098</v>
      </c>
      <c r="F218" s="74">
        <v>92.566999999999993</v>
      </c>
      <c r="G218" s="74">
        <v>95.358000000000004</v>
      </c>
      <c r="H218" s="31">
        <v>2042</v>
      </c>
      <c r="I218" s="48">
        <v>2.2631999999999999</v>
      </c>
      <c r="J218" s="48">
        <v>0.59970000000000001</v>
      </c>
      <c r="K218" s="75">
        <v>1916188209.4300001</v>
      </c>
      <c r="L218" s="51">
        <f>(K218/$K$195)</f>
        <v>0.22268475401625967</v>
      </c>
      <c r="M218" s="74">
        <v>94.438699999999997</v>
      </c>
      <c r="N218" s="74">
        <v>97.286100000000005</v>
      </c>
      <c r="O218" s="31">
        <v>2148</v>
      </c>
      <c r="P218" s="48">
        <v>1.0543</v>
      </c>
      <c r="Q218" s="48">
        <v>0.62590000000000001</v>
      </c>
      <c r="R218" s="54">
        <f>((K218-D218)/D218)</f>
        <v>0.10228476061555794</v>
      </c>
      <c r="S218" s="54">
        <f t="shared" ref="S218" si="141">((N218-G218)/G218)</f>
        <v>2.0219593531743539E-2</v>
      </c>
      <c r="T218" s="54">
        <f t="shared" ref="T218" si="142">((O218-H218)/H218)</f>
        <v>5.190989226248776E-2</v>
      </c>
      <c r="U218" s="54">
        <f t="shared" ref="U218" si="143">P218-I218</f>
        <v>-1.2088999999999999</v>
      </c>
      <c r="V218" s="55">
        <f t="shared" ref="V218" si="144">Q218-J218</f>
        <v>2.6200000000000001E-2</v>
      </c>
    </row>
    <row r="219" spans="1:22">
      <c r="A219" s="173">
        <v>185</v>
      </c>
      <c r="B219" s="139" t="s">
        <v>243</v>
      </c>
      <c r="C219" s="140" t="s">
        <v>226</v>
      </c>
      <c r="D219" s="26">
        <v>244241341.38999999</v>
      </c>
      <c r="E219" s="27">
        <f t="shared" ref="E219" si="145">(D219/$D$221)</f>
        <v>3.7691827419482479E-3</v>
      </c>
      <c r="F219" s="32">
        <v>1185</v>
      </c>
      <c r="G219" s="32">
        <v>1185</v>
      </c>
      <c r="H219" s="29">
        <v>142</v>
      </c>
      <c r="I219" s="47">
        <v>5.8799999999999998E-2</v>
      </c>
      <c r="J219" s="47">
        <v>7.4800000000000005E-2</v>
      </c>
      <c r="K219" s="26">
        <v>245262454.22999999</v>
      </c>
      <c r="L219" s="27">
        <f t="shared" ref="L219" si="146">(K219/$K$221)</f>
        <v>3.7525306091066844E-3</v>
      </c>
      <c r="M219" s="32">
        <v>1184.4100000000001</v>
      </c>
      <c r="N219" s="32">
        <v>1184.42</v>
      </c>
      <c r="O219" s="29">
        <v>142</v>
      </c>
      <c r="P219" s="47">
        <v>-5.0000000000000001E-4</v>
      </c>
      <c r="Q219" s="47">
        <v>7.4300000000000005E-2</v>
      </c>
      <c r="R219" s="54">
        <f t="shared" ref="R219" si="147">((K219-D219)/D219)</f>
        <v>4.1807534882864475E-3</v>
      </c>
      <c r="S219" s="54">
        <f t="shared" ref="S219" si="148">((N219-G219)/G219)</f>
        <v>-4.8945147679318752E-4</v>
      </c>
      <c r="T219" s="54">
        <f t="shared" ref="T219" si="149">((O219-H219)/H219)</f>
        <v>0</v>
      </c>
      <c r="U219" s="54">
        <f t="shared" ref="U219" si="150">P219-I219</f>
        <v>-5.9299999999999999E-2</v>
      </c>
      <c r="V219" s="55">
        <f t="shared" ref="V219" si="151">Q219-J219</f>
        <v>-5.0000000000000044E-4</v>
      </c>
    </row>
    <row r="220" spans="1:22">
      <c r="A220" s="173">
        <v>186</v>
      </c>
      <c r="B220" s="139" t="s">
        <v>288</v>
      </c>
      <c r="C220" s="140" t="s">
        <v>289</v>
      </c>
      <c r="D220" s="26">
        <v>86609777.390000001</v>
      </c>
      <c r="E220" s="27">
        <f t="shared" ref="E220" si="152">(D220/$D$221)</f>
        <v>1.3365799432828263E-3</v>
      </c>
      <c r="F220" s="32">
        <v>106.32</v>
      </c>
      <c r="G220" s="32">
        <v>108.25</v>
      </c>
      <c r="H220" s="29">
        <v>227</v>
      </c>
      <c r="I220" s="47">
        <v>2.8900000000000002E-3</v>
      </c>
      <c r="J220" s="47">
        <v>4.3099999999999999E-2</v>
      </c>
      <c r="K220" s="26">
        <v>88515261</v>
      </c>
      <c r="L220" s="27">
        <f t="shared" ref="L220" si="153">(K220/$K$221)</f>
        <v>1.3542889282355491E-3</v>
      </c>
      <c r="M220" s="32">
        <v>106.65</v>
      </c>
      <c r="N220" s="32">
        <v>108.85</v>
      </c>
      <c r="O220" s="29">
        <v>227</v>
      </c>
      <c r="P220" s="47">
        <v>2.8900000000000002E-3</v>
      </c>
      <c r="Q220" s="47">
        <v>4.5199999999999997E-2</v>
      </c>
      <c r="R220" s="54">
        <f t="shared" ref="R220" si="154">((K220-D220)/D220)</f>
        <v>2.2000790989447887E-2</v>
      </c>
      <c r="S220" s="54">
        <f t="shared" ref="S220" si="155">((N220-G220)/G220)</f>
        <v>5.5427251732101095E-3</v>
      </c>
      <c r="T220" s="54">
        <f t="shared" ref="T220" si="156">((O220-H220)/H220)</f>
        <v>0</v>
      </c>
      <c r="U220" s="54">
        <f t="shared" ref="U220" si="157">P220-I220</f>
        <v>0</v>
      </c>
      <c r="V220" s="55">
        <f t="shared" ref="V220" si="158">Q220-J220</f>
        <v>2.0999999999999977E-3</v>
      </c>
    </row>
    <row r="221" spans="1:22">
      <c r="A221" s="33"/>
      <c r="B221" s="34"/>
      <c r="C221" s="68" t="s">
        <v>51</v>
      </c>
      <c r="D221" s="45">
        <f>SUM(D199:D220)</f>
        <v>64799548897.370361</v>
      </c>
      <c r="E221" s="37">
        <f>(D221/$D$222)</f>
        <v>1.0317892375504558E-2</v>
      </c>
      <c r="F221" s="38"/>
      <c r="G221" s="71"/>
      <c r="H221" s="81">
        <f>SUM(H199:H220)</f>
        <v>35417</v>
      </c>
      <c r="I221" s="78"/>
      <c r="J221" s="78"/>
      <c r="K221" s="45">
        <f>SUM(K199:K220)</f>
        <v>65359214828.200005</v>
      </c>
      <c r="L221" s="37">
        <f>(K221/$K$222)</f>
        <v>1.0235600539898216E-2</v>
      </c>
      <c r="M221" s="38"/>
      <c r="N221" s="71"/>
      <c r="O221" s="40">
        <f>SUM(O199:O220)</f>
        <v>35863</v>
      </c>
      <c r="P221" s="78"/>
      <c r="Q221" s="78"/>
      <c r="R221" s="54">
        <f t="shared" si="130"/>
        <v>8.63688004550839E-3</v>
      </c>
      <c r="S221" s="54" t="e">
        <f t="shared" si="131"/>
        <v>#DIV/0!</v>
      </c>
      <c r="T221" s="54">
        <f t="shared" si="132"/>
        <v>1.2592822655786769E-2</v>
      </c>
      <c r="U221" s="54">
        <f t="shared" si="133"/>
        <v>0</v>
      </c>
      <c r="V221" s="55">
        <f t="shared" si="134"/>
        <v>0</v>
      </c>
    </row>
    <row r="222" spans="1:22">
      <c r="A222" s="82"/>
      <c r="B222" s="82"/>
      <c r="C222" s="83" t="s">
        <v>244</v>
      </c>
      <c r="D222" s="84">
        <f>SUM(D25,D69,D110,D150,D159,D190,D195,D221)</f>
        <v>6280308665673.7471</v>
      </c>
      <c r="E222" s="85"/>
      <c r="F222" s="85"/>
      <c r="G222" s="86"/>
      <c r="H222" s="84">
        <f>SUM(H25,H69,H110,H150,H159,H190,H195,H221)</f>
        <v>941118</v>
      </c>
      <c r="I222" s="108"/>
      <c r="J222" s="108"/>
      <c r="K222" s="84">
        <f>SUM(K25,K69,K110,K150,K159,K190,K195,K221)</f>
        <v>6385479247009.5703</v>
      </c>
      <c r="L222" s="85"/>
      <c r="M222" s="85"/>
      <c r="N222" s="86"/>
      <c r="O222" s="84">
        <f>SUM(O25,O69,O110,O150,O159,O190,O195,O221)</f>
        <v>950265</v>
      </c>
      <c r="P222" s="109"/>
      <c r="Q222" s="84"/>
      <c r="R222" s="115">
        <f t="shared" si="130"/>
        <v>1.6746084776159742E-2</v>
      </c>
      <c r="S222" s="115"/>
      <c r="T222" s="115"/>
      <c r="U222" s="115"/>
      <c r="V222" s="115"/>
    </row>
    <row r="223" spans="1:22" ht="6.75" customHeight="1">
      <c r="A223" s="33"/>
      <c r="B223" s="183"/>
      <c r="C223" s="183"/>
      <c r="D223" s="183"/>
      <c r="E223" s="183"/>
      <c r="F223" s="183"/>
      <c r="G223" s="183"/>
      <c r="H223" s="183"/>
      <c r="I223" s="183"/>
      <c r="J223" s="183"/>
      <c r="K223" s="183"/>
      <c r="L223" s="183"/>
      <c r="M223" s="183"/>
      <c r="N223" s="183"/>
      <c r="O223" s="183"/>
      <c r="P223" s="183"/>
      <c r="Q223" s="183"/>
      <c r="R223" s="183"/>
      <c r="S223" s="183"/>
      <c r="T223" s="183"/>
      <c r="U223" s="183"/>
      <c r="V223" s="34"/>
    </row>
    <row r="224" spans="1:22" ht="14.4" customHeight="1">
      <c r="A224" s="186" t="s">
        <v>245</v>
      </c>
      <c r="B224" s="186"/>
      <c r="C224" s="186"/>
      <c r="D224" s="186"/>
      <c r="E224" s="186"/>
      <c r="F224" s="186"/>
      <c r="G224" s="186"/>
      <c r="H224" s="186"/>
      <c r="I224" s="186"/>
      <c r="J224" s="186"/>
      <c r="K224" s="186"/>
      <c r="L224" s="186"/>
      <c r="M224" s="186"/>
      <c r="N224" s="186"/>
      <c r="O224" s="186"/>
      <c r="P224" s="186"/>
      <c r="Q224" s="186"/>
      <c r="R224" s="186"/>
      <c r="S224" s="186"/>
      <c r="T224" s="186"/>
      <c r="U224" s="186"/>
      <c r="V224" s="186"/>
    </row>
    <row r="225" spans="1:22" ht="14.4" customHeight="1">
      <c r="A225" s="138">
        <v>1</v>
      </c>
      <c r="B225" s="139" t="s">
        <v>310</v>
      </c>
      <c r="C225" s="140" t="s">
        <v>21</v>
      </c>
      <c r="D225" s="26">
        <f>1179993.63*1532.0928</f>
        <v>1807859744.5688636</v>
      </c>
      <c r="E225" s="27">
        <f t="shared" ref="E225:E228" si="159">(D225/$D$221)</f>
        <v>2.7899264351857682E-2</v>
      </c>
      <c r="F225" s="32">
        <f>1.011*1532.0928</f>
        <v>1548.9458207999996</v>
      </c>
      <c r="G225" s="32">
        <f>1.011*1532.0928</f>
        <v>1548.9458207999996</v>
      </c>
      <c r="H225" s="29">
        <v>47</v>
      </c>
      <c r="I225" s="47">
        <v>5.16E-2</v>
      </c>
      <c r="J225" s="47">
        <v>3.7499999999999999E-2</v>
      </c>
      <c r="K225" s="26">
        <f>1191397.8*W133</f>
        <v>1827086205.4365602</v>
      </c>
      <c r="L225" s="27">
        <f>(K225/$K$230)</f>
        <v>9.8169238735235434E-2</v>
      </c>
      <c r="M225" s="32">
        <f>1.0122*W133</f>
        <v>1552.27469544</v>
      </c>
      <c r="N225" s="32">
        <f>1.0122*W133</f>
        <v>1552.27469544</v>
      </c>
      <c r="O225" s="29">
        <v>45</v>
      </c>
      <c r="P225" s="47">
        <v>6.1899999999999997E-2</v>
      </c>
      <c r="Q225" s="47">
        <v>3.9100000000000003E-2</v>
      </c>
      <c r="R225" s="54">
        <f t="shared" ref="R225" si="160">((K225-D225)/D225)</f>
        <v>1.0634929465881562E-2</v>
      </c>
      <c r="S225" s="54">
        <f t="shared" ref="S225" si="161">((N225-G225)/G225)</f>
        <v>2.1491227099738226E-3</v>
      </c>
      <c r="T225" s="54">
        <f t="shared" ref="T225" si="162">((O225-H225)/H225)</f>
        <v>-4.2553191489361701E-2</v>
      </c>
      <c r="U225" s="54">
        <f t="shared" ref="U225" si="163">P225-I225</f>
        <v>1.0299999999999997E-2</v>
      </c>
      <c r="V225" s="55">
        <f t="shared" ref="V225" si="164">Q225-J225</f>
        <v>1.6000000000000042E-3</v>
      </c>
    </row>
    <row r="226" spans="1:22" ht="14.4" customHeight="1">
      <c r="A226" s="138">
        <v>2</v>
      </c>
      <c r="B226" s="139" t="s">
        <v>246</v>
      </c>
      <c r="C226" s="140" t="s">
        <v>184</v>
      </c>
      <c r="D226" s="26">
        <v>4408086046.4902029</v>
      </c>
      <c r="E226" s="27">
        <f t="shared" ref="E226" si="165">(D226/$D$221)</f>
        <v>6.8026492799691196E-2</v>
      </c>
      <c r="F226" s="32">
        <v>123.2</v>
      </c>
      <c r="G226" s="32">
        <v>123.2</v>
      </c>
      <c r="H226" s="29">
        <v>9</v>
      </c>
      <c r="I226" s="47">
        <v>0.26723935578417335</v>
      </c>
      <c r="J226" s="47">
        <v>0.2658180671310556</v>
      </c>
      <c r="K226" s="26">
        <v>4738936944.1800003</v>
      </c>
      <c r="L226" s="27">
        <f>(K226/$K$230)</f>
        <v>0.25462281464342584</v>
      </c>
      <c r="M226" s="32">
        <v>123.2</v>
      </c>
      <c r="N226" s="32">
        <v>123.2</v>
      </c>
      <c r="O226" s="29">
        <v>9</v>
      </c>
      <c r="P226" s="47">
        <v>0.28389999999999999</v>
      </c>
      <c r="Q226" s="47">
        <v>0.2671</v>
      </c>
      <c r="R226" s="54">
        <f t="shared" ref="R226" si="166">((K226-D226)/D226)</f>
        <v>7.5055453591525698E-2</v>
      </c>
      <c r="S226" s="54">
        <f t="shared" ref="S226" si="167">((N226-G226)/G226)</f>
        <v>0</v>
      </c>
      <c r="T226" s="54">
        <f t="shared" ref="T226" si="168">((O226-H226)/H226)</f>
        <v>0</v>
      </c>
      <c r="U226" s="54">
        <f t="shared" ref="U226" si="169">P226-I226</f>
        <v>1.6660644215826637E-2</v>
      </c>
      <c r="V226" s="55">
        <f t="shared" ref="V226" si="170">Q226-J226</f>
        <v>1.2819328689444021E-3</v>
      </c>
    </row>
    <row r="227" spans="1:22" ht="14.4" customHeight="1">
      <c r="A227" s="138">
        <v>3</v>
      </c>
      <c r="B227" s="139" t="s">
        <v>308</v>
      </c>
      <c r="C227" s="140" t="s">
        <v>29</v>
      </c>
      <c r="D227" s="26">
        <f>374854.81*1534.83</f>
        <v>575338408.0323</v>
      </c>
      <c r="E227" s="27">
        <f t="shared" si="159"/>
        <v>8.8787409453038313E-3</v>
      </c>
      <c r="F227" s="32">
        <f>103.7*1534.83</f>
        <v>159161.87099999998</v>
      </c>
      <c r="G227" s="32">
        <f>103.7*1534.83</f>
        <v>159161.87099999998</v>
      </c>
      <c r="H227" s="29">
        <v>4</v>
      </c>
      <c r="I227" s="47">
        <v>2.5999999999999999E-3</v>
      </c>
      <c r="J227" s="47">
        <v>3.6999999999999998E-2</v>
      </c>
      <c r="K227" s="26">
        <f>377711.28*1535.5</f>
        <v>579975670.44000006</v>
      </c>
      <c r="L227" s="27">
        <f>(K227/$K$230)</f>
        <v>3.1162060050936941E-2</v>
      </c>
      <c r="M227" s="32">
        <f>104.49*1535.5</f>
        <v>160444.39499999999</v>
      </c>
      <c r="N227" s="32">
        <f>104.49*1535.5</f>
        <v>160444.39499999999</v>
      </c>
      <c r="O227" s="29">
        <v>4</v>
      </c>
      <c r="P227" s="47">
        <v>7.6E-3</v>
      </c>
      <c r="Q227" s="47">
        <v>4.4900000000000002E-2</v>
      </c>
      <c r="R227" s="54">
        <f t="shared" ref="R227:R228" si="171">((K227-D227)/D227)</f>
        <v>8.0600605538570652E-3</v>
      </c>
      <c r="S227" s="54">
        <f t="shared" ref="S227:S228" si="172">((N227-G227)/G227)</f>
        <v>8.057985194205244E-3</v>
      </c>
      <c r="T227" s="54">
        <f t="shared" ref="T227:T228" si="173">((O227-H227)/H227)</f>
        <v>0</v>
      </c>
      <c r="U227" s="54">
        <f t="shared" ref="U227:U228" si="174">P227-I227</f>
        <v>5.0000000000000001E-3</v>
      </c>
      <c r="V227" s="55">
        <f t="shared" ref="V227:V228" si="175">Q227-J227</f>
        <v>7.9000000000000042E-3</v>
      </c>
    </row>
    <row r="228" spans="1:22" ht="14.4" customHeight="1">
      <c r="A228" s="138">
        <v>4</v>
      </c>
      <c r="B228" s="139" t="s">
        <v>295</v>
      </c>
      <c r="C228" s="140" t="s">
        <v>39</v>
      </c>
      <c r="D228" s="26">
        <v>11301780117.309999</v>
      </c>
      <c r="E228" s="27">
        <f t="shared" si="159"/>
        <v>0.17441140115357559</v>
      </c>
      <c r="F228" s="32">
        <v>1.17</v>
      </c>
      <c r="G228" s="32">
        <v>1.17</v>
      </c>
      <c r="H228" s="29">
        <v>16</v>
      </c>
      <c r="I228" s="47">
        <v>4.1999999999999997E-3</v>
      </c>
      <c r="J228" s="47">
        <v>0.21929999999999999</v>
      </c>
      <c r="K228" s="26">
        <v>11335434527.139999</v>
      </c>
      <c r="L228" s="27">
        <f>(K228/$K$230)</f>
        <v>0.60905225760628479</v>
      </c>
      <c r="M228" s="32">
        <v>1.18</v>
      </c>
      <c r="N228" s="32">
        <v>1.18</v>
      </c>
      <c r="O228" s="29">
        <v>16</v>
      </c>
      <c r="P228" s="47">
        <v>2.7000000000000001E-3</v>
      </c>
      <c r="Q228" s="47">
        <v>0.2175</v>
      </c>
      <c r="R228" s="54">
        <f t="shared" si="171"/>
        <v>2.9777972567749974E-3</v>
      </c>
      <c r="S228" s="54">
        <f t="shared" si="172"/>
        <v>8.5470085470085548E-3</v>
      </c>
      <c r="T228" s="54">
        <f t="shared" si="173"/>
        <v>0</v>
      </c>
      <c r="U228" s="54">
        <f t="shared" si="174"/>
        <v>-1.4999999999999996E-3</v>
      </c>
      <c r="V228" s="55">
        <f t="shared" si="175"/>
        <v>-1.799999999999996E-3</v>
      </c>
    </row>
    <row r="229" spans="1:22" ht="14.4" customHeight="1">
      <c r="A229" s="138">
        <v>5</v>
      </c>
      <c r="B229" s="139" t="s">
        <v>313</v>
      </c>
      <c r="C229" s="140" t="s">
        <v>50</v>
      </c>
      <c r="D229" s="26">
        <v>131376043.56</v>
      </c>
      <c r="E229" s="27">
        <f t="shared" ref="E229" si="176">(D229/$D$221)</f>
        <v>2.0274221934488096E-3</v>
      </c>
      <c r="F229" s="32">
        <v>1.0993999999999999</v>
      </c>
      <c r="G229" s="32">
        <v>1.0993999999999999</v>
      </c>
      <c r="H229" s="29">
        <v>12</v>
      </c>
      <c r="I229" s="47">
        <v>2.12E-2</v>
      </c>
      <c r="J229" s="47">
        <v>9.9400000000000002E-2</v>
      </c>
      <c r="K229" s="26">
        <v>130162596.45999999</v>
      </c>
      <c r="L229" s="27">
        <f>(K229/$K$230)</f>
        <v>6.9936289641170544E-3</v>
      </c>
      <c r="M229" s="32">
        <v>1.0891999999999999</v>
      </c>
      <c r="N229" s="32">
        <v>1.0891999999999999</v>
      </c>
      <c r="O229" s="29">
        <v>12</v>
      </c>
      <c r="P229" s="47">
        <v>-9.7000000000000003E-3</v>
      </c>
      <c r="Q229" s="47">
        <v>8.9200000000000002E-2</v>
      </c>
      <c r="R229" s="54">
        <f t="shared" ref="R229:R230" si="177">((K229-D229)/D229)</f>
        <v>-9.2364411891108777E-3</v>
      </c>
      <c r="S229" s="54">
        <f t="shared" ref="S229" si="178">((N229-G229)/G229)</f>
        <v>-9.2777878843005156E-3</v>
      </c>
      <c r="T229" s="54">
        <f t="shared" ref="T229" si="179">((O229-H229)/H229)</f>
        <v>0</v>
      </c>
      <c r="U229" s="54">
        <f t="shared" ref="U229" si="180">P229-I229</f>
        <v>-3.09E-2</v>
      </c>
      <c r="V229" s="55">
        <f t="shared" ref="V229" si="181">Q229-J229</f>
        <v>-1.0200000000000001E-2</v>
      </c>
    </row>
    <row r="230" spans="1:22" ht="14.4" customHeight="1">
      <c r="A230" s="87"/>
      <c r="B230" s="87"/>
      <c r="C230" s="87" t="s">
        <v>51</v>
      </c>
      <c r="D230" s="87">
        <f>SUM(D225:D229)</f>
        <v>18224440359.961369</v>
      </c>
      <c r="E230" s="87"/>
      <c r="F230" s="87"/>
      <c r="G230" s="87"/>
      <c r="H230" s="87">
        <f>SUM(H225:H229)</f>
        <v>88</v>
      </c>
      <c r="I230" s="87"/>
      <c r="J230" s="87"/>
      <c r="K230" s="87">
        <f>SUM(K225:K229)</f>
        <v>18611595943.656559</v>
      </c>
      <c r="L230" s="37"/>
      <c r="M230" s="87"/>
      <c r="N230" s="87"/>
      <c r="O230" s="87">
        <f>SUM(O225:O229)</f>
        <v>86</v>
      </c>
      <c r="P230" s="87"/>
      <c r="Q230" s="87"/>
      <c r="R230" s="115">
        <f t="shared" si="177"/>
        <v>2.1243757067336971E-2</v>
      </c>
      <c r="S230" s="87"/>
      <c r="T230" s="87"/>
      <c r="U230" s="87"/>
      <c r="V230" s="87"/>
    </row>
    <row r="231" spans="1:22" ht="6" customHeight="1">
      <c r="A231" s="33"/>
      <c r="B231" s="129"/>
      <c r="C231" s="68"/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34"/>
    </row>
    <row r="232" spans="1:22" ht="15.6">
      <c r="A232" s="186" t="s">
        <v>247</v>
      </c>
      <c r="B232" s="186"/>
      <c r="C232" s="186"/>
      <c r="D232" s="186"/>
      <c r="E232" s="186"/>
      <c r="F232" s="186"/>
      <c r="G232" s="186"/>
      <c r="H232" s="186"/>
      <c r="I232" s="186"/>
      <c r="J232" s="186"/>
      <c r="K232" s="186"/>
      <c r="L232" s="186"/>
      <c r="M232" s="186"/>
      <c r="N232" s="186"/>
      <c r="O232" s="186"/>
      <c r="P232" s="186"/>
      <c r="Q232" s="186"/>
      <c r="R232" s="186"/>
      <c r="S232" s="186"/>
      <c r="T232" s="186"/>
      <c r="U232" s="186"/>
      <c r="V232" s="186"/>
    </row>
    <row r="233" spans="1:22">
      <c r="A233" s="138">
        <v>1</v>
      </c>
      <c r="B233" s="139" t="s">
        <v>248</v>
      </c>
      <c r="C233" s="140" t="s">
        <v>249</v>
      </c>
      <c r="D233" s="26">
        <v>114390469985</v>
      </c>
      <c r="E233" s="27">
        <f>(D233/$D$235)</f>
        <v>0.88870319099722261</v>
      </c>
      <c r="F233" s="57">
        <v>108.35</v>
      </c>
      <c r="G233" s="57">
        <v>108.35</v>
      </c>
      <c r="H233" s="29">
        <v>0</v>
      </c>
      <c r="I233" s="47">
        <v>0.23899999999999999</v>
      </c>
      <c r="J233" s="47">
        <v>0.23899999999999999</v>
      </c>
      <c r="K233" s="26">
        <v>114390469985</v>
      </c>
      <c r="L233" s="27">
        <f>(K233/$K$235)</f>
        <v>0.88826144666145013</v>
      </c>
      <c r="M233" s="57">
        <v>108.35</v>
      </c>
      <c r="N233" s="57">
        <v>108.35</v>
      </c>
      <c r="O233" s="29">
        <v>0</v>
      </c>
      <c r="P233" s="47">
        <v>0.23899999999999999</v>
      </c>
      <c r="Q233" s="47">
        <v>0.23899999999999999</v>
      </c>
      <c r="R233" s="54">
        <f>((K233-D233)/D233)</f>
        <v>0</v>
      </c>
      <c r="S233" s="54">
        <f>((N233-G233)/G233)</f>
        <v>0</v>
      </c>
      <c r="T233" s="54" t="e">
        <f>((O233-H233)/H233)</f>
        <v>#DIV/0!</v>
      </c>
      <c r="U233" s="54">
        <f>P233-I233</f>
        <v>0</v>
      </c>
      <c r="V233" s="55">
        <f>Q233-J233</f>
        <v>0</v>
      </c>
    </row>
    <row r="234" spans="1:22" ht="14.4" customHeight="1">
      <c r="A234" s="138">
        <v>2</v>
      </c>
      <c r="B234" s="139" t="s">
        <v>250</v>
      </c>
      <c r="C234" s="140" t="s">
        <v>50</v>
      </c>
      <c r="D234" s="26">
        <v>14325698859.450001</v>
      </c>
      <c r="E234" s="27">
        <f>(D234/$D$235)</f>
        <v>0.11129680900277741</v>
      </c>
      <c r="F234" s="88">
        <v>1000000</v>
      </c>
      <c r="G234" s="88">
        <v>1000000</v>
      </c>
      <c r="H234" s="29">
        <v>26</v>
      </c>
      <c r="I234" s="47">
        <v>0.2198</v>
      </c>
      <c r="J234" s="47">
        <v>0.2198</v>
      </c>
      <c r="K234" s="26">
        <v>14389711137.280001</v>
      </c>
      <c r="L234" s="27">
        <f>(K234/$K$235)</f>
        <v>0.1117385533385499</v>
      </c>
      <c r="M234" s="88">
        <v>1000000</v>
      </c>
      <c r="N234" s="88">
        <v>1000000</v>
      </c>
      <c r="O234" s="29">
        <v>26</v>
      </c>
      <c r="P234" s="47">
        <v>0.22120000000000001</v>
      </c>
      <c r="Q234" s="47">
        <v>0.22120000000000001</v>
      </c>
      <c r="R234" s="54">
        <f>((K234-D234)/D234)</f>
        <v>4.4683528851211319E-3</v>
      </c>
      <c r="S234" s="54">
        <f>((N234-G234)/G234)</f>
        <v>0</v>
      </c>
      <c r="T234" s="54">
        <f>((O234-H234)/H234)</f>
        <v>0</v>
      </c>
      <c r="U234" s="54">
        <f>P234-I234</f>
        <v>1.4000000000000123E-3</v>
      </c>
      <c r="V234" s="55">
        <f>Q234-J234</f>
        <v>1.4000000000000123E-3</v>
      </c>
    </row>
    <row r="235" spans="1:22" ht="15" customHeight="1">
      <c r="A235" s="82"/>
      <c r="B235" s="82"/>
      <c r="C235" s="83" t="s">
        <v>251</v>
      </c>
      <c r="D235" s="87">
        <f>SUM(D233:D234)</f>
        <v>128716168844.45</v>
      </c>
      <c r="E235" s="89"/>
      <c r="F235" s="90"/>
      <c r="G235" s="90"/>
      <c r="H235" s="87">
        <f>SUM(H233:H234)</f>
        <v>26</v>
      </c>
      <c r="I235" s="110"/>
      <c r="J235" s="110"/>
      <c r="K235" s="87">
        <f>SUM(K233:K234)</f>
        <v>128780181122.28</v>
      </c>
      <c r="L235" s="89"/>
      <c r="M235" s="90"/>
      <c r="N235" s="90"/>
      <c r="O235" s="87">
        <f>SUM(O233:O234)</f>
        <v>26</v>
      </c>
      <c r="P235" s="110"/>
      <c r="Q235" s="87"/>
      <c r="R235" s="115">
        <f>((K235-D235)/D235)</f>
        <v>4.9731341761235094E-4</v>
      </c>
      <c r="S235" s="116"/>
      <c r="T235" s="116"/>
      <c r="U235" s="115"/>
      <c r="V235" s="117"/>
    </row>
    <row r="236" spans="1:22" ht="4.5" customHeight="1">
      <c r="A236" s="33"/>
      <c r="B236" s="188"/>
      <c r="C236" s="188"/>
      <c r="D236" s="188"/>
      <c r="E236" s="18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8"/>
      <c r="P236" s="188"/>
      <c r="Q236" s="188"/>
      <c r="R236" s="188"/>
      <c r="S236" s="188"/>
      <c r="T236" s="188"/>
      <c r="U236" s="188"/>
      <c r="V236" s="188"/>
    </row>
    <row r="237" spans="1:22" ht="15.6">
      <c r="A237" s="186" t="s">
        <v>252</v>
      </c>
      <c r="B237" s="186"/>
      <c r="C237" s="186"/>
      <c r="D237" s="186"/>
      <c r="E237" s="186"/>
      <c r="F237" s="186"/>
      <c r="G237" s="186"/>
      <c r="H237" s="186"/>
      <c r="I237" s="186"/>
      <c r="J237" s="186"/>
      <c r="K237" s="186"/>
      <c r="L237" s="186"/>
      <c r="M237" s="186"/>
      <c r="N237" s="186"/>
      <c r="O237" s="186"/>
      <c r="P237" s="186"/>
      <c r="Q237" s="186"/>
      <c r="R237" s="186"/>
      <c r="S237" s="186"/>
      <c r="T237" s="186"/>
      <c r="U237" s="186"/>
      <c r="V237" s="186"/>
    </row>
    <row r="238" spans="1:22">
      <c r="A238" s="138">
        <v>1</v>
      </c>
      <c r="B238" s="139" t="s">
        <v>253</v>
      </c>
      <c r="C238" s="140" t="s">
        <v>78</v>
      </c>
      <c r="D238" s="91">
        <v>1350488802.8499999</v>
      </c>
      <c r="E238" s="92">
        <f t="shared" ref="E238:E249" si="182">(D238/$D$250)</f>
        <v>7.8913382767934206E-2</v>
      </c>
      <c r="F238" s="88">
        <v>329.98172144</v>
      </c>
      <c r="G238" s="88">
        <v>329.98172144</v>
      </c>
      <c r="H238" s="93">
        <v>266</v>
      </c>
      <c r="I238" s="49">
        <v>6.3974000000000003E-2</v>
      </c>
      <c r="J238" s="49">
        <v>0.35333900000000001</v>
      </c>
      <c r="K238" s="91">
        <v>1388574259.03</v>
      </c>
      <c r="L238" s="92">
        <f t="shared" ref="L238:L249" si="183">(K238/$K$250)</f>
        <v>7.9821751221359566E-2</v>
      </c>
      <c r="M238" s="88">
        <v>339.29</v>
      </c>
      <c r="N238" s="88">
        <v>333.29</v>
      </c>
      <c r="O238" s="93">
        <v>266</v>
      </c>
      <c r="P238" s="49">
        <v>2.8299999999999999E-2</v>
      </c>
      <c r="Q238" s="49">
        <v>0.39150000000000001</v>
      </c>
      <c r="R238" s="54">
        <f>((K238-D238)/D238)</f>
        <v>2.8201238025540486E-2</v>
      </c>
      <c r="S238" s="54">
        <f>((N238-G238)/G238)</f>
        <v>1.0025641861504011E-2</v>
      </c>
      <c r="T238" s="54">
        <f>((O238-H238)/H238)</f>
        <v>0</v>
      </c>
      <c r="U238" s="54">
        <f>P238-I238</f>
        <v>-3.5674000000000004E-2</v>
      </c>
      <c r="V238" s="55">
        <f>Q238-J238</f>
        <v>3.8161E-2</v>
      </c>
    </row>
    <row r="239" spans="1:22">
      <c r="A239" s="138">
        <v>2</v>
      </c>
      <c r="B239" s="139" t="s">
        <v>254</v>
      </c>
      <c r="C239" s="140" t="s">
        <v>226</v>
      </c>
      <c r="D239" s="91">
        <v>1781345546.3199999</v>
      </c>
      <c r="E239" s="92">
        <f t="shared" si="182"/>
        <v>0.10408972117506589</v>
      </c>
      <c r="F239" s="88">
        <v>50.67</v>
      </c>
      <c r="G239" s="88">
        <v>56</v>
      </c>
      <c r="H239" s="93">
        <v>230</v>
      </c>
      <c r="I239" s="49">
        <v>7.8100000000000003E-2</v>
      </c>
      <c r="J239" s="49">
        <v>0.65269999999999995</v>
      </c>
      <c r="K239" s="91">
        <v>1855435114.8599999</v>
      </c>
      <c r="L239" s="92">
        <f t="shared" si="183"/>
        <v>0.10665909956388574</v>
      </c>
      <c r="M239" s="88">
        <v>52.77</v>
      </c>
      <c r="N239" s="88">
        <v>56.33</v>
      </c>
      <c r="O239" s="93">
        <v>238</v>
      </c>
      <c r="P239" s="49">
        <v>4.1599999999999998E-2</v>
      </c>
      <c r="Q239" s="49">
        <v>0.72150000000000003</v>
      </c>
      <c r="R239" s="54">
        <f t="shared" ref="R239:R250" si="184">((K239-D239)/D239)</f>
        <v>4.1591912749919968E-2</v>
      </c>
      <c r="S239" s="54">
        <f t="shared" ref="S239:S250" si="185">((N239-G239)/G239)</f>
        <v>5.892857142857112E-3</v>
      </c>
      <c r="T239" s="54">
        <f t="shared" ref="T239:T250" si="186">((O239-H239)/H239)</f>
        <v>3.4782608695652174E-2</v>
      </c>
      <c r="U239" s="54">
        <f t="shared" ref="U239:U250" si="187">P239-I239</f>
        <v>-3.6500000000000005E-2</v>
      </c>
      <c r="V239" s="55">
        <f t="shared" ref="V239:V250" si="188">Q239-J239</f>
        <v>6.8800000000000083E-2</v>
      </c>
    </row>
    <row r="240" spans="1:22">
      <c r="A240" s="138">
        <v>3</v>
      </c>
      <c r="B240" s="139" t="s">
        <v>255</v>
      </c>
      <c r="C240" s="140" t="s">
        <v>41</v>
      </c>
      <c r="D240" s="91">
        <v>551726058.57000005</v>
      </c>
      <c r="E240" s="92">
        <f t="shared" si="182"/>
        <v>3.2239119310798148E-2</v>
      </c>
      <c r="F240" s="88">
        <v>41.164690999999998</v>
      </c>
      <c r="G240" s="88">
        <v>41.627729000000002</v>
      </c>
      <c r="H240" s="93">
        <v>195</v>
      </c>
      <c r="I240" s="49">
        <v>6.54E-2</v>
      </c>
      <c r="J240" s="49">
        <v>0.4395</v>
      </c>
      <c r="K240" s="91">
        <v>552085432.42999995</v>
      </c>
      <c r="L240" s="92">
        <f t="shared" si="183"/>
        <v>3.1736456119493772E-2</v>
      </c>
      <c r="M240" s="88">
        <v>41.19</v>
      </c>
      <c r="N240" s="88">
        <v>41.67</v>
      </c>
      <c r="O240" s="93">
        <v>195</v>
      </c>
      <c r="P240" s="49">
        <v>6.9999999999999999E-4</v>
      </c>
      <c r="Q240" s="49">
        <v>0.44040000000000001</v>
      </c>
      <c r="R240" s="54">
        <f t="shared" si="184"/>
        <v>6.5136285375271919E-4</v>
      </c>
      <c r="S240" s="54">
        <f t="shared" si="185"/>
        <v>1.0154529448387515E-3</v>
      </c>
      <c r="T240" s="54">
        <f t="shared" si="186"/>
        <v>0</v>
      </c>
      <c r="U240" s="54">
        <f t="shared" si="187"/>
        <v>-6.4699999999999994E-2</v>
      </c>
      <c r="V240" s="55">
        <f t="shared" si="188"/>
        <v>9.000000000000119E-4</v>
      </c>
    </row>
    <row r="241" spans="1:26">
      <c r="A241" s="138">
        <v>4</v>
      </c>
      <c r="B241" s="139" t="s">
        <v>256</v>
      </c>
      <c r="C241" s="140" t="s">
        <v>41</v>
      </c>
      <c r="D241" s="91">
        <v>1216855530.5100002</v>
      </c>
      <c r="E241" s="92">
        <f t="shared" si="182"/>
        <v>7.1104762993787665E-2</v>
      </c>
      <c r="F241" s="88">
        <v>91.311006000000006</v>
      </c>
      <c r="G241" s="88">
        <v>91.881473999999997</v>
      </c>
      <c r="H241" s="93">
        <v>230</v>
      </c>
      <c r="I241" s="49">
        <v>4.8500000000000001E-2</v>
      </c>
      <c r="J241" s="49">
        <v>0.3765</v>
      </c>
      <c r="K241" s="91">
        <v>1199999014.8199999</v>
      </c>
      <c r="L241" s="92">
        <f t="shared" si="183"/>
        <v>6.8981563070131174E-2</v>
      </c>
      <c r="M241" s="88">
        <v>90.05</v>
      </c>
      <c r="N241" s="88">
        <v>90.64</v>
      </c>
      <c r="O241" s="93">
        <v>230</v>
      </c>
      <c r="P241" s="49">
        <v>-1.3899999999999999E-2</v>
      </c>
      <c r="Q241" s="49">
        <v>0.3574</v>
      </c>
      <c r="R241" s="54">
        <f t="shared" si="184"/>
        <v>-1.3852520095738487E-2</v>
      </c>
      <c r="S241" s="54">
        <f t="shared" si="185"/>
        <v>-1.3511690071493592E-2</v>
      </c>
      <c r="T241" s="54">
        <f t="shared" si="186"/>
        <v>0</v>
      </c>
      <c r="U241" s="54">
        <f t="shared" si="187"/>
        <v>-6.2399999999999997E-2</v>
      </c>
      <c r="V241" s="55">
        <f t="shared" si="188"/>
        <v>-1.9100000000000006E-2</v>
      </c>
    </row>
    <row r="242" spans="1:26">
      <c r="A242" s="138">
        <v>5</v>
      </c>
      <c r="B242" s="139" t="s">
        <v>257</v>
      </c>
      <c r="C242" s="140" t="s">
        <v>258</v>
      </c>
      <c r="D242" s="91">
        <v>1600840112.6300001</v>
      </c>
      <c r="E242" s="92">
        <f t="shared" si="182"/>
        <v>9.35422110065917E-2</v>
      </c>
      <c r="F242" s="88">
        <v>46520</v>
      </c>
      <c r="G242" s="88">
        <v>48650</v>
      </c>
      <c r="H242" s="93">
        <v>271</v>
      </c>
      <c r="I242" s="49">
        <v>1E-3</v>
      </c>
      <c r="J242" s="49">
        <v>0.27</v>
      </c>
      <c r="K242" s="91">
        <v>1623371317.9400001</v>
      </c>
      <c r="L242" s="92">
        <f t="shared" si="183"/>
        <v>9.3318985742265381E-2</v>
      </c>
      <c r="M242" s="88">
        <v>46600</v>
      </c>
      <c r="N242" s="88">
        <v>0</v>
      </c>
      <c r="O242" s="93">
        <v>271</v>
      </c>
      <c r="P242" s="49">
        <v>1.4E-2</v>
      </c>
      <c r="Q242" s="49">
        <v>0.28999999999999998</v>
      </c>
      <c r="R242" s="54">
        <f t="shared" si="184"/>
        <v>1.4074613156078223E-2</v>
      </c>
      <c r="S242" s="54">
        <f t="shared" si="185"/>
        <v>-1</v>
      </c>
      <c r="T242" s="54">
        <f t="shared" si="186"/>
        <v>0</v>
      </c>
      <c r="U242" s="54">
        <f t="shared" si="187"/>
        <v>1.3000000000000001E-2</v>
      </c>
      <c r="V242" s="55">
        <f t="shared" si="188"/>
        <v>1.9999999999999962E-2</v>
      </c>
    </row>
    <row r="243" spans="1:26">
      <c r="A243" s="138">
        <v>6</v>
      </c>
      <c r="B243" s="139" t="s">
        <v>259</v>
      </c>
      <c r="C243" s="140" t="s">
        <v>260</v>
      </c>
      <c r="D243" s="91">
        <v>972428280.85000002</v>
      </c>
      <c r="E243" s="92">
        <f t="shared" si="182"/>
        <v>5.682209654692235E-2</v>
      </c>
      <c r="F243" s="88">
        <v>423.5</v>
      </c>
      <c r="G243" s="88">
        <v>423.5</v>
      </c>
      <c r="H243" s="93">
        <v>149</v>
      </c>
      <c r="I243" s="49">
        <v>4.5600000000000002E-2</v>
      </c>
      <c r="J243" s="49">
        <v>0.47699999999999998</v>
      </c>
      <c r="K243" s="91">
        <v>971922604.15999997</v>
      </c>
      <c r="L243" s="92">
        <f t="shared" si="183"/>
        <v>5.5870662884007369E-2</v>
      </c>
      <c r="M243" s="88">
        <v>539</v>
      </c>
      <c r="N243" s="88">
        <v>539</v>
      </c>
      <c r="O243" s="93">
        <v>149</v>
      </c>
      <c r="P243" s="49">
        <v>-5.0000000000000001E-4</v>
      </c>
      <c r="Q243" s="49">
        <v>0.47620000000000001</v>
      </c>
      <c r="R243" s="54">
        <f t="shared" si="184"/>
        <v>-5.2001438045183644E-4</v>
      </c>
      <c r="S243" s="54">
        <f t="shared" si="185"/>
        <v>0.27272727272727271</v>
      </c>
      <c r="T243" s="54">
        <f t="shared" si="186"/>
        <v>0</v>
      </c>
      <c r="U243" s="54">
        <f t="shared" si="187"/>
        <v>-4.6100000000000002E-2</v>
      </c>
      <c r="V243" s="55">
        <f t="shared" si="188"/>
        <v>-7.999999999999674E-4</v>
      </c>
    </row>
    <row r="244" spans="1:26">
      <c r="A244" s="138">
        <v>7</v>
      </c>
      <c r="B244" s="139" t="s">
        <v>261</v>
      </c>
      <c r="C244" s="140" t="s">
        <v>260</v>
      </c>
      <c r="D244" s="91">
        <v>987877659.36000001</v>
      </c>
      <c r="E244" s="92">
        <f t="shared" si="182"/>
        <v>5.7724853176457869E-2</v>
      </c>
      <c r="F244" s="88">
        <v>495</v>
      </c>
      <c r="G244" s="88">
        <v>495</v>
      </c>
      <c r="H244" s="93">
        <v>733</v>
      </c>
      <c r="I244" s="49">
        <v>5.1299999999999998E-2</v>
      </c>
      <c r="J244" s="49">
        <v>0.35420000000000001</v>
      </c>
      <c r="K244" s="91">
        <v>1014303878.22</v>
      </c>
      <c r="L244" s="92">
        <f t="shared" si="183"/>
        <v>5.8306936992116476E-2</v>
      </c>
      <c r="M244" s="88">
        <v>499.8</v>
      </c>
      <c r="N244" s="88">
        <v>499.8</v>
      </c>
      <c r="O244" s="93">
        <v>733</v>
      </c>
      <c r="P244" s="49">
        <v>2.6800000000000001E-2</v>
      </c>
      <c r="Q244" s="49">
        <v>0.39019999999999999</v>
      </c>
      <c r="R244" s="54">
        <f t="shared" si="184"/>
        <v>2.6750497503021105E-2</v>
      </c>
      <c r="S244" s="54">
        <f t="shared" si="185"/>
        <v>9.6969696969697195E-3</v>
      </c>
      <c r="T244" s="54">
        <f t="shared" si="186"/>
        <v>0</v>
      </c>
      <c r="U244" s="54">
        <f t="shared" si="187"/>
        <v>-2.4499999999999997E-2</v>
      </c>
      <c r="V244" s="55">
        <f t="shared" si="188"/>
        <v>3.5999999999999976E-2</v>
      </c>
    </row>
    <row r="245" spans="1:26">
      <c r="A245" s="138">
        <v>8</v>
      </c>
      <c r="B245" s="139" t="s">
        <v>262</v>
      </c>
      <c r="C245" s="140" t="s">
        <v>263</v>
      </c>
      <c r="D245" s="91">
        <v>105737232.86</v>
      </c>
      <c r="E245" s="92">
        <f t="shared" si="182"/>
        <v>6.1785649106415848E-3</v>
      </c>
      <c r="F245" s="88">
        <v>29.72</v>
      </c>
      <c r="G245" s="88">
        <v>29.82</v>
      </c>
      <c r="H245" s="93">
        <v>121</v>
      </c>
      <c r="I245" s="49">
        <v>0.1628</v>
      </c>
      <c r="J245" s="49">
        <v>1.0348999999999999</v>
      </c>
      <c r="K245" s="91">
        <v>114403597.8</v>
      </c>
      <c r="L245" s="92">
        <f t="shared" si="183"/>
        <v>6.576454563401773E-3</v>
      </c>
      <c r="M245" s="88">
        <v>32.18</v>
      </c>
      <c r="N245" s="88">
        <v>32.28</v>
      </c>
      <c r="O245" s="93">
        <v>127</v>
      </c>
      <c r="P245" s="49">
        <v>6.6400000000000001E-2</v>
      </c>
      <c r="Q245" s="49">
        <v>0.86629999999999996</v>
      </c>
      <c r="R245" s="54">
        <f t="shared" si="184"/>
        <v>8.1961336660612116E-2</v>
      </c>
      <c r="S245" s="54">
        <f t="shared" si="185"/>
        <v>8.2494969818913508E-2</v>
      </c>
      <c r="T245" s="54">
        <f t="shared" si="186"/>
        <v>4.9586776859504134E-2</v>
      </c>
      <c r="U245" s="54">
        <f t="shared" si="187"/>
        <v>-9.64E-2</v>
      </c>
      <c r="V245" s="55">
        <f t="shared" si="188"/>
        <v>-0.16859999999999997</v>
      </c>
    </row>
    <row r="246" spans="1:26">
      <c r="A246" s="138">
        <v>9</v>
      </c>
      <c r="B246" s="139" t="s">
        <v>264</v>
      </c>
      <c r="C246" s="140" t="s">
        <v>263</v>
      </c>
      <c r="D246" s="94">
        <v>1009854787.8</v>
      </c>
      <c r="E246" s="92">
        <f t="shared" si="182"/>
        <v>5.900904712539385E-2</v>
      </c>
      <c r="F246" s="88">
        <v>16.14</v>
      </c>
      <c r="G246" s="88">
        <v>16.239999999999998</v>
      </c>
      <c r="H246" s="93">
        <v>181</v>
      </c>
      <c r="I246" s="49">
        <v>-3.2300000000000002E-2</v>
      </c>
      <c r="J246" s="49">
        <v>0.37609999999999999</v>
      </c>
      <c r="K246" s="94">
        <v>1002844072.01</v>
      </c>
      <c r="L246" s="92">
        <f t="shared" si="183"/>
        <v>5.7648173663910597E-2</v>
      </c>
      <c r="M246" s="88">
        <v>16.02</v>
      </c>
      <c r="N246" s="88">
        <v>16.12</v>
      </c>
      <c r="O246" s="93">
        <v>187</v>
      </c>
      <c r="P246" s="49">
        <v>3.2300000000000002E-2</v>
      </c>
      <c r="Q246" s="49">
        <v>0.46789999999999998</v>
      </c>
      <c r="R246" s="54">
        <f t="shared" si="184"/>
        <v>-6.9423008879058983E-3</v>
      </c>
      <c r="S246" s="54">
        <f t="shared" si="185"/>
        <v>-7.3891625615761982E-3</v>
      </c>
      <c r="T246" s="54">
        <f t="shared" si="186"/>
        <v>3.3149171270718231E-2</v>
      </c>
      <c r="U246" s="54">
        <f t="shared" si="187"/>
        <v>6.4600000000000005E-2</v>
      </c>
      <c r="V246" s="55">
        <f t="shared" si="188"/>
        <v>9.1799999999999993E-2</v>
      </c>
    </row>
    <row r="247" spans="1:26" ht="15" customHeight="1">
      <c r="A247" s="138">
        <v>10</v>
      </c>
      <c r="B247" s="139" t="s">
        <v>265</v>
      </c>
      <c r="C247" s="140" t="s">
        <v>263</v>
      </c>
      <c r="D247" s="91">
        <v>118755015.54000001</v>
      </c>
      <c r="E247" s="92">
        <f t="shared" si="182"/>
        <v>6.9392356139074789E-3</v>
      </c>
      <c r="F247" s="88">
        <v>142.75</v>
      </c>
      <c r="G247" s="88">
        <v>144.75</v>
      </c>
      <c r="H247" s="93">
        <v>317</v>
      </c>
      <c r="I247" s="49">
        <v>0</v>
      </c>
      <c r="J247" s="49">
        <v>0.56100000000000005</v>
      </c>
      <c r="K247" s="91">
        <v>118723264.06</v>
      </c>
      <c r="L247" s="92">
        <f t="shared" si="183"/>
        <v>6.8247692093940486E-3</v>
      </c>
      <c r="M247" s="88">
        <v>142.71</v>
      </c>
      <c r="N247" s="88">
        <v>144.71</v>
      </c>
      <c r="O247" s="93">
        <v>320</v>
      </c>
      <c r="P247" s="49">
        <v>-0.34379999999999999</v>
      </c>
      <c r="Q247" s="49">
        <v>2.4400000000000002E-2</v>
      </c>
      <c r="R247" s="54">
        <f t="shared" si="184"/>
        <v>-2.6736959155471954E-4</v>
      </c>
      <c r="S247" s="54">
        <f t="shared" si="185"/>
        <v>-2.7633851468042859E-4</v>
      </c>
      <c r="T247" s="54">
        <f t="shared" si="186"/>
        <v>9.4637223974763408E-3</v>
      </c>
      <c r="U247" s="54">
        <f t="shared" si="187"/>
        <v>-0.34379999999999999</v>
      </c>
      <c r="V247" s="55">
        <f t="shared" si="188"/>
        <v>-0.53660000000000008</v>
      </c>
    </row>
    <row r="248" spans="1:26">
      <c r="A248" s="138">
        <v>11</v>
      </c>
      <c r="B248" s="139" t="s">
        <v>266</v>
      </c>
      <c r="C248" s="140" t="s">
        <v>263</v>
      </c>
      <c r="D248" s="91">
        <v>7328867976.5</v>
      </c>
      <c r="E248" s="92">
        <f t="shared" si="182"/>
        <v>0.42824921070407229</v>
      </c>
      <c r="F248" s="88">
        <v>52.1</v>
      </c>
      <c r="G248" s="88">
        <v>52.3</v>
      </c>
      <c r="H248" s="93">
        <v>349</v>
      </c>
      <c r="I248" s="49">
        <v>-1.0200000000000001E-2</v>
      </c>
      <c r="J248" s="49">
        <v>0.28989999999999999</v>
      </c>
      <c r="K248" s="91">
        <v>7457642920.0100002</v>
      </c>
      <c r="L248" s="92">
        <f t="shared" si="183"/>
        <v>0.42870023982340777</v>
      </c>
      <c r="M248" s="88">
        <v>53.51</v>
      </c>
      <c r="N248" s="88">
        <v>53.71</v>
      </c>
      <c r="O248" s="93">
        <v>354</v>
      </c>
      <c r="P248" s="49">
        <v>8.9800000000000005E-2</v>
      </c>
      <c r="Q248" s="49">
        <v>0.42020000000000002</v>
      </c>
      <c r="R248" s="54">
        <f t="shared" si="184"/>
        <v>1.7570918717995307E-2</v>
      </c>
      <c r="S248" s="54">
        <f t="shared" si="185"/>
        <v>2.6959847036328945E-2</v>
      </c>
      <c r="T248" s="54">
        <f t="shared" si="186"/>
        <v>1.4326647564469915E-2</v>
      </c>
      <c r="U248" s="54">
        <f t="shared" si="187"/>
        <v>0.1</v>
      </c>
      <c r="V248" s="55">
        <f t="shared" si="188"/>
        <v>0.13030000000000003</v>
      </c>
    </row>
    <row r="249" spans="1:26">
      <c r="A249" s="138">
        <v>12</v>
      </c>
      <c r="B249" s="139" t="s">
        <v>267</v>
      </c>
      <c r="C249" s="140" t="s">
        <v>263</v>
      </c>
      <c r="D249" s="94">
        <v>88781628.229000002</v>
      </c>
      <c r="E249" s="92">
        <f t="shared" si="182"/>
        <v>5.1877946684269396E-3</v>
      </c>
      <c r="F249" s="88">
        <v>50.46</v>
      </c>
      <c r="G249" s="88">
        <v>50.66</v>
      </c>
      <c r="H249" s="93">
        <v>114</v>
      </c>
      <c r="I249" s="49">
        <v>8.9300000000000004E-2</v>
      </c>
      <c r="J249" s="49">
        <v>0.19470000000000001</v>
      </c>
      <c r="K249" s="94">
        <v>96632821.969999999</v>
      </c>
      <c r="L249" s="92">
        <f t="shared" si="183"/>
        <v>5.5549071466264466E-3</v>
      </c>
      <c r="M249" s="88">
        <v>54.87</v>
      </c>
      <c r="N249" s="88">
        <v>55.07</v>
      </c>
      <c r="O249" s="93">
        <v>115</v>
      </c>
      <c r="P249" s="49">
        <v>0.18740000000000001</v>
      </c>
      <c r="Q249" s="49">
        <v>0.30230000000000001</v>
      </c>
      <c r="R249" s="54">
        <f t="shared" si="184"/>
        <v>8.8432639698259666E-2</v>
      </c>
      <c r="S249" s="54">
        <f t="shared" si="185"/>
        <v>8.7050927753651877E-2</v>
      </c>
      <c r="T249" s="54">
        <f t="shared" si="186"/>
        <v>8.771929824561403E-3</v>
      </c>
      <c r="U249" s="54">
        <f t="shared" si="187"/>
        <v>9.8100000000000007E-2</v>
      </c>
      <c r="V249" s="55">
        <f t="shared" si="188"/>
        <v>0.1076</v>
      </c>
    </row>
    <row r="250" spans="1:26">
      <c r="A250" s="125"/>
      <c r="B250" s="125"/>
      <c r="C250" s="126" t="s">
        <v>268</v>
      </c>
      <c r="D250" s="87">
        <f>SUM(D238:D249)</f>
        <v>17113558632.019001</v>
      </c>
      <c r="E250" s="89"/>
      <c r="F250" s="89"/>
      <c r="G250" s="90"/>
      <c r="H250" s="87">
        <f>SUM(H238:H249)</f>
        <v>3156</v>
      </c>
      <c r="I250" s="110"/>
      <c r="J250" s="110"/>
      <c r="K250" s="87">
        <f>SUM(K238:K249)</f>
        <v>17395938297.309998</v>
      </c>
      <c r="L250" s="89"/>
      <c r="M250" s="89"/>
      <c r="N250" s="90"/>
      <c r="O250" s="87">
        <f>SUM(O238:O249)</f>
        <v>3185</v>
      </c>
      <c r="P250" s="110"/>
      <c r="Q250" s="110"/>
      <c r="R250" s="54">
        <f t="shared" si="184"/>
        <v>1.6500347552651725E-2</v>
      </c>
      <c r="S250" s="54" t="e">
        <f t="shared" si="185"/>
        <v>#DIV/0!</v>
      </c>
      <c r="T250" s="54">
        <f t="shared" si="186"/>
        <v>9.1888466413181241E-3</v>
      </c>
      <c r="U250" s="54">
        <f t="shared" si="187"/>
        <v>0</v>
      </c>
      <c r="V250" s="55">
        <f t="shared" si="188"/>
        <v>0</v>
      </c>
      <c r="Z250" s="62"/>
    </row>
    <row r="251" spans="1:26">
      <c r="A251" s="95"/>
      <c r="B251" s="95"/>
      <c r="C251" s="96" t="s">
        <v>269</v>
      </c>
      <c r="D251" s="97">
        <f>SUM(D222,D230,D235,D250)</f>
        <v>6444362833510.1768</v>
      </c>
      <c r="E251" s="98"/>
      <c r="F251" s="98"/>
      <c r="G251" s="99"/>
      <c r="H251" s="97">
        <f>SUM(H222,H230,H235,H250)</f>
        <v>944388</v>
      </c>
      <c r="I251" s="111"/>
      <c r="J251" s="111"/>
      <c r="K251" s="97">
        <f>SUM(K222,K230,K235,K250)</f>
        <v>6550266962372.8164</v>
      </c>
      <c r="L251" s="98"/>
      <c r="M251" s="98"/>
      <c r="N251" s="97"/>
      <c r="O251" s="97">
        <f>SUM(O222,O230,O235,O250)</f>
        <v>953562</v>
      </c>
      <c r="P251" s="112"/>
      <c r="Q251" s="97"/>
      <c r="R251" s="118"/>
      <c r="S251" s="119"/>
      <c r="T251" s="119"/>
      <c r="U251" s="120"/>
      <c r="V251" s="120"/>
      <c r="Z251" s="62"/>
    </row>
    <row r="252" spans="1:26">
      <c r="A252" s="100" t="s">
        <v>270</v>
      </c>
      <c r="B252" s="123" t="s">
        <v>317</v>
      </c>
      <c r="C252" s="101"/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</row>
    <row r="253" spans="1:26">
      <c r="B253" s="122"/>
    </row>
    <row r="254" spans="1:26">
      <c r="B254" s="122"/>
      <c r="C254" s="102"/>
      <c r="D254" s="103"/>
      <c r="K254" s="103"/>
    </row>
    <row r="255" spans="1:26" ht="15">
      <c r="B255" s="104"/>
      <c r="C255" s="105"/>
      <c r="D255" s="106"/>
      <c r="F255" s="107"/>
      <c r="G255" s="107"/>
      <c r="I255" s="113"/>
      <c r="J255" s="114"/>
    </row>
    <row r="256" spans="1:26">
      <c r="C256" s="122"/>
    </row>
    <row r="258" spans="2:2">
      <c r="B258" s="102"/>
    </row>
  </sheetData>
  <sheetProtection algorithmName="SHA-512" hashValue="Q7Ou/+PtWUM3pl2manWbEgMlzJ2WrMLYOrlfLh57RXomfgoy765OHigKxln/I0cDHQkEhVb4pUSvzzZxmoD2ZA==" saltValue="DAldg+AYZ69BSyxGL7EpEw==" spinCount="100000" sheet="1" objects="1" scenarios="1"/>
  <sortState ref="A150:C177">
    <sortCondition descending="1" ref="A149"/>
  </sortState>
  <mergeCells count="34">
    <mergeCell ref="A224:V224"/>
    <mergeCell ref="A232:V232"/>
    <mergeCell ref="B236:V236"/>
    <mergeCell ref="A237:V237"/>
    <mergeCell ref="B201:V201"/>
    <mergeCell ref="A202:V202"/>
    <mergeCell ref="B216:V216"/>
    <mergeCell ref="A217:V217"/>
    <mergeCell ref="B223:U223"/>
    <mergeCell ref="B191:V191"/>
    <mergeCell ref="A192:V192"/>
    <mergeCell ref="B196:V196"/>
    <mergeCell ref="A197:V197"/>
    <mergeCell ref="A198:V198"/>
    <mergeCell ref="A132:V132"/>
    <mergeCell ref="B151:V151"/>
    <mergeCell ref="A152:V152"/>
    <mergeCell ref="B160:V160"/>
    <mergeCell ref="A161:V161"/>
    <mergeCell ref="A71:V71"/>
    <mergeCell ref="B111:V111"/>
    <mergeCell ref="A112:V112"/>
    <mergeCell ref="A113:V113"/>
    <mergeCell ref="B131:V131"/>
    <mergeCell ref="B4:V4"/>
    <mergeCell ref="A5:V5"/>
    <mergeCell ref="B26:V26"/>
    <mergeCell ref="A27:V27"/>
    <mergeCell ref="B70:V70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95 E95 E76 L48 E48 L34 E34 L136 E136" formula="1"/>
    <ignoredError sqref="S159 S25 S69 S110 S150 S190 S195 S221 S250 T233:T234 R49:T49 R136 R125:T125 R45:T4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zoomScaleNormal="100" workbookViewId="0">
      <selection activeCell="F7" sqref="F7"/>
    </sheetView>
  </sheetViews>
  <sheetFormatPr defaultColWidth="9" defaultRowHeight="14.4"/>
  <cols>
    <col min="1" max="1" width="34" customWidth="1"/>
    <col min="2" max="2" width="17.6640625" customWidth="1"/>
    <col min="3" max="3" width="16.109375" customWidth="1"/>
  </cols>
  <sheetData>
    <row r="1" spans="1:7">
      <c r="A1" s="152"/>
      <c r="B1" s="152"/>
      <c r="C1" s="152"/>
      <c r="D1" s="152"/>
      <c r="E1" s="15"/>
      <c r="F1" s="15"/>
      <c r="G1" s="15"/>
    </row>
    <row r="2" spans="1:7" ht="27.6">
      <c r="A2" s="154" t="s">
        <v>271</v>
      </c>
      <c r="B2" s="155" t="s">
        <v>316</v>
      </c>
      <c r="C2" s="155" t="s">
        <v>323</v>
      </c>
      <c r="D2" s="156"/>
      <c r="E2" s="15"/>
      <c r="F2" s="15"/>
      <c r="G2" s="15"/>
    </row>
    <row r="3" spans="1:7">
      <c r="A3" s="157" t="s">
        <v>15</v>
      </c>
      <c r="B3" s="158">
        <f t="shared" ref="B3:C10" si="0">B13</f>
        <v>67.2296571655165</v>
      </c>
      <c r="C3" s="158">
        <f t="shared" si="0"/>
        <v>70.540930810876489</v>
      </c>
      <c r="D3" s="156"/>
      <c r="E3" s="15"/>
      <c r="F3" s="15"/>
      <c r="G3" s="15"/>
    </row>
    <row r="4" spans="1:7" ht="15.6" customHeight="1">
      <c r="A4" s="154" t="s">
        <v>52</v>
      </c>
      <c r="B4" s="159">
        <f t="shared" si="0"/>
        <v>3516.1238212268936</v>
      </c>
      <c r="C4" s="159">
        <f t="shared" si="0"/>
        <v>3593.4696338684739</v>
      </c>
      <c r="D4" s="156"/>
      <c r="E4" s="15"/>
      <c r="F4" s="15"/>
      <c r="G4" s="15"/>
    </row>
    <row r="5" spans="1:7" ht="16.2" customHeight="1">
      <c r="A5" s="154" t="s">
        <v>272</v>
      </c>
      <c r="B5" s="158">
        <f t="shared" si="0"/>
        <v>220.85195854565424</v>
      </c>
      <c r="C5" s="158">
        <f t="shared" si="0"/>
        <v>229.15230316327001</v>
      </c>
      <c r="D5" s="156"/>
      <c r="E5" s="15"/>
      <c r="F5" s="15"/>
      <c r="G5" s="15"/>
    </row>
    <row r="6" spans="1:7">
      <c r="A6" s="154" t="s">
        <v>152</v>
      </c>
      <c r="B6" s="159">
        <f t="shared" si="0"/>
        <v>1966.523400379815</v>
      </c>
      <c r="C6" s="159">
        <f t="shared" si="0"/>
        <v>1980.0838462724412</v>
      </c>
      <c r="D6" s="156"/>
      <c r="E6" s="15"/>
      <c r="F6" s="15"/>
      <c r="G6" s="15"/>
    </row>
    <row r="7" spans="1:7">
      <c r="A7" s="154" t="s">
        <v>273</v>
      </c>
      <c r="B7" s="158">
        <f t="shared" si="0"/>
        <v>360.5214025380767</v>
      </c>
      <c r="C7" s="158">
        <f t="shared" si="0"/>
        <v>361.41580573766993</v>
      </c>
      <c r="D7" s="156"/>
      <c r="E7" s="15"/>
      <c r="F7" s="15"/>
      <c r="G7" s="15"/>
    </row>
    <row r="8" spans="1:7">
      <c r="A8" s="154" t="s">
        <v>189</v>
      </c>
      <c r="B8" s="160">
        <f t="shared" si="0"/>
        <v>75.728715664741031</v>
      </c>
      <c r="C8" s="160">
        <f t="shared" si="0"/>
        <v>76.852575641817936</v>
      </c>
      <c r="D8" s="156"/>
      <c r="E8" s="15"/>
      <c r="F8" s="15"/>
      <c r="G8" s="15"/>
    </row>
    <row r="9" spans="1:7">
      <c r="A9" s="154" t="s">
        <v>219</v>
      </c>
      <c r="B9" s="158">
        <f t="shared" si="0"/>
        <v>8.5301612556799995</v>
      </c>
      <c r="C9" s="158">
        <f t="shared" si="0"/>
        <v>8.6049366868200003</v>
      </c>
      <c r="D9" s="156"/>
      <c r="E9" s="15"/>
      <c r="F9" s="15"/>
      <c r="G9" s="15"/>
    </row>
    <row r="10" spans="1:7">
      <c r="A10" s="154" t="s">
        <v>274</v>
      </c>
      <c r="B10" s="158">
        <f t="shared" si="0"/>
        <v>64.799548897370357</v>
      </c>
      <c r="C10" s="158">
        <f t="shared" si="0"/>
        <v>65.35921482820001</v>
      </c>
      <c r="D10" s="156"/>
      <c r="E10" s="15"/>
      <c r="F10" s="15"/>
      <c r="G10" s="15"/>
    </row>
    <row r="11" spans="1:7">
      <c r="A11" s="154"/>
      <c r="B11" s="158"/>
      <c r="C11" s="158"/>
      <c r="D11" s="156"/>
      <c r="E11" s="15"/>
      <c r="F11" s="15"/>
      <c r="G11" s="15"/>
    </row>
    <row r="12" spans="1:7">
      <c r="A12" s="152"/>
      <c r="B12" s="152"/>
      <c r="C12" s="152"/>
      <c r="D12" s="152"/>
      <c r="E12" s="15"/>
      <c r="F12" s="15"/>
      <c r="G12" s="15"/>
    </row>
    <row r="13" spans="1:7">
      <c r="A13" s="161" t="s">
        <v>15</v>
      </c>
      <c r="B13" s="162">
        <f>'Weekly Valuation'!D25/1000000000</f>
        <v>67.2296571655165</v>
      </c>
      <c r="C13" s="163">
        <f>'Weekly Valuation'!K25/1000000000</f>
        <v>70.540930810876489</v>
      </c>
      <c r="D13" s="152"/>
      <c r="E13" s="15"/>
      <c r="F13" s="15"/>
      <c r="G13" s="15"/>
    </row>
    <row r="14" spans="1:7">
      <c r="A14" s="164" t="s">
        <v>52</v>
      </c>
      <c r="B14" s="162">
        <f>'Weekly Valuation'!D69/1000000000</f>
        <v>3516.1238212268936</v>
      </c>
      <c r="C14" s="165">
        <f>'Weekly Valuation'!K69/1000000000</f>
        <v>3593.4696338684739</v>
      </c>
      <c r="D14" s="152"/>
      <c r="E14" s="15"/>
      <c r="F14" s="15"/>
      <c r="G14" s="15"/>
    </row>
    <row r="15" spans="1:7">
      <c r="A15" s="164" t="s">
        <v>272</v>
      </c>
      <c r="B15" s="162">
        <f>'Weekly Valuation'!D110/1000000000</f>
        <v>220.85195854565424</v>
      </c>
      <c r="C15" s="163">
        <f>'Weekly Valuation'!K110/1000000000</f>
        <v>229.15230316327001</v>
      </c>
      <c r="D15" s="152"/>
      <c r="E15" s="15"/>
      <c r="F15" s="15"/>
      <c r="G15" s="15"/>
    </row>
    <row r="16" spans="1:7">
      <c r="A16" s="164" t="s">
        <v>152</v>
      </c>
      <c r="B16" s="162">
        <f>'Weekly Valuation'!D150/1000000000</f>
        <v>1966.523400379815</v>
      </c>
      <c r="C16" s="165">
        <f>'Weekly Valuation'!K150/1000000000</f>
        <v>1980.0838462724412</v>
      </c>
      <c r="D16" s="152"/>
      <c r="E16" s="15"/>
      <c r="F16" s="15"/>
      <c r="G16" s="15"/>
    </row>
    <row r="17" spans="1:7">
      <c r="A17" s="164" t="s">
        <v>273</v>
      </c>
      <c r="B17" s="162">
        <f>'Weekly Valuation'!D159/1000000000</f>
        <v>360.5214025380767</v>
      </c>
      <c r="C17" s="163">
        <f>'Weekly Valuation'!K159/1000000000</f>
        <v>361.41580573766993</v>
      </c>
      <c r="D17" s="152"/>
      <c r="E17" s="15"/>
      <c r="F17" s="15"/>
      <c r="G17" s="15"/>
    </row>
    <row r="18" spans="1:7">
      <c r="A18" s="164" t="s">
        <v>189</v>
      </c>
      <c r="B18" s="162">
        <f>'Weekly Valuation'!D190/1000000000</f>
        <v>75.728715664741031</v>
      </c>
      <c r="C18" s="166">
        <f>'Weekly Valuation'!K190/1000000000</f>
        <v>76.852575641817936</v>
      </c>
      <c r="D18" s="152"/>
      <c r="E18" s="15"/>
      <c r="F18" s="15"/>
      <c r="G18" s="15"/>
    </row>
    <row r="19" spans="1:7">
      <c r="A19" s="164" t="s">
        <v>219</v>
      </c>
      <c r="B19" s="162">
        <f>'Weekly Valuation'!D195/1000000000</f>
        <v>8.5301612556799995</v>
      </c>
      <c r="C19" s="163">
        <f>'Weekly Valuation'!K195/1000000000</f>
        <v>8.6049366868200003</v>
      </c>
      <c r="D19" s="152"/>
      <c r="E19" s="15"/>
      <c r="F19" s="15"/>
      <c r="G19" s="15"/>
    </row>
    <row r="20" spans="1:7">
      <c r="A20" s="164" t="s">
        <v>274</v>
      </c>
      <c r="B20" s="162">
        <f>'Weekly Valuation'!D221/1000000000</f>
        <v>64.799548897370357</v>
      </c>
      <c r="C20" s="163">
        <f>'Weekly Valuation'!K221/1000000000</f>
        <v>65.35921482820001</v>
      </c>
      <c r="D20" s="152"/>
      <c r="E20" s="15"/>
      <c r="F20" s="15"/>
      <c r="G20" s="15"/>
    </row>
    <row r="21" spans="1:7">
      <c r="A21" s="149"/>
      <c r="B21" s="152"/>
      <c r="C21" s="151"/>
      <c r="D21" s="152"/>
      <c r="E21" s="15"/>
      <c r="F21" s="15"/>
      <c r="G21" s="15"/>
    </row>
    <row r="22" spans="1:7">
      <c r="A22" s="149"/>
      <c r="B22" s="152"/>
      <c r="C22" s="150"/>
      <c r="D22" s="152"/>
      <c r="E22" s="15"/>
      <c r="F22" s="15"/>
      <c r="G22" s="15"/>
    </row>
    <row r="23" spans="1:7">
      <c r="A23" s="136"/>
      <c r="B23" s="137"/>
      <c r="C23" s="135"/>
      <c r="D23" s="19"/>
      <c r="E23" s="15"/>
      <c r="F23" s="15"/>
      <c r="G23" s="15"/>
    </row>
    <row r="24" spans="1:7">
      <c r="A24" s="136"/>
      <c r="B24" s="137"/>
      <c r="C24" s="137"/>
      <c r="D24" s="19"/>
      <c r="E24" s="15"/>
      <c r="F24" s="15"/>
      <c r="G24" s="15"/>
    </row>
    <row r="25" spans="1:7">
      <c r="A25" s="136"/>
      <c r="B25" s="137"/>
      <c r="C25" s="137"/>
      <c r="D25" s="19"/>
      <c r="E25" s="15"/>
      <c r="F25" s="15"/>
      <c r="G25" s="15"/>
    </row>
    <row r="26" spans="1:7">
      <c r="A26" s="134"/>
      <c r="B26" s="133"/>
      <c r="C26" s="133"/>
      <c r="D26" s="15"/>
      <c r="E26" s="15"/>
      <c r="F26" s="15"/>
      <c r="G26" s="15"/>
    </row>
    <row r="27" spans="1:7">
      <c r="A27" s="134"/>
      <c r="B27" s="133"/>
      <c r="C27" s="133"/>
      <c r="D27" s="15"/>
      <c r="E27" s="15"/>
      <c r="F27" s="15"/>
      <c r="G27" s="15"/>
    </row>
    <row r="28" spans="1:7">
      <c r="A28" s="15"/>
      <c r="B28" s="15"/>
      <c r="C28" s="15"/>
      <c r="D28" s="15"/>
      <c r="E28" s="15"/>
      <c r="F28" s="15"/>
      <c r="G28" s="15"/>
    </row>
    <row r="29" spans="1:7">
      <c r="A29" s="15"/>
      <c r="B29" s="15"/>
      <c r="C29" s="15"/>
      <c r="D29" s="15"/>
      <c r="E29" s="15"/>
      <c r="F29" s="15"/>
      <c r="G29" s="15"/>
    </row>
  </sheetData>
  <sheetProtection algorithmName="SHA-512" hashValue="QRDp04CV9/49XbWtIzeMGv16UfV46PIZwFd4E49tUWgn/AaOb1N1a7+5wY4vyCxmBZfir7q/qtzRKpNZNafRpg==" saltValue="zJ3IKT5RBVCR6NxRtJ0lj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I12" sqref="I12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47" t="s">
        <v>271</v>
      </c>
      <c r="B1" s="148">
        <v>45877</v>
      </c>
      <c r="C1" s="19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49" t="s">
        <v>219</v>
      </c>
      <c r="B2" s="150">
        <f>'Weekly Valuation'!K195</f>
        <v>8604936686.8199997</v>
      </c>
      <c r="C2" s="19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49" t="s">
        <v>15</v>
      </c>
      <c r="B3" s="150">
        <f>'Weekly Valuation'!K25</f>
        <v>70540930810.876495</v>
      </c>
      <c r="C3" s="19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49" t="s">
        <v>274</v>
      </c>
      <c r="B4" s="135">
        <f>'Weekly Valuation'!K221</f>
        <v>65359214828.200005</v>
      </c>
      <c r="C4" s="19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49" t="s">
        <v>189</v>
      </c>
      <c r="B5" s="150">
        <f>'Weekly Valuation'!K190</f>
        <v>76852575641.817932</v>
      </c>
      <c r="C5" s="19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49" t="s">
        <v>273</v>
      </c>
      <c r="B6" s="150">
        <f>'Weekly Valuation'!K159</f>
        <v>361415805737.66992</v>
      </c>
      <c r="C6" s="19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49" t="s">
        <v>272</v>
      </c>
      <c r="B7" s="150">
        <f>'Weekly Valuation'!K110</f>
        <v>229152303163.27002</v>
      </c>
      <c r="C7" s="19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49" t="s">
        <v>152</v>
      </c>
      <c r="B8" s="151">
        <f>'Weekly Valuation'!K150</f>
        <v>1980083846272.4412</v>
      </c>
      <c r="C8" s="19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49" t="s">
        <v>52</v>
      </c>
      <c r="B9" s="151">
        <f>'Weekly Valuation'!K69</f>
        <v>3593469633868.4741</v>
      </c>
      <c r="C9" s="19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52"/>
      <c r="B10" s="152"/>
      <c r="C10" s="19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49"/>
      <c r="B11" s="153"/>
      <c r="C11" s="1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68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33"/>
      <c r="B13" s="133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33"/>
      <c r="B14" s="133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168"/>
      <c r="B15" s="169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133"/>
      <c r="B16" s="133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133"/>
      <c r="B17" s="133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131"/>
      <c r="B18" s="133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131"/>
      <c r="B19" s="131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131"/>
      <c r="B20" s="131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134"/>
      <c r="B21" s="131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5"/>
      <c r="B22" s="131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20"/>
    </row>
    <row r="33" spans="1:17" ht="15" customHeight="1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20"/>
    </row>
  </sheetData>
  <sheetProtection algorithmName="SHA-512" hashValue="FyJya9H9Z+EBPGsxz4Ku53XD7lvgm06y/v/vKFuwQlDiHES59biCEPr47xhIaOk8YxZwfCBCRJgEPC3jCnf0/g==" saltValue="QEUoJIgP9KCw2v18djZdEg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7"/>
  <sheetViews>
    <sheetView zoomScale="110" zoomScaleNormal="110" workbookViewId="0">
      <selection activeCell="C8" sqref="C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</row>
    <row r="2" spans="1:13">
      <c r="A2" s="142" t="s">
        <v>275</v>
      </c>
      <c r="B2" s="143">
        <v>45828</v>
      </c>
      <c r="C2" s="143">
        <v>45835</v>
      </c>
      <c r="D2" s="143">
        <v>45842</v>
      </c>
      <c r="E2" s="143">
        <v>45849</v>
      </c>
      <c r="F2" s="143">
        <v>45856</v>
      </c>
      <c r="G2" s="143">
        <v>45863</v>
      </c>
      <c r="H2" s="143">
        <v>45870</v>
      </c>
      <c r="I2" s="143">
        <v>45877</v>
      </c>
      <c r="J2" s="19"/>
      <c r="K2" s="15"/>
      <c r="L2" s="15"/>
      <c r="M2" s="15"/>
    </row>
    <row r="3" spans="1:13">
      <c r="A3" s="142" t="s">
        <v>276</v>
      </c>
      <c r="B3" s="144">
        <f t="shared" ref="B3:I3" si="0">B4</f>
        <v>5778.470729655005</v>
      </c>
      <c r="C3" s="144">
        <f t="shared" si="0"/>
        <v>5812.2705854093538</v>
      </c>
      <c r="D3" s="144">
        <f t="shared" si="0"/>
        <v>5912.1449998326807</v>
      </c>
      <c r="E3" s="144">
        <f t="shared" si="0"/>
        <v>6009.0237740152752</v>
      </c>
      <c r="F3" s="144">
        <f t="shared" si="0"/>
        <v>6080.0352810801669</v>
      </c>
      <c r="G3" s="144">
        <f t="shared" si="0"/>
        <v>6160.1611789888411</v>
      </c>
      <c r="H3" s="144">
        <f t="shared" si="0"/>
        <v>6280.3086656737469</v>
      </c>
      <c r="I3" s="144">
        <f t="shared" si="0"/>
        <v>6385.4792470095699</v>
      </c>
      <c r="J3" s="19"/>
      <c r="K3" s="15"/>
      <c r="L3" s="15"/>
      <c r="M3" s="15"/>
    </row>
    <row r="4" spans="1:13">
      <c r="A4" s="19"/>
      <c r="B4" s="145">
        <f>'NAV Trend'!C10/1000000000</f>
        <v>5778.470729655005</v>
      </c>
      <c r="C4" s="145">
        <f>'NAV Trend'!D10/1000000000</f>
        <v>5812.2705854093538</v>
      </c>
      <c r="D4" s="145">
        <f>'NAV Trend'!E10/1000000000</f>
        <v>5912.1449998326807</v>
      </c>
      <c r="E4" s="145">
        <f>'NAV Trend'!F10/1000000000</f>
        <v>6009.0237740152752</v>
      </c>
      <c r="F4" s="145">
        <f>'NAV Trend'!G10/1000000000</f>
        <v>6080.0352810801669</v>
      </c>
      <c r="G4" s="145">
        <f>'NAV Trend'!H10/1000000000</f>
        <v>6160.1611789888411</v>
      </c>
      <c r="H4" s="146">
        <f>'NAV Trend'!I10/1000000000</f>
        <v>6280.3086656737469</v>
      </c>
      <c r="I4" s="146">
        <f>'NAV Trend'!J10/1000000000</f>
        <v>6385.4792470095699</v>
      </c>
      <c r="J4" s="19"/>
      <c r="K4" s="15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</row>
    <row r="6" spans="1:1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</sheetData>
  <sheetProtection algorithmName="SHA-512" hashValue="o4EwnA7c/urz3dRd0KskktruveJKQ0sgOGcpwhY79zBVBNjKUk7q+6Y/BBjn4Q/BYpkEDEtGo3yZjG1hh+4vcA==" saltValue="qSngM9M9tsLIU77C8ui/O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N17"/>
  <sheetViews>
    <sheetView workbookViewId="0">
      <selection activeCell="E8" sqref="E8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4">
      <c r="A1" s="19"/>
      <c r="B1" s="19"/>
      <c r="C1" s="19"/>
      <c r="D1" s="19"/>
      <c r="E1" s="19"/>
      <c r="F1" s="19"/>
      <c r="G1" s="19"/>
      <c r="H1" s="19"/>
      <c r="I1" s="19"/>
      <c r="J1" s="15"/>
      <c r="K1" s="15"/>
      <c r="L1" s="15"/>
      <c r="M1" s="15"/>
      <c r="N1" s="15"/>
    </row>
    <row r="2" spans="1:14">
      <c r="A2" s="142" t="s">
        <v>275</v>
      </c>
      <c r="B2" s="143">
        <v>45828</v>
      </c>
      <c r="C2" s="143">
        <v>45835</v>
      </c>
      <c r="D2" s="143">
        <v>45842</v>
      </c>
      <c r="E2" s="143">
        <v>45849</v>
      </c>
      <c r="F2" s="143">
        <v>45856</v>
      </c>
      <c r="G2" s="143">
        <v>45863</v>
      </c>
      <c r="H2" s="143">
        <v>45870</v>
      </c>
      <c r="I2" s="143">
        <v>45877</v>
      </c>
      <c r="J2" s="15"/>
      <c r="K2" s="15"/>
      <c r="L2" s="15"/>
      <c r="M2" s="15"/>
      <c r="N2" s="15"/>
    </row>
    <row r="3" spans="1:14">
      <c r="A3" s="142" t="s">
        <v>277</v>
      </c>
      <c r="B3" s="144">
        <f t="shared" ref="B3:I3" si="0">B4</f>
        <v>14.438197157056999</v>
      </c>
      <c r="C3" s="144">
        <f t="shared" si="0"/>
        <v>14.649626500489999</v>
      </c>
      <c r="D3" s="144">
        <f t="shared" si="0"/>
        <v>14.538175757549999</v>
      </c>
      <c r="E3" s="144">
        <f t="shared" si="0"/>
        <v>15.344019261460002</v>
      </c>
      <c r="F3" s="144">
        <f t="shared" si="0"/>
        <v>16.012018416058002</v>
      </c>
      <c r="G3" s="144">
        <f t="shared" si="0"/>
        <v>16.301542614265998</v>
      </c>
      <c r="H3" s="144">
        <f t="shared" si="0"/>
        <v>17.113558632019</v>
      </c>
      <c r="I3" s="144">
        <f t="shared" si="0"/>
        <v>17.395938297309996</v>
      </c>
      <c r="J3" s="15"/>
      <c r="K3" s="15"/>
      <c r="L3" s="15"/>
      <c r="M3" s="15"/>
      <c r="N3" s="15"/>
    </row>
    <row r="4" spans="1:14">
      <c r="A4" s="19"/>
      <c r="B4" s="145">
        <f>'NAV Trend'!C16/1000000000</f>
        <v>14.438197157056999</v>
      </c>
      <c r="C4" s="145">
        <f>'NAV Trend'!D16/1000000000</f>
        <v>14.649626500489999</v>
      </c>
      <c r="D4" s="145">
        <f>'NAV Trend'!E16/1000000000</f>
        <v>14.538175757549999</v>
      </c>
      <c r="E4" s="145">
        <f>'NAV Trend'!F16/1000000000</f>
        <v>15.344019261460002</v>
      </c>
      <c r="F4" s="145">
        <f>'NAV Trend'!G16/1000000000</f>
        <v>16.012018416058002</v>
      </c>
      <c r="G4" s="145">
        <f>'NAV Trend'!H16/1000000000</f>
        <v>16.301542614265998</v>
      </c>
      <c r="H4" s="145">
        <f>'NAV Trend'!I16/1000000000</f>
        <v>17.113558632019</v>
      </c>
      <c r="I4" s="146">
        <f>'NAV Trend'!J16/1000000000</f>
        <v>17.395938297309996</v>
      </c>
      <c r="J4" s="15"/>
      <c r="K4" s="15"/>
      <c r="L4" s="15"/>
      <c r="M4" s="15"/>
      <c r="N4" s="15"/>
    </row>
    <row r="5" spans="1:1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sheetProtection algorithmName="SHA-512" hashValue="ZfG4fEVxjdDuC+CDNNPWBNXDcbCqXbvLkGRmXWnO7Uj0U9qHTYghdW1X/pUpYKg+2rdFwf1vPk4Q0XiQFRLLzA==" saltValue="HjudeVQXlIj8K+oPIurkX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271</v>
      </c>
      <c r="B1" s="2">
        <v>45821</v>
      </c>
      <c r="C1" s="2">
        <v>45828</v>
      </c>
      <c r="D1" s="2">
        <v>45835</v>
      </c>
      <c r="E1" s="2">
        <v>45842</v>
      </c>
      <c r="F1" s="2">
        <v>45849</v>
      </c>
      <c r="G1" s="2">
        <v>45856</v>
      </c>
      <c r="H1" s="2">
        <v>45863</v>
      </c>
      <c r="I1" s="2">
        <v>45870</v>
      </c>
      <c r="J1" s="2">
        <v>45877</v>
      </c>
    </row>
    <row r="2" spans="1:11">
      <c r="A2" s="3" t="s">
        <v>15</v>
      </c>
      <c r="B2" s="4">
        <v>42622857191.780403</v>
      </c>
      <c r="C2" s="4">
        <v>45399164105.915703</v>
      </c>
      <c r="D2" s="4">
        <v>47767435566.352699</v>
      </c>
      <c r="E2" s="4">
        <v>48773441499.2379</v>
      </c>
      <c r="F2" s="4">
        <v>52269878832.034996</v>
      </c>
      <c r="G2" s="4">
        <v>54748473127.3489</v>
      </c>
      <c r="H2" s="4">
        <v>61687226257.696495</v>
      </c>
      <c r="I2" s="4">
        <v>67229657165.516502</v>
      </c>
      <c r="J2" s="4">
        <v>70540930810.876495</v>
      </c>
    </row>
    <row r="3" spans="1:11">
      <c r="A3" s="3" t="s">
        <v>52</v>
      </c>
      <c r="B3" s="4">
        <v>3096275132899.1284</v>
      </c>
      <c r="C3" s="4">
        <v>3113167425546.7334</v>
      </c>
      <c r="D3" s="4">
        <v>3143972127991.3154</v>
      </c>
      <c r="E3" s="4">
        <v>3240091962076.584</v>
      </c>
      <c r="F3" s="4">
        <v>3306800238955.9248</v>
      </c>
      <c r="G3" s="4">
        <v>3358188060555.9185</v>
      </c>
      <c r="H3" s="4">
        <v>3426266000665.1895</v>
      </c>
      <c r="I3" s="4">
        <v>3516123821226.8936</v>
      </c>
      <c r="J3" s="4">
        <v>3593469633868.4741</v>
      </c>
    </row>
    <row r="4" spans="1:11">
      <c r="A4" s="3" t="s">
        <v>272</v>
      </c>
      <c r="B4" s="5">
        <v>202341287400.03244</v>
      </c>
      <c r="C4" s="5">
        <v>210070664052.05121</v>
      </c>
      <c r="D4" s="5">
        <v>209229734710.64914</v>
      </c>
      <c r="E4" s="5">
        <v>209302612953.89981</v>
      </c>
      <c r="F4" s="5">
        <v>217097119596.70132</v>
      </c>
      <c r="G4" s="5">
        <v>217434885807.0386</v>
      </c>
      <c r="H4" s="5">
        <v>217689331860.23923</v>
      </c>
      <c r="I4" s="5">
        <v>220851958545.65424</v>
      </c>
      <c r="J4" s="5">
        <v>229152303163.27002</v>
      </c>
    </row>
    <row r="5" spans="1:11">
      <c r="A5" s="3" t="s">
        <v>152</v>
      </c>
      <c r="B5" s="4">
        <v>1913220478334.1814</v>
      </c>
      <c r="C5" s="4">
        <v>1920956396176.9661</v>
      </c>
      <c r="D5" s="4">
        <v>1919903068979.0251</v>
      </c>
      <c r="E5" s="4">
        <v>1920430716545.5254</v>
      </c>
      <c r="F5" s="4">
        <v>1936146669670.2039</v>
      </c>
      <c r="G5" s="4">
        <v>1944523128036.5657</v>
      </c>
      <c r="H5" s="4">
        <v>1950379079099.77</v>
      </c>
      <c r="I5" s="4">
        <v>1966523400379.8149</v>
      </c>
      <c r="J5" s="4">
        <v>1980083846272.4412</v>
      </c>
    </row>
    <row r="6" spans="1:11">
      <c r="A6" s="3" t="s">
        <v>273</v>
      </c>
      <c r="B6" s="6">
        <v>357629608042.17529</v>
      </c>
      <c r="C6" s="6">
        <v>358535779287.37018</v>
      </c>
      <c r="D6" s="6">
        <v>358384976471.11237</v>
      </c>
      <c r="E6" s="6">
        <v>359566481710.30396</v>
      </c>
      <c r="F6" s="6">
        <v>360494145775.05426</v>
      </c>
      <c r="G6" s="6">
        <v>364310838344.93243</v>
      </c>
      <c r="H6" s="6">
        <v>359289716719.88489</v>
      </c>
      <c r="I6" s="6">
        <v>360521402538.07672</v>
      </c>
      <c r="J6" s="6">
        <v>361415805737.66992</v>
      </c>
    </row>
    <row r="7" spans="1:11">
      <c r="A7" s="3" t="s">
        <v>189</v>
      </c>
      <c r="B7" s="7">
        <v>61694711710.161476</v>
      </c>
      <c r="C7" s="7">
        <v>63650811988.436371</v>
      </c>
      <c r="D7" s="7">
        <v>65741491816.116287</v>
      </c>
      <c r="E7" s="7">
        <v>66337534088.000557</v>
      </c>
      <c r="F7" s="7">
        <v>67084468156.605881</v>
      </c>
      <c r="G7" s="7">
        <v>70484807160.729034</v>
      </c>
      <c r="H7" s="7">
        <v>73150059573.293945</v>
      </c>
      <c r="I7" s="7">
        <v>75728715664.741028</v>
      </c>
      <c r="J7" s="7">
        <v>76852575641.817932</v>
      </c>
    </row>
    <row r="8" spans="1:11">
      <c r="A8" s="3" t="s">
        <v>219</v>
      </c>
      <c r="B8" s="6">
        <v>6161637634.4500008</v>
      </c>
      <c r="C8" s="6">
        <v>6456038640.0900002</v>
      </c>
      <c r="D8" s="6">
        <v>6771356167.3599997</v>
      </c>
      <c r="E8" s="6">
        <v>6807247820.3100004</v>
      </c>
      <c r="F8" s="6">
        <v>7283906888.0599995</v>
      </c>
      <c r="G8" s="6">
        <v>7482268171.8400002</v>
      </c>
      <c r="H8" s="6">
        <v>8047780571.3400002</v>
      </c>
      <c r="I8" s="6">
        <v>8530161255.6800003</v>
      </c>
      <c r="J8" s="6">
        <v>8604936686.8199997</v>
      </c>
    </row>
    <row r="9" spans="1:11">
      <c r="A9" s="3" t="s">
        <v>274</v>
      </c>
      <c r="B9" s="6">
        <v>59275967620.142563</v>
      </c>
      <c r="C9" s="6">
        <v>60234449857.442543</v>
      </c>
      <c r="D9" s="6">
        <v>60500393707.422546</v>
      </c>
      <c r="E9" s="6">
        <v>60835003138.819405</v>
      </c>
      <c r="F9" s="6">
        <v>61847346140.690552</v>
      </c>
      <c r="G9" s="6">
        <v>62862819875.793411</v>
      </c>
      <c r="H9" s="6">
        <v>63651984241.427292</v>
      </c>
      <c r="I9" s="6">
        <v>64799548897.370361</v>
      </c>
      <c r="J9" s="6">
        <v>65359214828.200005</v>
      </c>
    </row>
    <row r="10" spans="1:11" ht="15.6">
      <c r="A10" s="8" t="s">
        <v>278</v>
      </c>
      <c r="B10" s="9">
        <f t="shared" ref="B10:J10" si="0">SUM(B2:B9)</f>
        <v>5739221680832.0508</v>
      </c>
      <c r="C10" s="9">
        <f t="shared" si="0"/>
        <v>5778470729655.0049</v>
      </c>
      <c r="D10" s="9">
        <f t="shared" si="0"/>
        <v>5812270585409.3535</v>
      </c>
      <c r="E10" s="9">
        <f t="shared" si="0"/>
        <v>5912144999832.6807</v>
      </c>
      <c r="F10" s="9">
        <f t="shared" si="0"/>
        <v>6009023774015.2754</v>
      </c>
      <c r="G10" s="9">
        <f t="shared" si="0"/>
        <v>6080035281080.167</v>
      </c>
      <c r="H10" s="9">
        <f t="shared" si="0"/>
        <v>6160161178988.8408</v>
      </c>
      <c r="I10" s="9">
        <f t="shared" si="0"/>
        <v>6280308665673.7471</v>
      </c>
      <c r="J10" s="9">
        <f t="shared" si="0"/>
        <v>6385479247009.5703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279</v>
      </c>
      <c r="B12" s="121" t="s">
        <v>280</v>
      </c>
      <c r="C12" s="13">
        <f>(B10+C10)/2</f>
        <v>5758846205243.5273</v>
      </c>
      <c r="D12" s="14">
        <f t="shared" ref="D12:J12" si="1">(C10+D10)/2</f>
        <v>5795370657532.1797</v>
      </c>
      <c r="E12" s="14">
        <f t="shared" si="1"/>
        <v>5862207792621.0176</v>
      </c>
      <c r="F12" s="14">
        <f t="shared" si="1"/>
        <v>5960584386923.9785</v>
      </c>
      <c r="G12" s="14">
        <f t="shared" si="1"/>
        <v>6044529527547.7207</v>
      </c>
      <c r="H12" s="14">
        <f t="shared" si="1"/>
        <v>6120098230034.5039</v>
      </c>
      <c r="I12" s="14">
        <f t="shared" si="1"/>
        <v>6220234922331.2939</v>
      </c>
      <c r="J12" s="14">
        <f t="shared" si="1"/>
        <v>6332893956341.6582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45821</v>
      </c>
      <c r="C15" s="2">
        <v>45828</v>
      </c>
      <c r="D15" s="2">
        <v>45835</v>
      </c>
      <c r="E15" s="2">
        <v>45842</v>
      </c>
      <c r="F15" s="2">
        <v>45849</v>
      </c>
      <c r="G15" s="2">
        <v>45856</v>
      </c>
      <c r="H15" s="2">
        <v>45863</v>
      </c>
      <c r="I15" s="2">
        <v>45870</v>
      </c>
      <c r="J15" s="2">
        <v>45877</v>
      </c>
      <c r="K15" s="15"/>
    </row>
    <row r="16" spans="1:11">
      <c r="A16" s="16" t="s">
        <v>281</v>
      </c>
      <c r="B16" s="17">
        <v>14097996343.838001</v>
      </c>
      <c r="C16" s="17">
        <v>14438197157.056999</v>
      </c>
      <c r="D16" s="17">
        <v>14649626500.49</v>
      </c>
      <c r="E16" s="17">
        <v>14538175757.549999</v>
      </c>
      <c r="F16" s="17">
        <v>15344019261.460001</v>
      </c>
      <c r="G16" s="17">
        <v>16012018416.058001</v>
      </c>
      <c r="H16" s="17">
        <v>16301542614.265999</v>
      </c>
      <c r="I16" s="17">
        <v>17113558632.019001</v>
      </c>
      <c r="J16" s="17">
        <v>17395938297.309998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27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AJOs1ivc9oTlZZOFlUU1stWP5M0USh+nLQIKAkYaF67kC/cocgTeHbIjNjHsG76scdJ5Lw6U0lzHEq9Ptvna4g==" saltValue="QdNFC9CQ0Ff149F5xwQhlw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2025-08-17T21:08:20Z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