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23040" windowHeight="90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Valuation'!$W$133</definedName>
    <definedName name="NFEM_RATE" localSheetId="0">'Weekly Valuation'!$W$133</definedName>
  </definedNames>
  <calcPr calcId="162913"/>
</workbook>
</file>

<file path=xl/calcChain.xml><?xml version="1.0" encoding="utf-8"?>
<calcChain xmlns="http://schemas.openxmlformats.org/spreadsheetml/2006/main">
  <c r="K227" i="1" l="1"/>
  <c r="N134" i="1"/>
  <c r="M134" i="1"/>
  <c r="K134" i="1"/>
  <c r="N143" i="1"/>
  <c r="M143" i="1"/>
  <c r="K143" i="1"/>
  <c r="K125" i="1" l="1"/>
  <c r="N119" i="1" l="1"/>
  <c r="M119" i="1"/>
  <c r="K119" i="1"/>
  <c r="N149" i="1" l="1"/>
  <c r="M149" i="1"/>
  <c r="K149" i="1"/>
  <c r="N139" i="1"/>
  <c r="M139" i="1"/>
  <c r="K139" i="1"/>
  <c r="N127" i="1"/>
  <c r="M127" i="1"/>
  <c r="K127" i="1"/>
  <c r="K115" i="1" l="1"/>
  <c r="N145" i="1"/>
  <c r="M145" i="1"/>
  <c r="K145" i="1"/>
  <c r="N148" i="1"/>
  <c r="M148" i="1"/>
  <c r="K148" i="1"/>
  <c r="N133" i="1" l="1"/>
  <c r="M133" i="1"/>
  <c r="K133" i="1"/>
  <c r="N128" i="1"/>
  <c r="M128" i="1"/>
  <c r="K128" i="1"/>
  <c r="N140" i="1"/>
  <c r="M140" i="1"/>
  <c r="K140" i="1"/>
  <c r="N129" i="1" l="1"/>
  <c r="M129" i="1"/>
  <c r="K129" i="1"/>
  <c r="N120" i="1"/>
  <c r="M120" i="1"/>
  <c r="K120" i="1"/>
  <c r="N136" i="1"/>
  <c r="M136" i="1"/>
  <c r="K136" i="1"/>
  <c r="N142" i="1"/>
  <c r="M142" i="1"/>
  <c r="K142" i="1"/>
  <c r="N138" i="1" l="1"/>
  <c r="M138" i="1"/>
  <c r="N118" i="1"/>
  <c r="M118" i="1"/>
  <c r="K118" i="1"/>
  <c r="N141" i="1"/>
  <c r="M141" i="1"/>
  <c r="N225" i="1"/>
  <c r="M225" i="1"/>
  <c r="K225" i="1"/>
  <c r="N117" i="1" l="1"/>
  <c r="M117" i="1"/>
  <c r="K117" i="1"/>
  <c r="N116" i="1"/>
  <c r="M116" i="1"/>
  <c r="K116" i="1"/>
  <c r="N227" i="1"/>
  <c r="M227" i="1"/>
  <c r="N124" i="1"/>
  <c r="N123" i="1"/>
  <c r="M124" i="1"/>
  <c r="M123" i="1"/>
  <c r="K124" i="1"/>
  <c r="K123" i="1"/>
  <c r="K121" i="1"/>
  <c r="N146" i="1"/>
  <c r="M146" i="1"/>
  <c r="K146" i="1"/>
  <c r="N130" i="1"/>
  <c r="M130" i="1"/>
  <c r="K130" i="1"/>
  <c r="K126" i="1" l="1"/>
  <c r="N114" i="1" l="1"/>
  <c r="M114" i="1"/>
  <c r="K114" i="1"/>
  <c r="G227" i="1"/>
  <c r="F227" i="1"/>
  <c r="G225" i="1"/>
  <c r="F225" i="1"/>
  <c r="D227" i="1"/>
  <c r="D225" i="1"/>
  <c r="N126" i="1" l="1"/>
  <c r="M126" i="1"/>
  <c r="N121" i="1" l="1"/>
  <c r="M121" i="1"/>
  <c r="R179" i="1" l="1"/>
  <c r="R81" i="1" l="1"/>
  <c r="R82" i="1"/>
  <c r="R104" i="1" l="1"/>
  <c r="S104" i="1"/>
  <c r="T104" i="1"/>
  <c r="U104" i="1"/>
  <c r="V104" i="1"/>
  <c r="R15" i="1" l="1"/>
  <c r="V228" i="1" l="1"/>
  <c r="U228" i="1"/>
  <c r="T228" i="1"/>
  <c r="S228" i="1"/>
  <c r="R228" i="1"/>
  <c r="R234" i="1"/>
  <c r="R154" i="1" l="1"/>
  <c r="S154" i="1"/>
  <c r="T154" i="1"/>
  <c r="U154" i="1"/>
  <c r="V154" i="1"/>
  <c r="R126" i="1" l="1"/>
  <c r="R125" i="1"/>
  <c r="S133" i="1"/>
  <c r="R133" i="1"/>
  <c r="S149" i="1"/>
  <c r="R149" i="1"/>
  <c r="S121" i="1"/>
  <c r="S140" i="1"/>
  <c r="R140" i="1"/>
  <c r="R127" i="1"/>
  <c r="S145" i="1"/>
  <c r="R145" i="1"/>
  <c r="S136" i="1"/>
  <c r="R136" i="1"/>
  <c r="S120" i="1"/>
  <c r="R120" i="1"/>
  <c r="K159" i="1"/>
  <c r="L156" i="1" s="1"/>
  <c r="V218" i="1"/>
  <c r="U218" i="1"/>
  <c r="T218" i="1"/>
  <c r="S218" i="1"/>
  <c r="R218" i="1"/>
  <c r="K195" i="1"/>
  <c r="L218" i="1" s="1"/>
  <c r="D195" i="1"/>
  <c r="B19" i="2" s="1"/>
  <c r="B9" i="2" s="1"/>
  <c r="V219" i="1"/>
  <c r="U219" i="1"/>
  <c r="T219" i="1"/>
  <c r="S219" i="1"/>
  <c r="R219" i="1"/>
  <c r="K221" i="1"/>
  <c r="L205" i="1" s="1"/>
  <c r="D221" i="1"/>
  <c r="S134" i="1"/>
  <c r="S148" i="1"/>
  <c r="R115" i="1"/>
  <c r="S143" i="1"/>
  <c r="R143" i="1"/>
  <c r="R128" i="1"/>
  <c r="S114" i="1"/>
  <c r="V234" i="1"/>
  <c r="M125" i="1"/>
  <c r="N125" i="1"/>
  <c r="S125" i="1" s="1"/>
  <c r="V226" i="1"/>
  <c r="U226" i="1"/>
  <c r="T226" i="1"/>
  <c r="S226" i="1"/>
  <c r="R226" i="1"/>
  <c r="K230" i="1"/>
  <c r="S138" i="1"/>
  <c r="U142" i="1"/>
  <c r="V142" i="1"/>
  <c r="N115" i="1"/>
  <c r="S115" i="1" s="1"/>
  <c r="M115" i="1"/>
  <c r="R227" i="1"/>
  <c r="S227" i="1"/>
  <c r="T227" i="1"/>
  <c r="U227" i="1"/>
  <c r="V227" i="1"/>
  <c r="V52" i="1"/>
  <c r="U52" i="1"/>
  <c r="T52" i="1"/>
  <c r="S52" i="1"/>
  <c r="R52" i="1"/>
  <c r="R148" i="1"/>
  <c r="V148" i="1"/>
  <c r="U148" i="1"/>
  <c r="T148" i="1"/>
  <c r="R167" i="1"/>
  <c r="S167" i="1"/>
  <c r="T167" i="1"/>
  <c r="U167" i="1"/>
  <c r="V167" i="1"/>
  <c r="V143" i="1"/>
  <c r="U143" i="1"/>
  <c r="T143" i="1"/>
  <c r="R58" i="1"/>
  <c r="V58" i="1"/>
  <c r="U58" i="1"/>
  <c r="S58" i="1"/>
  <c r="T58" i="1"/>
  <c r="R32" i="1"/>
  <c r="V32" i="1"/>
  <c r="U32" i="1"/>
  <c r="T32" i="1"/>
  <c r="S32" i="1"/>
  <c r="T137" i="1"/>
  <c r="V125" i="1"/>
  <c r="U125" i="1"/>
  <c r="T125" i="1"/>
  <c r="R45" i="1"/>
  <c r="S45" i="1"/>
  <c r="T45" i="1"/>
  <c r="U45" i="1"/>
  <c r="V45" i="1"/>
  <c r="O230" i="1"/>
  <c r="H230" i="1"/>
  <c r="D230" i="1"/>
  <c r="V225" i="1"/>
  <c r="U225" i="1"/>
  <c r="T225" i="1"/>
  <c r="S225" i="1"/>
  <c r="R225" i="1"/>
  <c r="V136" i="1"/>
  <c r="U136" i="1"/>
  <c r="T136" i="1"/>
  <c r="V82" i="1"/>
  <c r="U82" i="1"/>
  <c r="T82" i="1"/>
  <c r="S82" i="1"/>
  <c r="R171" i="1"/>
  <c r="V23" i="1"/>
  <c r="U23" i="1"/>
  <c r="T23" i="1"/>
  <c r="S23" i="1"/>
  <c r="R23" i="1"/>
  <c r="O221" i="1"/>
  <c r="H221" i="1"/>
  <c r="V220" i="1"/>
  <c r="U220" i="1"/>
  <c r="T220" i="1"/>
  <c r="S220" i="1"/>
  <c r="R220" i="1"/>
  <c r="R31" i="1"/>
  <c r="R117" i="1"/>
  <c r="S117" i="1"/>
  <c r="T117" i="1"/>
  <c r="U117" i="1"/>
  <c r="V117" i="1"/>
  <c r="R53" i="1"/>
  <c r="R212" i="1"/>
  <c r="V204" i="1"/>
  <c r="U204" i="1"/>
  <c r="T204" i="1"/>
  <c r="S204" i="1"/>
  <c r="R204" i="1"/>
  <c r="T145" i="1"/>
  <c r="U145" i="1"/>
  <c r="V145" i="1"/>
  <c r="R6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R94" i="1"/>
  <c r="V34" i="1"/>
  <c r="U34" i="1"/>
  <c r="T34" i="1"/>
  <c r="S34" i="1"/>
  <c r="R34" i="1"/>
  <c r="V76" i="1"/>
  <c r="V49" i="1"/>
  <c r="U49" i="1"/>
  <c r="T49" i="1"/>
  <c r="S49" i="1"/>
  <c r="R49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10" i="4"/>
  <c r="E12" i="4" s="1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0" i="1"/>
  <c r="U250" i="1"/>
  <c r="S250" i="1"/>
  <c r="O250" i="1"/>
  <c r="K250" i="1"/>
  <c r="L247" i="1" s="1"/>
  <c r="H250" i="1"/>
  <c r="D250" i="1"/>
  <c r="E238" i="1" s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V241" i="1"/>
  <c r="U241" i="1"/>
  <c r="T241" i="1"/>
  <c r="S241" i="1"/>
  <c r="R241" i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S238" i="1"/>
  <c r="R238" i="1"/>
  <c r="O235" i="1"/>
  <c r="K235" i="1"/>
  <c r="L233" i="1" s="1"/>
  <c r="H235" i="1"/>
  <c r="D235" i="1"/>
  <c r="E233" i="1" s="1"/>
  <c r="U234" i="1"/>
  <c r="T234" i="1"/>
  <c r="S234" i="1"/>
  <c r="V233" i="1"/>
  <c r="U233" i="1"/>
  <c r="T233" i="1"/>
  <c r="S233" i="1"/>
  <c r="R233" i="1"/>
  <c r="V229" i="1"/>
  <c r="U229" i="1"/>
  <c r="T229" i="1"/>
  <c r="S229" i="1"/>
  <c r="R229" i="1"/>
  <c r="V221" i="1"/>
  <c r="U221" i="1"/>
  <c r="S221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R205" i="1"/>
  <c r="V203" i="1"/>
  <c r="U203" i="1"/>
  <c r="T203" i="1"/>
  <c r="S203" i="1"/>
  <c r="R203" i="1"/>
  <c r="V200" i="1"/>
  <c r="U200" i="1"/>
  <c r="T200" i="1"/>
  <c r="S200" i="1"/>
  <c r="R200" i="1"/>
  <c r="V199" i="1"/>
  <c r="U199" i="1"/>
  <c r="T199" i="1"/>
  <c r="S199" i="1"/>
  <c r="R199" i="1"/>
  <c r="V195" i="1"/>
  <c r="U195" i="1"/>
  <c r="S195" i="1"/>
  <c r="O195" i="1"/>
  <c r="H195" i="1"/>
  <c r="T195" i="1" s="1"/>
  <c r="V194" i="1"/>
  <c r="U194" i="1"/>
  <c r="T194" i="1"/>
  <c r="S194" i="1"/>
  <c r="R194" i="1"/>
  <c r="V193" i="1"/>
  <c r="U193" i="1"/>
  <c r="T193" i="1"/>
  <c r="S193" i="1"/>
  <c r="R193" i="1"/>
  <c r="V190" i="1"/>
  <c r="U190" i="1"/>
  <c r="S190" i="1"/>
  <c r="O190" i="1"/>
  <c r="K190" i="1"/>
  <c r="L179" i="1" s="1"/>
  <c r="H190" i="1"/>
  <c r="D190" i="1"/>
  <c r="E167" i="1" s="1"/>
  <c r="V159" i="1"/>
  <c r="U159" i="1"/>
  <c r="S159" i="1"/>
  <c r="O159" i="1"/>
  <c r="H159" i="1"/>
  <c r="D159" i="1"/>
  <c r="E153" i="1" s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3" i="1"/>
  <c r="U153" i="1"/>
  <c r="T153" i="1"/>
  <c r="S153" i="1"/>
  <c r="R153" i="1"/>
  <c r="V150" i="1"/>
  <c r="U150" i="1"/>
  <c r="S150" i="1"/>
  <c r="O150" i="1"/>
  <c r="H150" i="1"/>
  <c r="V149" i="1"/>
  <c r="U149" i="1"/>
  <c r="T149" i="1"/>
  <c r="V147" i="1"/>
  <c r="U147" i="1"/>
  <c r="T147" i="1"/>
  <c r="S147" i="1"/>
  <c r="R147" i="1"/>
  <c r="V146" i="1"/>
  <c r="U146" i="1"/>
  <c r="T146" i="1"/>
  <c r="S146" i="1"/>
  <c r="V144" i="1"/>
  <c r="U144" i="1"/>
  <c r="T144" i="1"/>
  <c r="S144" i="1"/>
  <c r="R144" i="1"/>
  <c r="T142" i="1"/>
  <c r="S142" i="1"/>
  <c r="V141" i="1"/>
  <c r="U141" i="1"/>
  <c r="T141" i="1"/>
  <c r="R141" i="1"/>
  <c r="S141" i="1"/>
  <c r="V140" i="1"/>
  <c r="U140" i="1"/>
  <c r="T140" i="1"/>
  <c r="V139" i="1"/>
  <c r="U139" i="1"/>
  <c r="T139" i="1"/>
  <c r="S139" i="1"/>
  <c r="R139" i="1"/>
  <c r="V138" i="1"/>
  <c r="U138" i="1"/>
  <c r="T138" i="1"/>
  <c r="R138" i="1"/>
  <c r="V137" i="1"/>
  <c r="U137" i="1"/>
  <c r="S137" i="1"/>
  <c r="R137" i="1"/>
  <c r="V135" i="1"/>
  <c r="U135" i="1"/>
  <c r="T135" i="1"/>
  <c r="S135" i="1"/>
  <c r="R135" i="1"/>
  <c r="V134" i="1"/>
  <c r="U134" i="1"/>
  <c r="T134" i="1"/>
  <c r="V133" i="1"/>
  <c r="U133" i="1"/>
  <c r="T133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V120" i="1"/>
  <c r="U120" i="1"/>
  <c r="T120" i="1"/>
  <c r="V119" i="1"/>
  <c r="U119" i="1"/>
  <c r="T119" i="1"/>
  <c r="S119" i="1"/>
  <c r="V118" i="1"/>
  <c r="U118" i="1"/>
  <c r="T118" i="1"/>
  <c r="S118" i="1"/>
  <c r="V116" i="1"/>
  <c r="U116" i="1"/>
  <c r="T116" i="1"/>
  <c r="S116" i="1"/>
  <c r="V115" i="1"/>
  <c r="U115" i="1"/>
  <c r="T115" i="1"/>
  <c r="V114" i="1"/>
  <c r="U114" i="1"/>
  <c r="T114" i="1"/>
  <c r="R114" i="1"/>
  <c r="V110" i="1"/>
  <c r="U110" i="1"/>
  <c r="S110" i="1"/>
  <c r="O110" i="1"/>
  <c r="K110" i="1"/>
  <c r="H110" i="1"/>
  <c r="D110" i="1"/>
  <c r="E96" i="1" s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1" i="1"/>
  <c r="U81" i="1"/>
  <c r="T81" i="1"/>
  <c r="S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U77" i="1"/>
  <c r="V77" i="1" s="1"/>
  <c r="T77" i="1"/>
  <c r="S77" i="1"/>
  <c r="R77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69" i="1"/>
  <c r="U69" i="1"/>
  <c r="S69" i="1"/>
  <c r="O69" i="1"/>
  <c r="K69" i="1"/>
  <c r="L36" i="1" s="1"/>
  <c r="H69" i="1"/>
  <c r="D69" i="1"/>
  <c r="B14" i="2" s="1"/>
  <c r="B4" i="2" s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V51" i="1"/>
  <c r="U51" i="1"/>
  <c r="T51" i="1"/>
  <c r="S51" i="1"/>
  <c r="R51" i="1"/>
  <c r="V50" i="1"/>
  <c r="U50" i="1"/>
  <c r="T50" i="1"/>
  <c r="S50" i="1"/>
  <c r="R5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L19" i="1" s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4" i="5"/>
  <c r="D3" i="5" s="1"/>
  <c r="D150" i="1"/>
  <c r="E139" i="1" s="1"/>
  <c r="R116" i="1"/>
  <c r="R119" i="1"/>
  <c r="R130" i="1"/>
  <c r="R134" i="1"/>
  <c r="R142" i="1"/>
  <c r="R146" i="1"/>
  <c r="L104" i="1" l="1"/>
  <c r="L78" i="1"/>
  <c r="D12" i="4"/>
  <c r="L203" i="1"/>
  <c r="L208" i="1"/>
  <c r="F12" i="4"/>
  <c r="E88" i="1"/>
  <c r="E234" i="1"/>
  <c r="E98" i="1"/>
  <c r="E100" i="1"/>
  <c r="G12" i="4"/>
  <c r="E157" i="1"/>
  <c r="E4" i="5"/>
  <c r="E3" i="5" s="1"/>
  <c r="E91" i="1"/>
  <c r="E104" i="1"/>
  <c r="E78" i="1"/>
  <c r="L170" i="1"/>
  <c r="L188" i="1"/>
  <c r="L189" i="1"/>
  <c r="E103" i="1"/>
  <c r="E90" i="1"/>
  <c r="I12" i="4"/>
  <c r="H12" i="4"/>
  <c r="E45" i="1"/>
  <c r="E193" i="1"/>
  <c r="E194" i="1"/>
  <c r="E108" i="1"/>
  <c r="E13" i="1"/>
  <c r="E17" i="1"/>
  <c r="E15" i="1"/>
  <c r="E34" i="1"/>
  <c r="E14" i="1"/>
  <c r="C4" i="5"/>
  <c r="C3" i="5" s="1"/>
  <c r="C12" i="4"/>
  <c r="B4" i="5"/>
  <c r="B3" i="5" s="1"/>
  <c r="T159" i="1"/>
  <c r="E89" i="1"/>
  <c r="E106" i="1"/>
  <c r="E85" i="1"/>
  <c r="E79" i="1"/>
  <c r="E93" i="1"/>
  <c r="E248" i="1"/>
  <c r="E77" i="1"/>
  <c r="E74" i="1"/>
  <c r="E181" i="1"/>
  <c r="E109" i="1"/>
  <c r="E72" i="1"/>
  <c r="E185" i="1"/>
  <c r="E84" i="1"/>
  <c r="E81" i="1"/>
  <c r="T110" i="1"/>
  <c r="E80" i="1"/>
  <c r="E75" i="1"/>
  <c r="E140" i="1"/>
  <c r="E107" i="1"/>
  <c r="E97" i="1"/>
  <c r="B15" i="2"/>
  <c r="B5" i="2" s="1"/>
  <c r="E86" i="1"/>
  <c r="B16" i="2"/>
  <c r="B6" i="2" s="1"/>
  <c r="E82" i="1"/>
  <c r="E105" i="1"/>
  <c r="E102" i="1"/>
  <c r="E101" i="1"/>
  <c r="E16" i="1"/>
  <c r="E9" i="1"/>
  <c r="E20" i="1"/>
  <c r="E243" i="1"/>
  <c r="E18" i="1"/>
  <c r="B13" i="2"/>
  <c r="B3" i="2" s="1"/>
  <c r="E6" i="1"/>
  <c r="E10" i="1"/>
  <c r="E24" i="1"/>
  <c r="E11" i="1"/>
  <c r="E204" i="1"/>
  <c r="E228" i="1"/>
  <c r="E12" i="1"/>
  <c r="E21" i="1"/>
  <c r="E7" i="1"/>
  <c r="E22" i="1"/>
  <c r="E8" i="1"/>
  <c r="E126" i="1"/>
  <c r="E19" i="1"/>
  <c r="L234" i="1"/>
  <c r="R235" i="1"/>
  <c r="L101" i="1"/>
  <c r="L227" i="1"/>
  <c r="L228" i="1"/>
  <c r="L226" i="1"/>
  <c r="R230" i="1"/>
  <c r="E205" i="1"/>
  <c r="B20" i="2"/>
  <c r="B10" i="2" s="1"/>
  <c r="E203" i="1"/>
  <c r="E210" i="1"/>
  <c r="E208" i="1"/>
  <c r="E226" i="1"/>
  <c r="E225" i="1"/>
  <c r="E213" i="1"/>
  <c r="E220" i="1"/>
  <c r="E211" i="1"/>
  <c r="E218" i="1"/>
  <c r="E180" i="1"/>
  <c r="E188" i="1"/>
  <c r="E169" i="1"/>
  <c r="E163" i="1"/>
  <c r="E175" i="1"/>
  <c r="E184" i="1"/>
  <c r="E48" i="1"/>
  <c r="E166" i="1"/>
  <c r="E186" i="1"/>
  <c r="E177" i="1"/>
  <c r="E168" i="1"/>
  <c r="E189" i="1"/>
  <c r="E179" i="1"/>
  <c r="E164" i="1"/>
  <c r="E176" i="1"/>
  <c r="E170" i="1"/>
  <c r="E182" i="1"/>
  <c r="E171" i="1"/>
  <c r="E183" i="1"/>
  <c r="E162" i="1"/>
  <c r="E187" i="1"/>
  <c r="E174" i="1"/>
  <c r="E165" i="1"/>
  <c r="E178" i="1"/>
  <c r="E172" i="1"/>
  <c r="B18" i="2"/>
  <c r="B8" i="2" s="1"/>
  <c r="E173" i="1"/>
  <c r="E156" i="1"/>
  <c r="E158" i="1"/>
  <c r="E143" i="1"/>
  <c r="E116" i="1"/>
  <c r="E133" i="1"/>
  <c r="E145" i="1"/>
  <c r="E125" i="1"/>
  <c r="E117" i="1"/>
  <c r="E141" i="1"/>
  <c r="E118" i="1"/>
  <c r="E136" i="1"/>
  <c r="L225" i="1"/>
  <c r="L158" i="1"/>
  <c r="L153" i="1"/>
  <c r="B6" i="3"/>
  <c r="L229" i="1"/>
  <c r="T221" i="1"/>
  <c r="L155" i="1"/>
  <c r="L154" i="1"/>
  <c r="L157" i="1"/>
  <c r="C17" i="2"/>
  <c r="C7" i="2" s="1"/>
  <c r="E247" i="1"/>
  <c r="E245" i="1"/>
  <c r="L239" i="1"/>
  <c r="R195" i="1"/>
  <c r="L194" i="1"/>
  <c r="L193" i="1"/>
  <c r="B2" i="3"/>
  <c r="C19" i="2"/>
  <c r="C9" i="2" s="1"/>
  <c r="L210" i="1"/>
  <c r="L200" i="1"/>
  <c r="L211" i="1"/>
  <c r="L213" i="1"/>
  <c r="C20" i="2"/>
  <c r="C10" i="2" s="1"/>
  <c r="L199" i="1"/>
  <c r="L215" i="1"/>
  <c r="L209" i="1"/>
  <c r="L206" i="1"/>
  <c r="B4" i="3"/>
  <c r="L204" i="1"/>
  <c r="L214" i="1"/>
  <c r="L212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9" i="1"/>
  <c r="L10" i="1"/>
  <c r="L34" i="1"/>
  <c r="L8" i="1"/>
  <c r="L6" i="1"/>
  <c r="L24" i="1"/>
  <c r="C13" i="2"/>
  <c r="C3" i="2" s="1"/>
  <c r="L21" i="1"/>
  <c r="R25" i="1"/>
  <c r="L15" i="1"/>
  <c r="L94" i="1"/>
  <c r="L90" i="1"/>
  <c r="L248" i="1"/>
  <c r="L243" i="1"/>
  <c r="L245" i="1"/>
  <c r="L241" i="1"/>
  <c r="L207" i="1"/>
  <c r="L219" i="1"/>
  <c r="L220" i="1"/>
  <c r="E30" i="1"/>
  <c r="T250" i="1"/>
  <c r="L246" i="1"/>
  <c r="L249" i="1"/>
  <c r="L244" i="1"/>
  <c r="L242" i="1"/>
  <c r="L240" i="1"/>
  <c r="L238" i="1"/>
  <c r="K150" i="1"/>
  <c r="L118" i="1" s="1"/>
  <c r="R118" i="1"/>
  <c r="R121" i="1"/>
  <c r="T69" i="1"/>
  <c r="L32" i="1"/>
  <c r="E55" i="1"/>
  <c r="L33" i="1"/>
  <c r="L43" i="1"/>
  <c r="E68" i="1"/>
  <c r="L63" i="1"/>
  <c r="L62" i="1"/>
  <c r="L67" i="1"/>
  <c r="E63" i="1"/>
  <c r="L47" i="1"/>
  <c r="E46" i="1"/>
  <c r="L31" i="1"/>
  <c r="E35" i="1"/>
  <c r="E61" i="1"/>
  <c r="E43" i="1"/>
  <c r="L29" i="1"/>
  <c r="E47" i="1"/>
  <c r="E31" i="1"/>
  <c r="E66" i="1"/>
  <c r="E95" i="1"/>
  <c r="L60" i="1"/>
  <c r="L42" i="1"/>
  <c r="E28" i="1"/>
  <c r="L46" i="1"/>
  <c r="L30" i="1"/>
  <c r="E64" i="1"/>
  <c r="L44" i="1"/>
  <c r="E59" i="1"/>
  <c r="E41" i="1"/>
  <c r="E44" i="1"/>
  <c r="E29" i="1"/>
  <c r="E62" i="1"/>
  <c r="E58" i="1"/>
  <c r="L57" i="1"/>
  <c r="L40" i="1"/>
  <c r="E42" i="1"/>
  <c r="L28" i="1"/>
  <c r="E60" i="1"/>
  <c r="B9" i="3"/>
  <c r="E56" i="1"/>
  <c r="E39" i="1"/>
  <c r="L41" i="1"/>
  <c r="E57" i="1"/>
  <c r="L95" i="1"/>
  <c r="L68" i="1"/>
  <c r="L55" i="1"/>
  <c r="E40" i="1"/>
  <c r="L51" i="1"/>
  <c r="L49" i="1"/>
  <c r="L52" i="1"/>
  <c r="E67" i="1"/>
  <c r="E54" i="1"/>
  <c r="E38" i="1"/>
  <c r="L39" i="1"/>
  <c r="L54" i="1"/>
  <c r="E49" i="1"/>
  <c r="L45" i="1"/>
  <c r="E52" i="1"/>
  <c r="C14" i="2"/>
  <c r="C4" i="2" s="1"/>
  <c r="L66" i="1"/>
  <c r="L53" i="1"/>
  <c r="L37" i="1"/>
  <c r="L65" i="1"/>
  <c r="L35" i="1"/>
  <c r="L58" i="1"/>
  <c r="E65" i="1"/>
  <c r="E51" i="1"/>
  <c r="E36" i="1"/>
  <c r="L38" i="1"/>
  <c r="E50" i="1"/>
  <c r="L56" i="1"/>
  <c r="E32" i="1"/>
  <c r="L64" i="1"/>
  <c r="L50" i="1"/>
  <c r="E33" i="1"/>
  <c r="E37" i="1"/>
  <c r="E53" i="1"/>
  <c r="L59" i="1"/>
  <c r="L61" i="1"/>
  <c r="R69" i="1"/>
  <c r="E241" i="1"/>
  <c r="E239" i="1"/>
  <c r="E242" i="1"/>
  <c r="E244" i="1"/>
  <c r="E246" i="1"/>
  <c r="E249" i="1"/>
  <c r="E240" i="1"/>
  <c r="R250" i="1"/>
  <c r="E219" i="1"/>
  <c r="E206" i="1"/>
  <c r="E199" i="1"/>
  <c r="E200" i="1"/>
  <c r="E215" i="1"/>
  <c r="E209" i="1"/>
  <c r="E227" i="1"/>
  <c r="E229" i="1"/>
  <c r="E214" i="1"/>
  <c r="R221" i="1"/>
  <c r="E212" i="1"/>
  <c r="T190" i="1"/>
  <c r="H222" i="1"/>
  <c r="H251" i="1" s="1"/>
  <c r="B17" i="2"/>
  <c r="B7" i="2" s="1"/>
  <c r="E155" i="1"/>
  <c r="R159" i="1"/>
  <c r="T150" i="1"/>
  <c r="E122" i="1"/>
  <c r="E149" i="1"/>
  <c r="E135" i="1"/>
  <c r="E123" i="1"/>
  <c r="E146" i="1"/>
  <c r="E128" i="1"/>
  <c r="E127" i="1"/>
  <c r="E138" i="1"/>
  <c r="E142" i="1"/>
  <c r="E130" i="1"/>
  <c r="E144" i="1"/>
  <c r="E134" i="1"/>
  <c r="E124" i="1"/>
  <c r="E119" i="1"/>
  <c r="E114" i="1"/>
  <c r="E137" i="1"/>
  <c r="E129" i="1"/>
  <c r="E115" i="1"/>
  <c r="E121" i="1"/>
  <c r="E83" i="1"/>
  <c r="E99" i="1"/>
  <c r="E94" i="1"/>
  <c r="E73" i="1"/>
  <c r="E87" i="1"/>
  <c r="E92" i="1"/>
  <c r="D222" i="1"/>
  <c r="E25" i="1" s="1"/>
  <c r="J12" i="4"/>
  <c r="O222" i="1"/>
  <c r="O251" i="1" s="1"/>
  <c r="L171" i="1"/>
  <c r="L182" i="1"/>
  <c r="R190" i="1"/>
  <c r="B5" i="3"/>
  <c r="L162" i="1"/>
  <c r="L183" i="1"/>
  <c r="L48" i="1"/>
  <c r="L174" i="1"/>
  <c r="L173" i="1"/>
  <c r="L186" i="1"/>
  <c r="L172" i="1"/>
  <c r="L165" i="1"/>
  <c r="L166" i="1"/>
  <c r="L181" i="1"/>
  <c r="L178" i="1"/>
  <c r="C18" i="2"/>
  <c r="C8" i="2" s="1"/>
  <c r="L177" i="1"/>
  <c r="L185" i="1"/>
  <c r="L167" i="1"/>
  <c r="L184" i="1"/>
  <c r="L163" i="1"/>
  <c r="L169" i="1"/>
  <c r="L164" i="1"/>
  <c r="L175" i="1"/>
  <c r="L176" i="1"/>
  <c r="L187" i="1"/>
  <c r="L180" i="1"/>
  <c r="L168" i="1"/>
  <c r="L72" i="1"/>
  <c r="L98" i="1"/>
  <c r="L75" i="1"/>
  <c r="L96" i="1"/>
  <c r="L99" i="1"/>
  <c r="L106" i="1"/>
  <c r="L92" i="1"/>
  <c r="L73" i="1"/>
  <c r="L82" i="1"/>
  <c r="L136" i="1"/>
  <c r="L83" i="1"/>
  <c r="E76" i="1"/>
  <c r="L88" i="1"/>
  <c r="R110" i="1"/>
  <c r="L91" i="1"/>
  <c r="L86" i="1"/>
  <c r="L80" i="1"/>
  <c r="L84" i="1"/>
  <c r="C15" i="2"/>
  <c r="C5" i="2" s="1"/>
  <c r="L89" i="1"/>
  <c r="L97" i="1"/>
  <c r="L105" i="1"/>
  <c r="L81" i="1"/>
  <c r="B7" i="3"/>
  <c r="L87" i="1"/>
  <c r="L79" i="1"/>
  <c r="L107" i="1"/>
  <c r="L77" i="1"/>
  <c r="L102" i="1"/>
  <c r="L76" i="1"/>
  <c r="L93" i="1"/>
  <c r="L103" i="1"/>
  <c r="L109" i="1"/>
  <c r="L100" i="1"/>
  <c r="L74" i="1"/>
  <c r="L85" i="1"/>
  <c r="L108" i="1"/>
  <c r="L142" i="1" l="1"/>
  <c r="B8" i="3"/>
  <c r="L137" i="1"/>
  <c r="L128" i="1"/>
  <c r="L146" i="1"/>
  <c r="L143" i="1"/>
  <c r="L123" i="1"/>
  <c r="L140" i="1"/>
  <c r="L129" i="1"/>
  <c r="L124" i="1"/>
  <c r="R150" i="1"/>
  <c r="L121" i="1"/>
  <c r="L120" i="1"/>
  <c r="C16" i="2"/>
  <c r="C6" i="2" s="1"/>
  <c r="L147" i="1"/>
  <c r="L135" i="1"/>
  <c r="L145" i="1"/>
  <c r="K222" i="1"/>
  <c r="L150" i="1" s="1"/>
  <c r="L117" i="1"/>
  <c r="L116" i="1"/>
  <c r="L130" i="1"/>
  <c r="L148" i="1"/>
  <c r="L119" i="1"/>
  <c r="L114" i="1"/>
  <c r="L141" i="1"/>
  <c r="L139" i="1"/>
  <c r="L122" i="1"/>
  <c r="L138" i="1"/>
  <c r="L125" i="1"/>
  <c r="L144" i="1"/>
  <c r="L126" i="1"/>
  <c r="L133" i="1"/>
  <c r="L134" i="1"/>
  <c r="L115" i="1"/>
  <c r="L127" i="1"/>
  <c r="L149" i="1"/>
  <c r="E221" i="1"/>
  <c r="D251" i="1"/>
  <c r="E159" i="1"/>
  <c r="E195" i="1"/>
  <c r="E110" i="1"/>
  <c r="E190" i="1"/>
  <c r="E150" i="1"/>
  <c r="E69" i="1"/>
  <c r="L25" i="1" l="1"/>
  <c r="L69" i="1"/>
  <c r="L159" i="1"/>
  <c r="R222" i="1"/>
  <c r="L195" i="1"/>
  <c r="L190" i="1"/>
  <c r="K251" i="1"/>
  <c r="L221" i="1"/>
  <c r="L110" i="1"/>
</calcChain>
</file>

<file path=xl/sharedStrings.xml><?xml version="1.0" encoding="utf-8"?>
<sst xmlns="http://schemas.openxmlformats.org/spreadsheetml/2006/main" count="513" uniqueCount="324">
  <si>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</si>
  <si>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</si>
  <si>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</si>
  <si>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</si>
  <si>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</si>
  <si>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</si>
  <si>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</si>
  <si>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</si>
  <si>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</si>
  <si>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</si>
  <si>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</si>
  <si>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</si>
  <si>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</si>
  <si>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</si>
  <si>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</si>
  <si>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</si>
  <si>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</si>
  <si>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</si>
  <si>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</si>
  <si>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</si>
  <si>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</si>
  <si>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</si>
  <si>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</si>
  <si>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</si>
  <si>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</si>
  <si>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</si>
  <si>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</si>
  <si>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</si>
  <si>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</si>
  <si>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</si>
  <si>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</si>
  <si>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</si>
  <si>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</si>
  <si>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</si>
  <si>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</si>
  <si>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</si>
  <si>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</si>
  <si>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</si>
  <si>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</si>
  <si>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</si>
  <si>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</si>
  <si>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</si>
  <si>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</si>
  <si>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</si>
  <si>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</si>
  <si>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</si>
  <si>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</si>
  <si>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</si>
  <si>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</si>
  <si>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</si>
  <si>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</si>
  <si>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</si>
  <si>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</si>
  <si>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</si>
  <si>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</si>
  <si>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</si>
  <si>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</si>
  <si>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</si>
  <si>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</si>
  <si>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</si>
  <si>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</si>
  <si>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</si>
  <si>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</si>
  <si>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</si>
  <si>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</si>
  <si>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</si>
  <si>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</si>
  <si>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</si>
  <si>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</si>
  <si>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</si>
  <si>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</si>
  <si>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</si>
  <si>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</si>
  <si>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</si>
  <si>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</si>
  <si>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</si>
  <si>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</si>
  <si>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</si>
  <si>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</si>
  <si>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</si>
  <si>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</si>
  <si>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</si>
  <si>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</si>
  <si>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</si>
  <si>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</si>
  <si>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</si>
  <si>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</si>
  <si>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</si>
  <si>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</si>
  <si>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</si>
  <si>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</si>
  <si>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</si>
  <si>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</si>
  <si>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</si>
  <si>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</si>
  <si>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</si>
  <si>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</si>
  <si>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</si>
  <si>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</si>
  <si>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</si>
  <si>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</si>
  <si>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</si>
  <si>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</si>
  <si>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</si>
  <si>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</si>
  <si>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</si>
  <si>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</si>
  <si>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</si>
  <si>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</si>
  <si>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</si>
  <si>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</si>
  <si>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</si>
  <si>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</si>
  <si>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</si>
  <si>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</si>
  <si>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</si>
  <si>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</si>
  <si>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</si>
  <si>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</si>
  <si>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</si>
  <si>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</si>
  <si>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</si>
  <si>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</si>
  <si>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</si>
  <si>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</si>
  <si>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</si>
  <si>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</si>
  <si>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</si>
  <si>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</si>
  <si>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</si>
  <si>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</si>
  <si>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</si>
  <si>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</si>
  <si>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</si>
  <si>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</si>
  <si>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</si>
  <si>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</si>
  <si>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</si>
  <si>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</si>
  <si>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</si>
  <si>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</si>
  <si>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</si>
  <si>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</si>
  <si>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</si>
  <si>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</si>
  <si>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</si>
  <si>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</si>
  <si>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</si>
  <si>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</si>
  <si>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</si>
  <si>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</si>
  <si>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</si>
  <si>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</si>
  <si>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</si>
  <si>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</si>
  <si>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</si>
  <si>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</si>
  <si>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</si>
  <si>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</si>
  <si>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</si>
  <si>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</si>
  <si>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</si>
  <si>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</si>
  <si>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</si>
  <si>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</si>
  <si>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</si>
  <si>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</si>
  <si>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</si>
  <si>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</si>
  <si>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</si>
  <si>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</si>
  <si>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</si>
  <si>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</si>
  <si>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</si>
  <si>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</si>
  <si>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</si>
  <si>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</si>
  <si>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</si>
  <si>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</si>
  <si>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</si>
  <si>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</si>
  <si>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</si>
  <si>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</si>
  <si>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</si>
  <si>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</si>
  <si>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</si>
  <si>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</si>
  <si>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</si>
  <si>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</si>
  <si>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</si>
  <si>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</si>
  <si>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</si>
  <si>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</si>
  <si>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</si>
  <si>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</si>
  <si>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</si>
  <si>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</si>
  <si>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</si>
  <si>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</si>
  <si>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</si>
  <si>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</si>
  <si>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</si>
  <si>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</si>
  <si>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</si>
  <si>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</si>
  <si>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</si>
  <si>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</si>
  <si>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</si>
  <si>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</si>
  <si>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</si>
  <si>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</si>
  <si>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</si>
  <si>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</si>
  <si>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</si>
  <si>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</si>
  <si>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</si>
  <si>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</si>
  <si>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</si>
  <si>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</si>
  <si>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</si>
  <si>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</si>
  <si>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</si>
  <si>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</si>
  <si>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</si>
  <si>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</si>
  <si>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</si>
  <si>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</si>
  <si>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</si>
  <si>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</si>
  <si>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</si>
  <si>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</si>
  <si>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</si>
  <si>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</si>
  <si>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</si>
  <si>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</si>
  <si>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</si>
  <si>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</si>
  <si>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</si>
  <si>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</si>
  <si>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</si>
  <si>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</si>
  <si>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</si>
  <si>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</si>
  <si>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</si>
  <si>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</si>
  <si>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</si>
  <si>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</si>
  <si>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</si>
  <si>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</si>
  <si>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</si>
  <si>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</si>
  <si>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</si>
  <si>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</si>
  <si>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</si>
  <si>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</si>
  <si>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</si>
  <si>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</si>
  <si>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</si>
  <si>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</si>
  <si>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</si>
  <si>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</si>
  <si>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</si>
  <si>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</si>
  <si>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</si>
  <si>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</si>
  <si>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</si>
  <si>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</si>
  <si>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</si>
  <si>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</si>
  <si>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</si>
  <si>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</si>
  <si>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</si>
  <si>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</si>
  <si>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</si>
  <si>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</si>
  <si>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</si>
  <si>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</si>
  <si>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</si>
  <si>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</si>
  <si>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</si>
  <si>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</si>
  <si>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</si>
  <si>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</si>
  <si>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</si>
  <si>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</si>
  <si>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</si>
  <si>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</si>
  <si>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</si>
  <si>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</si>
  <si>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</si>
  <si>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</si>
  <si>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</si>
  <si>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</si>
  <si>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</si>
  <si>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</si>
  <si>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</si>
  <si>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</si>
  <si>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</si>
  <si>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</si>
  <si>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</si>
  <si>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</si>
  <si>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</si>
  <si>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</si>
  <si>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</si>
  <si>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</si>
  <si>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</si>
  <si>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</si>
  <si>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</si>
  <si>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</si>
  <si>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</si>
  <si>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</si>
  <si>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</si>
  <si>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</si>
  <si>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</si>
  <si>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</si>
  <si>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</si>
  <si>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</si>
  <si>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</si>
  <si>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NAV, Unit Price and Yield as at Week Ended July 25, 2025</t>
  </si>
  <si>
    <t>Week Ended July 25, 2025</t>
  </si>
  <si>
    <t>WEEKLY VALUATION REPORT OF COLLECTIVE INVESTMENT SCHEMES AS AT WEEK ENDED FRIDAY, AUGUST 1, 2025</t>
  </si>
  <si>
    <t>NAV, Unit Price and Yield as at Week Ended August 1, 2025</t>
  </si>
  <si>
    <t>NFEM RATE NG₦/US$ as at 1st August, 2025 = N1533.7443</t>
  </si>
  <si>
    <t>Week Ended August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</si>
</sst>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17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43" fontId="32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3" fillId="21" borderId="0" applyNumberFormat="0" applyBorder="0" applyAlignment="0" applyProtection="0"/>
    <xf numFmtId="0" fontId="34" fillId="0" borderId="0"/>
    <xf numFmtId="0" fontId="37" fillId="0" borderId="0"/>
    <xf numFmtId="0" fontId="35" fillId="0" borderId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88">
    <xf numFmtId="0" fontId="0" fillId="0" borderId="0" xfId="0"/>
    <xf numFmtId="0" fontId="3" fillId="0" borderId="1" xfId="0" applyFont="1" applyBorder="1" applyAlignment="1">
      <alignment horizontal="right"/>
    </xf>
    <xf numFmtId="16" fontId="4" fillId="2" borderId="1" xfId="0" applyNumberFormat="1" applyFont="1" applyFill="1" applyBorder="1"/>
    <xf numFmtId="0" fontId="4" fillId="0" borderId="1" xfId="0" applyFont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" fontId="6" fillId="2" borderId="1" xfId="0" applyNumberFormat="1" applyFont="1" applyFill="1" applyBorder="1"/>
    <xf numFmtId="164" fontId="5" fillId="2" borderId="1" xfId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right"/>
    </xf>
    <xf numFmtId="43" fontId="7" fillId="3" borderId="1" xfId="0" applyNumberFormat="1" applyFont="1" applyFill="1" applyBorder="1"/>
    <xf numFmtId="0" fontId="6" fillId="0" borderId="0" xfId="0" applyFont="1"/>
    <xf numFmtId="164" fontId="6" fillId="0" borderId="0" xfId="1" applyFont="1"/>
    <xf numFmtId="0" fontId="3" fillId="4" borderId="1" xfId="0" applyFont="1" applyFill="1" applyBorder="1" applyAlignment="1">
      <alignment horizontal="right"/>
    </xf>
    <xf numFmtId="43" fontId="3" fillId="4" borderId="1" xfId="0" applyNumberFormat="1" applyFont="1" applyFill="1" applyBorder="1"/>
    <xf numFmtId="164" fontId="3" fillId="4" borderId="1" xfId="1" applyFont="1" applyFill="1" applyBorder="1"/>
    <xf numFmtId="0" fontId="8" fillId="0" borderId="0" xfId="0" applyFont="1"/>
    <xf numFmtId="0" fontId="9" fillId="0" borderId="1" xfId="0" applyFont="1" applyBorder="1" applyAlignment="1">
      <alignment horizontal="right"/>
    </xf>
    <xf numFmtId="164" fontId="5" fillId="0" borderId="1" xfId="1" applyFont="1" applyBorder="1"/>
    <xf numFmtId="164" fontId="8" fillId="0" borderId="0" xfId="1" applyFont="1"/>
    <xf numFmtId="0" fontId="10" fillId="0" borderId="0" xfId="0" applyFont="1"/>
    <xf numFmtId="0" fontId="6" fillId="2" borderId="0" xfId="0" applyFont="1" applyFill="1" applyAlignment="1">
      <alignment wrapText="1"/>
    </xf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6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4" fontId="27" fillId="16" borderId="1" xfId="0" applyNumberFormat="1" applyFont="1" applyFill="1" applyBorder="1" applyAlignment="1">
      <alignment horizontal="right"/>
    </xf>
    <xf numFmtId="0" fontId="28" fillId="6" borderId="1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29" fillId="0" borderId="0" xfId="0" applyFont="1"/>
    <xf numFmtId="43" fontId="0" fillId="0" borderId="0" xfId="0" applyNumberFormat="1"/>
    <xf numFmtId="0" fontId="30" fillId="0" borderId="0" xfId="0" applyFont="1"/>
    <xf numFmtId="0" fontId="25" fillId="2" borderId="0" xfId="0" applyFont="1" applyFill="1" applyAlignment="1">
      <alignment wrapText="1"/>
    </xf>
    <xf numFmtId="43" fontId="30" fillId="0" borderId="0" xfId="11" applyFont="1" applyBorder="1"/>
    <xf numFmtId="2" fontId="30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7" fillId="16" borderId="1" xfId="2" applyFont="1" applyFill="1" applyBorder="1" applyAlignment="1">
      <alignment horizontal="center"/>
    </xf>
    <xf numFmtId="4" fontId="27" fillId="16" borderId="1" xfId="0" applyNumberFormat="1" applyFont="1" applyFill="1" applyBorder="1" applyAlignment="1">
      <alignment horizontal="center"/>
    </xf>
    <xf numFmtId="10" fontId="30" fillId="0" borderId="0" xfId="2" applyNumberFormat="1" applyFont="1" applyBorder="1"/>
    <xf numFmtId="10" fontId="31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7" fillId="16" borderId="1" xfId="2" applyNumberFormat="1" applyFont="1" applyFill="1" applyBorder="1" applyAlignment="1">
      <alignment horizontal="center" vertical="top" wrapText="1"/>
    </xf>
    <xf numFmtId="166" fontId="27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3" fillId="4" borderId="1" xfId="0" quotePrefix="1" applyNumberFormat="1" applyFont="1" applyFill="1" applyBorder="1" applyAlignment="1">
      <alignment horizontal="center"/>
    </xf>
    <xf numFmtId="0" fontId="39" fillId="8" borderId="1" xfId="0" applyFont="1" applyFill="1" applyBorder="1"/>
    <xf numFmtId="0" fontId="40" fillId="0" borderId="0" xfId="0" applyFont="1"/>
    <xf numFmtId="0" fontId="28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43" fontId="8" fillId="0" borderId="0" xfId="0" applyNumberFormat="1" applyFont="1"/>
    <xf numFmtId="164" fontId="16" fillId="2" borderId="1" xfId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wrapText="1"/>
    </xf>
    <xf numFmtId="0" fontId="6" fillId="7" borderId="1" xfId="0" applyFont="1" applyFill="1" applyBorder="1"/>
    <xf numFmtId="0" fontId="6" fillId="0" borderId="1" xfId="0" applyFont="1" applyBorder="1"/>
    <xf numFmtId="4" fontId="5" fillId="2" borderId="0" xfId="0" applyNumberFormat="1" applyFont="1" applyFill="1" applyAlignment="1">
      <alignment horizontal="right"/>
    </xf>
    <xf numFmtId="167" fontId="41" fillId="0" borderId="0" xfId="1" applyNumberFormat="1" applyFont="1"/>
    <xf numFmtId="4" fontId="5" fillId="2" borderId="0" xfId="0" applyNumberFormat="1" applyFont="1" applyFill="1"/>
    <xf numFmtId="0" fontId="9" fillId="0" borderId="0" xfId="0" applyFont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42" fillId="0" borderId="0" xfId="0" applyFont="1" applyAlignment="1">
      <alignment horizontal="right"/>
    </xf>
    <xf numFmtId="4" fontId="43" fillId="2" borderId="0" xfId="0" applyNumberFormat="1" applyFont="1" applyFill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44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2" fillId="2" borderId="0" xfId="0" applyNumberFormat="1" applyFont="1" applyFill="1" applyBorder="1"/>
    <xf numFmtId="0" fontId="42" fillId="0" borderId="0" xfId="0" applyFont="1" applyBorder="1" applyAlignment="1">
      <alignment horizontal="right"/>
    </xf>
    <xf numFmtId="4" fontId="43" fillId="2" borderId="0" xfId="0" applyNumberFormat="1" applyFont="1" applyFill="1" applyBorder="1"/>
    <xf numFmtId="4" fontId="43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164" fontId="10" fillId="0" borderId="0" xfId="1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center"/>
    </xf>
    <xf numFmtId="4" fontId="16" fillId="0" borderId="1" xfId="0" applyNumberFormat="1" applyFont="1" applyBorder="1" applyAlignment="1">
      <alignment wrapText="1"/>
    </xf>
    <xf numFmtId="49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5" fillId="2" borderId="0" xfId="1" applyFont="1" applyFill="1" applyBorder="1" applyAlignment="1">
      <alignment horizontal="right" vertical="top" wrapText="1"/>
    </xf>
    <xf numFmtId="0" fontId="7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23" fillId="14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 wrapText="1"/>
    </xf>
  </cellXfs>
  <cellStyles count="36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25,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61.687226257696494</c:v>
                </c:pt>
                <c:pt idx="1">
                  <c:v>3426.2660006651895</c:v>
                </c:pt>
                <c:pt idx="2">
                  <c:v>217.68933186023924</c:v>
                </c:pt>
                <c:pt idx="3">
                  <c:v>1950.37907909977</c:v>
                </c:pt>
                <c:pt idx="4">
                  <c:v>359.28971671988489</c:v>
                </c:pt>
                <c:pt idx="5" formatCode="_-* #,##0.00_-;\-* #,##0.00_-;_-* &quot;-&quot;??_-;_-@_-">
                  <c:v>73.150059573293944</c:v>
                </c:pt>
                <c:pt idx="6">
                  <c:v>8.0477805713400006</c:v>
                </c:pt>
                <c:pt idx="7">
                  <c:v>63.651984241427293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67.2296571655165</c:v>
                </c:pt>
                <c:pt idx="1">
                  <c:v>3516.1238212268936</c:v>
                </c:pt>
                <c:pt idx="2">
                  <c:v>220.85195854565424</c:v>
                </c:pt>
                <c:pt idx="3">
                  <c:v>1966.523400379815</c:v>
                </c:pt>
                <c:pt idx="4">
                  <c:v>360.5214025380767</c:v>
                </c:pt>
                <c:pt idx="5" formatCode="_-* #,##0.00_-;\-* #,##0.00_-;_-* &quot;-&quot;??_-;_-@_-">
                  <c:v>75.728715664741031</c:v>
                </c:pt>
                <c:pt idx="6">
                  <c:v>8.5301612556799995</c:v>
                </c:pt>
                <c:pt idx="7">
                  <c:v>64.799548897370357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1ST AUGUST,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8530161255.6800003</c:v>
                </c:pt>
                <c:pt idx="1">
                  <c:v>67229657165.516502</c:v>
                </c:pt>
                <c:pt idx="2" formatCode="_-* #,##0.00_-;\-* #,##0.00_-;_-* &quot;-&quot;??_-;_-@_-">
                  <c:v>64799548897.370361</c:v>
                </c:pt>
                <c:pt idx="3">
                  <c:v>75728715664.741028</c:v>
                </c:pt>
                <c:pt idx="4">
                  <c:v>360521402538.07672</c:v>
                </c:pt>
                <c:pt idx="5">
                  <c:v>220851958545.65424</c:v>
                </c:pt>
                <c:pt idx="6">
                  <c:v>1966523400379.8149</c:v>
                </c:pt>
                <c:pt idx="7">
                  <c:v>3516123821226.8936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45821</c:v>
                </c:pt>
                <c:pt idx="1">
                  <c:v>45828</c:v>
                </c:pt>
                <c:pt idx="2">
                  <c:v>45835</c:v>
                </c:pt>
                <c:pt idx="3">
                  <c:v>45842</c:v>
                </c:pt>
                <c:pt idx="4">
                  <c:v>45849</c:v>
                </c:pt>
                <c:pt idx="5">
                  <c:v>45856</c:v>
                </c:pt>
                <c:pt idx="6">
                  <c:v>45863</c:v>
                </c:pt>
                <c:pt idx="7">
                  <c:v>45870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5739.2216808320509</c:v>
                </c:pt>
                <c:pt idx="1">
                  <c:v>5778.470729655005</c:v>
                </c:pt>
                <c:pt idx="2">
                  <c:v>5812.2705854093538</c:v>
                </c:pt>
                <c:pt idx="3">
                  <c:v>5912.1449998326807</c:v>
                </c:pt>
                <c:pt idx="4">
                  <c:v>6009.0237740152752</c:v>
                </c:pt>
                <c:pt idx="5">
                  <c:v>6080.0352810801669</c:v>
                </c:pt>
                <c:pt idx="6">
                  <c:v>6160.1611789888411</c:v>
                </c:pt>
                <c:pt idx="7">
                  <c:v>6280.3086656737469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45821</c:v>
                </c:pt>
                <c:pt idx="1">
                  <c:v>45828</c:v>
                </c:pt>
                <c:pt idx="2">
                  <c:v>45835</c:v>
                </c:pt>
                <c:pt idx="3">
                  <c:v>45842</c:v>
                </c:pt>
                <c:pt idx="4">
                  <c:v>45849</c:v>
                </c:pt>
                <c:pt idx="5">
                  <c:v>45856</c:v>
                </c:pt>
                <c:pt idx="6">
                  <c:v>45863</c:v>
                </c:pt>
                <c:pt idx="7">
                  <c:v>45870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14.097996343838002</c:v>
                </c:pt>
                <c:pt idx="1">
                  <c:v>14.438197157056999</c:v>
                </c:pt>
                <c:pt idx="2">
                  <c:v>14.649626500489999</c:v>
                </c:pt>
                <c:pt idx="3">
                  <c:v>14.538175757549999</c:v>
                </c:pt>
                <c:pt idx="4">
                  <c:v>15.344019261460002</c:v>
                </c:pt>
                <c:pt idx="5">
                  <c:v>16.012018416058002</c:v>
                </c:pt>
                <c:pt idx="6">
                  <c:v>16.301542614265998</c:v>
                </c:pt>
                <c:pt idx="7">
                  <c:v>17.113558632019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58"/>
  <sheetViews>
    <sheetView tabSelected="1" zoomScale="120" zoomScaleNormal="12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2187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5" t="s">
        <v>320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</row>
    <row r="2" spans="1:25" ht="15" customHeight="1">
      <c r="A2" s="132"/>
      <c r="B2" s="21"/>
      <c r="C2" s="123"/>
      <c r="D2" s="186" t="s">
        <v>318</v>
      </c>
      <c r="E2" s="186"/>
      <c r="F2" s="186"/>
      <c r="G2" s="186"/>
      <c r="H2" s="186"/>
      <c r="I2" s="186"/>
      <c r="J2" s="186"/>
      <c r="K2" s="186" t="s">
        <v>321</v>
      </c>
      <c r="L2" s="186"/>
      <c r="M2" s="186"/>
      <c r="N2" s="186"/>
      <c r="O2" s="186"/>
      <c r="P2" s="186"/>
      <c r="Q2" s="186"/>
      <c r="R2" s="186" t="s">
        <v>0</v>
      </c>
      <c r="S2" s="186"/>
      <c r="T2" s="186"/>
      <c r="U2" s="186" t="s">
        <v>1</v>
      </c>
      <c r="V2" s="186"/>
    </row>
    <row r="3" spans="1:25" ht="20.399999999999999">
      <c r="A3" s="22" t="s">
        <v>2</v>
      </c>
      <c r="B3" s="23" t="s">
        <v>3</v>
      </c>
      <c r="C3" s="24" t="s">
        <v>4</v>
      </c>
      <c r="D3" s="25" t="s">
        <v>5</v>
      </c>
      <c r="E3" s="26" t="s">
        <v>6</v>
      </c>
      <c r="F3" s="26" t="s">
        <v>284</v>
      </c>
      <c r="G3" s="26" t="s">
        <v>8</v>
      </c>
      <c r="H3" s="26" t="s">
        <v>9</v>
      </c>
      <c r="I3" s="26" t="s">
        <v>10</v>
      </c>
      <c r="J3" s="26" t="s">
        <v>11</v>
      </c>
      <c r="K3" s="47" t="s">
        <v>5</v>
      </c>
      <c r="L3" s="26" t="s">
        <v>6</v>
      </c>
      <c r="M3" s="26" t="s">
        <v>7</v>
      </c>
      <c r="N3" s="26" t="s">
        <v>8</v>
      </c>
      <c r="O3" s="26" t="s">
        <v>9</v>
      </c>
      <c r="P3" s="26" t="s">
        <v>10</v>
      </c>
      <c r="Q3" s="26" t="s">
        <v>11</v>
      </c>
      <c r="R3" s="25" t="s">
        <v>12</v>
      </c>
      <c r="S3" s="26" t="s">
        <v>13</v>
      </c>
      <c r="T3" s="26" t="s">
        <v>14</v>
      </c>
      <c r="U3" s="26" t="s">
        <v>15</v>
      </c>
      <c r="V3" s="26" t="s">
        <v>16</v>
      </c>
    </row>
    <row r="4" spans="1:25" ht="5.25" customHeight="1">
      <c r="A4" s="13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5" ht="15" customHeight="1">
      <c r="A5" s="183" t="s">
        <v>17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</row>
    <row r="6" spans="1:25">
      <c r="A6" s="144">
        <v>1</v>
      </c>
      <c r="B6" s="142" t="s">
        <v>18</v>
      </c>
      <c r="C6" s="143" t="s">
        <v>19</v>
      </c>
      <c r="D6" s="27">
        <v>2820771614.3099999</v>
      </c>
      <c r="E6" s="28">
        <f t="shared" ref="E6:E22" si="0">(D6/$D$25)</f>
        <v>4.5726997069479393E-2</v>
      </c>
      <c r="F6" s="29">
        <v>557.76670000000001</v>
      </c>
      <c r="G6" s="29">
        <v>562.20540000000005</v>
      </c>
      <c r="H6" s="30">
        <v>1689</v>
      </c>
      <c r="I6" s="48">
        <v>4.82E-2</v>
      </c>
      <c r="J6" s="48">
        <v>0.29670000000000002</v>
      </c>
      <c r="K6" s="27">
        <v>3137640669.4200001</v>
      </c>
      <c r="L6" s="28">
        <f t="shared" ref="L6:L22" si="1">(K6/$K$25)</f>
        <v>4.6670484451456662E-2</v>
      </c>
      <c r="M6" s="29">
        <v>585.22159999999997</v>
      </c>
      <c r="N6" s="29">
        <v>587.01800000000003</v>
      </c>
      <c r="O6" s="30">
        <v>1689</v>
      </c>
      <c r="P6" s="48">
        <v>4.9200000000000001E-2</v>
      </c>
      <c r="Q6" s="48">
        <v>0.47220000000000001</v>
      </c>
      <c r="R6" s="54">
        <f>((K6-D6)/D6)</f>
        <v>0.11233417604690081</v>
      </c>
      <c r="S6" s="54">
        <f>((N6-G6)/G6)</f>
        <v>4.4134403547173282E-2</v>
      </c>
      <c r="T6" s="54">
        <f>((O6-H6)/H6)</f>
        <v>0</v>
      </c>
      <c r="U6" s="55">
        <f>P6-I6</f>
        <v>1.0000000000000009E-3</v>
      </c>
      <c r="V6" s="56">
        <f>Q6-J6</f>
        <v>0.17549999999999999</v>
      </c>
    </row>
    <row r="7" spans="1:25">
      <c r="A7" s="144">
        <v>2</v>
      </c>
      <c r="B7" s="142" t="s">
        <v>20</v>
      </c>
      <c r="C7" s="143" t="s">
        <v>21</v>
      </c>
      <c r="D7" s="31">
        <v>988821627.48000002</v>
      </c>
      <c r="E7" s="28">
        <f t="shared" si="0"/>
        <v>1.6029601061153698E-2</v>
      </c>
      <c r="F7" s="31">
        <v>383.02120000000002</v>
      </c>
      <c r="G7" s="31">
        <v>387.5992</v>
      </c>
      <c r="H7" s="30">
        <v>528</v>
      </c>
      <c r="I7" s="48">
        <v>6.6610000000000003E-3</v>
      </c>
      <c r="J7" s="48">
        <v>0.4874</v>
      </c>
      <c r="K7" s="31">
        <v>1078541603.7</v>
      </c>
      <c r="L7" s="28">
        <f t="shared" si="1"/>
        <v>1.6042646194739284E-2</v>
      </c>
      <c r="M7" s="31">
        <v>409.6275</v>
      </c>
      <c r="N7" s="31">
        <v>414.76569999999998</v>
      </c>
      <c r="O7" s="30">
        <v>541</v>
      </c>
      <c r="P7" s="48">
        <v>4.0460000000000001E-3</v>
      </c>
      <c r="Q7" s="48">
        <v>0.5907</v>
      </c>
      <c r="R7" s="54">
        <f t="shared" ref="R7:R25" si="2">((K7-D7)/D7)</f>
        <v>9.0734237325138509E-2</v>
      </c>
      <c r="S7" s="54">
        <f t="shared" ref="S7:S25" si="3">((N7-G7)/G7)</f>
        <v>7.0089153950782107E-2</v>
      </c>
      <c r="T7" s="54">
        <f t="shared" ref="T7:T25" si="4">((O7-H7)/H7)</f>
        <v>2.462121212121212E-2</v>
      </c>
      <c r="U7" s="55">
        <f t="shared" ref="U7:U25" si="5">P7-I7</f>
        <v>-2.6150000000000001E-3</v>
      </c>
      <c r="V7" s="56">
        <f t="shared" ref="V7:V25" si="6">Q7-J7</f>
        <v>0.1033</v>
      </c>
    </row>
    <row r="8" spans="1:25">
      <c r="A8" s="144">
        <v>3</v>
      </c>
      <c r="B8" s="142" t="s">
        <v>22</v>
      </c>
      <c r="C8" s="143" t="s">
        <v>23</v>
      </c>
      <c r="D8" s="31">
        <v>5470360728.0600004</v>
      </c>
      <c r="E8" s="28">
        <f t="shared" si="0"/>
        <v>8.8678986881461266E-2</v>
      </c>
      <c r="F8" s="31">
        <v>46.185200000000002</v>
      </c>
      <c r="G8" s="31">
        <v>47.5777</v>
      </c>
      <c r="H8" s="32">
        <v>6915</v>
      </c>
      <c r="I8" s="49">
        <v>1.3758999999999999</v>
      </c>
      <c r="J8" s="49">
        <v>0.53620000000000001</v>
      </c>
      <c r="K8" s="31">
        <v>5702271210.6499996</v>
      </c>
      <c r="L8" s="28">
        <f t="shared" si="1"/>
        <v>8.4817793977608053E-2</v>
      </c>
      <c r="M8" s="31">
        <v>47.6233</v>
      </c>
      <c r="N8" s="31">
        <v>49.059199999999997</v>
      </c>
      <c r="O8" s="32">
        <v>7034</v>
      </c>
      <c r="P8" s="49">
        <v>0.58809999999999996</v>
      </c>
      <c r="Q8" s="49">
        <v>0.53620000000000001</v>
      </c>
      <c r="R8" s="54">
        <f t="shared" si="2"/>
        <v>4.2394001806941813E-2</v>
      </c>
      <c r="S8" s="54">
        <f t="shared" si="3"/>
        <v>3.1138537592191234E-2</v>
      </c>
      <c r="T8" s="54">
        <f t="shared" si="4"/>
        <v>1.7208966015907448E-2</v>
      </c>
      <c r="U8" s="55">
        <f t="shared" si="5"/>
        <v>-0.78779999999999994</v>
      </c>
      <c r="V8" s="56">
        <f t="shared" si="6"/>
        <v>0</v>
      </c>
      <c r="X8" s="57"/>
      <c r="Y8" s="57"/>
    </row>
    <row r="9" spans="1:25">
      <c r="A9" s="144">
        <v>4</v>
      </c>
      <c r="B9" s="142" t="s">
        <v>24</v>
      </c>
      <c r="C9" s="143" t="s">
        <v>25</v>
      </c>
      <c r="D9" s="31">
        <v>997676632.49000001</v>
      </c>
      <c r="E9" s="28">
        <f t="shared" si="0"/>
        <v>1.6173147878658645E-2</v>
      </c>
      <c r="F9" s="31">
        <v>288.97820000000002</v>
      </c>
      <c r="G9" s="31">
        <v>288.97820000000002</v>
      </c>
      <c r="H9" s="30">
        <v>2042</v>
      </c>
      <c r="I9" s="48">
        <v>0.02</v>
      </c>
      <c r="J9" s="48">
        <v>0.31969999999999998</v>
      </c>
      <c r="K9" s="31">
        <v>1151420682.6700001</v>
      </c>
      <c r="L9" s="28">
        <f t="shared" si="1"/>
        <v>1.7126677886148554E-2</v>
      </c>
      <c r="M9" s="31">
        <v>297.7405</v>
      </c>
      <c r="N9" s="31">
        <v>297.7405</v>
      </c>
      <c r="O9" s="30">
        <v>2078</v>
      </c>
      <c r="P9" s="48">
        <v>0.03</v>
      </c>
      <c r="Q9" s="48">
        <v>0.35970000000000002</v>
      </c>
      <c r="R9" s="54">
        <f t="shared" si="2"/>
        <v>0.15410208595974215</v>
      </c>
      <c r="S9" s="54">
        <f t="shared" si="3"/>
        <v>3.0321664402366621E-2</v>
      </c>
      <c r="T9" s="54">
        <f t="shared" si="4"/>
        <v>1.762977473065622E-2</v>
      </c>
      <c r="U9" s="55">
        <f t="shared" si="5"/>
        <v>9.9999999999999985E-3</v>
      </c>
      <c r="V9" s="56">
        <f t="shared" si="6"/>
        <v>4.0000000000000036E-2</v>
      </c>
    </row>
    <row r="10" spans="1:25">
      <c r="A10" s="144">
        <v>5</v>
      </c>
      <c r="B10" s="142" t="s">
        <v>26</v>
      </c>
      <c r="C10" s="143" t="s">
        <v>27</v>
      </c>
      <c r="D10" s="31">
        <v>1397774556.8299999</v>
      </c>
      <c r="E10" s="28">
        <f t="shared" si="0"/>
        <v>2.2659059932291972E-2</v>
      </c>
      <c r="F10" s="31">
        <v>1.63</v>
      </c>
      <c r="G10" s="31">
        <v>1.6497999999999999</v>
      </c>
      <c r="H10" s="30">
        <v>594</v>
      </c>
      <c r="I10" s="48">
        <v>3.27E-2</v>
      </c>
      <c r="J10" s="48">
        <v>0.3155</v>
      </c>
      <c r="K10" s="31">
        <v>1587975302.54</v>
      </c>
      <c r="L10" s="28">
        <f t="shared" si="1"/>
        <v>2.3620160647710484E-2</v>
      </c>
      <c r="M10" s="31">
        <v>1.6303000000000001</v>
      </c>
      <c r="N10" s="31">
        <v>1.6495</v>
      </c>
      <c r="O10" s="30">
        <v>643</v>
      </c>
      <c r="P10" s="48">
        <v>5.0599999999999999E-2</v>
      </c>
      <c r="Q10" s="48">
        <v>0.3821</v>
      </c>
      <c r="R10" s="54">
        <f t="shared" si="2"/>
        <v>0.13607397901229121</v>
      </c>
      <c r="S10" s="54">
        <f t="shared" si="3"/>
        <v>-1.8184022305732026E-4</v>
      </c>
      <c r="T10" s="54">
        <f t="shared" si="4"/>
        <v>8.2491582491582491E-2</v>
      </c>
      <c r="U10" s="55">
        <f t="shared" si="5"/>
        <v>1.7899999999999999E-2</v>
      </c>
      <c r="V10" s="56">
        <f t="shared" si="6"/>
        <v>6.6599999999999993E-2</v>
      </c>
    </row>
    <row r="11" spans="1:25">
      <c r="A11" s="144">
        <v>6</v>
      </c>
      <c r="B11" s="142" t="s">
        <v>28</v>
      </c>
      <c r="C11" s="143" t="s">
        <v>29</v>
      </c>
      <c r="D11" s="33">
        <v>191251027.25</v>
      </c>
      <c r="E11" s="28">
        <f t="shared" si="0"/>
        <v>3.1003343617859343E-3</v>
      </c>
      <c r="F11" s="31">
        <v>198.32689999999999</v>
      </c>
      <c r="G11" s="31">
        <v>199.71770000000001</v>
      </c>
      <c r="H11" s="32">
        <v>80</v>
      </c>
      <c r="I11" s="49">
        <v>5.5859999999999998E-3</v>
      </c>
      <c r="J11" s="49">
        <v>0.16639999999999999</v>
      </c>
      <c r="K11" s="33">
        <v>200138740.91</v>
      </c>
      <c r="L11" s="28">
        <f t="shared" si="1"/>
        <v>2.9769412688996329E-3</v>
      </c>
      <c r="M11" s="31">
        <v>207.64760000000001</v>
      </c>
      <c r="N11" s="31">
        <v>209.1155</v>
      </c>
      <c r="O11" s="32">
        <v>83</v>
      </c>
      <c r="P11" s="49">
        <v>6.4859999999999996E-3</v>
      </c>
      <c r="Q11" s="49">
        <v>0.20810000000000001</v>
      </c>
      <c r="R11" s="54">
        <f t="shared" si="2"/>
        <v>4.6471455802337379E-2</v>
      </c>
      <c r="S11" s="54">
        <f t="shared" si="3"/>
        <v>4.7055418723528204E-2</v>
      </c>
      <c r="T11" s="54">
        <f t="shared" si="4"/>
        <v>3.7499999999999999E-2</v>
      </c>
      <c r="U11" s="55">
        <f t="shared" si="5"/>
        <v>8.9999999999999976E-4</v>
      </c>
      <c r="V11" s="56">
        <f t="shared" si="6"/>
        <v>4.1700000000000015E-2</v>
      </c>
    </row>
    <row r="12" spans="1:25">
      <c r="A12" s="144">
        <v>7</v>
      </c>
      <c r="B12" s="142" t="s">
        <v>30</v>
      </c>
      <c r="C12" s="143" t="s">
        <v>31</v>
      </c>
      <c r="D12" s="31">
        <v>2119610850.6300001</v>
      </c>
      <c r="E12" s="28">
        <f t="shared" si="0"/>
        <v>3.4360612062137322E-2</v>
      </c>
      <c r="F12" s="31">
        <v>469.34</v>
      </c>
      <c r="G12" s="31">
        <v>476.09</v>
      </c>
      <c r="H12" s="32">
        <v>1707</v>
      </c>
      <c r="I12" s="49">
        <v>4.1399999999999999E-2</v>
      </c>
      <c r="J12" s="49">
        <v>0.44940000000000002</v>
      </c>
      <c r="K12" s="31">
        <v>2241741502.5799999</v>
      </c>
      <c r="L12" s="28">
        <f t="shared" si="1"/>
        <v>3.3344532712117354E-2</v>
      </c>
      <c r="M12" s="31">
        <v>489.87</v>
      </c>
      <c r="N12" s="31">
        <v>496.93</v>
      </c>
      <c r="O12" s="32">
        <v>1711</v>
      </c>
      <c r="P12" s="49">
        <v>4.3799999999999999E-2</v>
      </c>
      <c r="Q12" s="49">
        <v>0.51280000000000003</v>
      </c>
      <c r="R12" s="54">
        <f t="shared" si="2"/>
        <v>5.7619374761032002E-2</v>
      </c>
      <c r="S12" s="54">
        <f t="shared" si="3"/>
        <v>4.3773236152828313E-2</v>
      </c>
      <c r="T12" s="54">
        <f t="shared" si="4"/>
        <v>2.3432923257176333E-3</v>
      </c>
      <c r="U12" s="55">
        <f t="shared" si="5"/>
        <v>2.3999999999999994E-3</v>
      </c>
      <c r="V12" s="56">
        <f t="shared" si="6"/>
        <v>6.3400000000000012E-2</v>
      </c>
    </row>
    <row r="13" spans="1:25">
      <c r="A13" s="144">
        <v>8</v>
      </c>
      <c r="B13" s="142" t="s">
        <v>32</v>
      </c>
      <c r="C13" s="143" t="s">
        <v>33</v>
      </c>
      <c r="D13" s="27">
        <v>500621725.83999997</v>
      </c>
      <c r="E13" s="28">
        <f t="shared" si="0"/>
        <v>8.1154844561930548E-3</v>
      </c>
      <c r="F13" s="31">
        <v>249.48</v>
      </c>
      <c r="G13" s="31">
        <v>261.83999999999997</v>
      </c>
      <c r="H13" s="30">
        <v>2469</v>
      </c>
      <c r="I13" s="48">
        <v>2.8899999999999999E-2</v>
      </c>
      <c r="J13" s="48">
        <v>0.17799999999999999</v>
      </c>
      <c r="K13" s="27">
        <v>512986299.94999999</v>
      </c>
      <c r="L13" s="28">
        <f t="shared" si="1"/>
        <v>7.6303572199847751E-3</v>
      </c>
      <c r="M13" s="31">
        <v>255.65</v>
      </c>
      <c r="N13" s="31">
        <v>268.45</v>
      </c>
      <c r="O13" s="30">
        <v>2469</v>
      </c>
      <c r="P13" s="48">
        <v>2.4729999999999999E-2</v>
      </c>
      <c r="Q13" s="48">
        <v>0.20710000000000001</v>
      </c>
      <c r="R13" s="54">
        <f t="shared" si="2"/>
        <v>2.4698436907134479E-2</v>
      </c>
      <c r="S13" s="54">
        <f t="shared" si="3"/>
        <v>2.5244424075771519E-2</v>
      </c>
      <c r="T13" s="54">
        <f t="shared" si="4"/>
        <v>0</v>
      </c>
      <c r="U13" s="55">
        <f t="shared" si="5"/>
        <v>-4.1700000000000001E-3</v>
      </c>
      <c r="V13" s="56">
        <f t="shared" si="6"/>
        <v>2.9100000000000015E-2</v>
      </c>
    </row>
    <row r="14" spans="1:25">
      <c r="A14" s="144">
        <v>9</v>
      </c>
      <c r="B14" s="142" t="s">
        <v>34</v>
      </c>
      <c r="C14" s="143" t="s">
        <v>35</v>
      </c>
      <c r="D14" s="33">
        <v>86940763.276500002</v>
      </c>
      <c r="E14" s="28">
        <f t="shared" si="0"/>
        <v>1.4093803296213649E-3</v>
      </c>
      <c r="F14" s="31">
        <v>312.54000000000002</v>
      </c>
      <c r="G14" s="31">
        <v>322.97000000000003</v>
      </c>
      <c r="H14" s="30">
        <v>18</v>
      </c>
      <c r="I14" s="48">
        <v>2.64E-2</v>
      </c>
      <c r="J14" s="48">
        <v>0.41589999999999999</v>
      </c>
      <c r="K14" s="33">
        <v>86940763.276500002</v>
      </c>
      <c r="L14" s="28">
        <f t="shared" si="1"/>
        <v>1.2931906385072827E-3</v>
      </c>
      <c r="M14" s="31">
        <v>312.54000000000002</v>
      </c>
      <c r="N14" s="31">
        <v>322.97000000000003</v>
      </c>
      <c r="O14" s="30">
        <v>18</v>
      </c>
      <c r="P14" s="48">
        <v>2.64E-2</v>
      </c>
      <c r="Q14" s="48">
        <v>0.41589999999999999</v>
      </c>
      <c r="R14" s="54">
        <f t="shared" si="2"/>
        <v>0</v>
      </c>
      <c r="S14" s="54">
        <f t="shared" si="3"/>
        <v>0</v>
      </c>
      <c r="T14" s="54">
        <f t="shared" si="4"/>
        <v>0</v>
      </c>
      <c r="U14" s="55">
        <f t="shared" si="5"/>
        <v>0</v>
      </c>
      <c r="V14" s="56">
        <f t="shared" si="6"/>
        <v>0</v>
      </c>
    </row>
    <row r="15" spans="1:25" ht="14.25" customHeight="1">
      <c r="A15" s="144">
        <v>10</v>
      </c>
      <c r="B15" s="142" t="s">
        <v>36</v>
      </c>
      <c r="C15" s="143" t="s">
        <v>37</v>
      </c>
      <c r="D15" s="27">
        <v>1564382582.5699999</v>
      </c>
      <c r="E15" s="28">
        <f t="shared" si="0"/>
        <v>2.5359911240535271E-2</v>
      </c>
      <c r="F15" s="31">
        <v>3.6558160000000002</v>
      </c>
      <c r="G15" s="31">
        <v>3.6788029999999998</v>
      </c>
      <c r="H15" s="30">
        <v>810</v>
      </c>
      <c r="I15" s="48">
        <v>6.7804937035477186E-2</v>
      </c>
      <c r="J15" s="48">
        <v>0.74529698515324894</v>
      </c>
      <c r="K15" s="27">
        <v>1766305891.54</v>
      </c>
      <c r="L15" s="28">
        <f t="shared" si="1"/>
        <v>2.6272719005414998E-2</v>
      </c>
      <c r="M15" s="31">
        <v>3.7030219999999998</v>
      </c>
      <c r="N15" s="31">
        <v>3.7252079999999999</v>
      </c>
      <c r="O15" s="30">
        <v>894</v>
      </c>
      <c r="P15" s="48">
        <v>1.2912575468787102E-2</v>
      </c>
      <c r="Q15" s="48">
        <v>0.76783326418948694</v>
      </c>
      <c r="R15" s="54">
        <f t="shared" si="2"/>
        <v>0.12907540087685984</v>
      </c>
      <c r="S15" s="54">
        <f t="shared" si="3"/>
        <v>1.261415737673369E-2</v>
      </c>
      <c r="T15" s="54">
        <f t="shared" si="4"/>
        <v>0.1037037037037037</v>
      </c>
      <c r="U15" s="55">
        <f t="shared" si="5"/>
        <v>-5.4892361566690084E-2</v>
      </c>
      <c r="V15" s="56">
        <f t="shared" si="6"/>
        <v>2.2536279036238005E-2</v>
      </c>
    </row>
    <row r="16" spans="1:25" ht="14.25" customHeight="1">
      <c r="A16" s="144">
        <v>11</v>
      </c>
      <c r="B16" s="142" t="s">
        <v>38</v>
      </c>
      <c r="C16" s="143" t="s">
        <v>39</v>
      </c>
      <c r="D16" s="27">
        <v>51864966.380000003</v>
      </c>
      <c r="E16" s="28">
        <f t="shared" si="0"/>
        <v>8.407731961125257E-4</v>
      </c>
      <c r="F16" s="31">
        <v>21.26</v>
      </c>
      <c r="G16" s="31">
        <v>21.9</v>
      </c>
      <c r="H16" s="30">
        <v>38</v>
      </c>
      <c r="I16" s="48">
        <v>4.5199999999999997E-2</v>
      </c>
      <c r="J16" s="48">
        <v>1.1299999999999999</v>
      </c>
      <c r="K16" s="27">
        <v>56792817</v>
      </c>
      <c r="L16" s="28">
        <f t="shared" si="1"/>
        <v>8.447583907824867E-4</v>
      </c>
      <c r="M16" s="31">
        <v>22.57</v>
      </c>
      <c r="N16" s="31">
        <v>23.21</v>
      </c>
      <c r="O16" s="30">
        <v>43</v>
      </c>
      <c r="P16" s="48">
        <v>5.8900000000000001E-2</v>
      </c>
      <c r="Q16" s="48">
        <v>1.26</v>
      </c>
      <c r="R16" s="54">
        <f t="shared" ref="R16" si="7">((K16-D16)/D16)</f>
        <v>9.5013088100646279E-2</v>
      </c>
      <c r="S16" s="54">
        <f t="shared" ref="S16" si="8">((N16-G16)/G16)</f>
        <v>5.9817351598173626E-2</v>
      </c>
      <c r="T16" s="54">
        <f t="shared" ref="T16" si="9">((O16-H16)/H16)</f>
        <v>0.13157894736842105</v>
      </c>
      <c r="U16" s="55">
        <f t="shared" ref="U16" si="10">P16-I16</f>
        <v>1.3700000000000004E-2</v>
      </c>
      <c r="V16" s="56">
        <f t="shared" ref="V16" si="11">Q16-J16</f>
        <v>0.13000000000000012</v>
      </c>
    </row>
    <row r="17" spans="1:22">
      <c r="A17" s="144">
        <v>12</v>
      </c>
      <c r="B17" s="142" t="s">
        <v>40</v>
      </c>
      <c r="C17" s="143" t="s">
        <v>41</v>
      </c>
      <c r="D17" s="126">
        <v>2532592021.96</v>
      </c>
      <c r="E17" s="28">
        <f t="shared" si="0"/>
        <v>4.1055372004897325E-2</v>
      </c>
      <c r="F17" s="31">
        <v>5.16</v>
      </c>
      <c r="G17" s="31">
        <v>5.27</v>
      </c>
      <c r="H17" s="30">
        <v>3641</v>
      </c>
      <c r="I17" s="48">
        <v>2.3E-2</v>
      </c>
      <c r="J17" s="48">
        <v>0.4178</v>
      </c>
      <c r="K17" s="126">
        <v>2713517088.75</v>
      </c>
      <c r="L17" s="28">
        <f t="shared" si="1"/>
        <v>4.0361905789128724E-2</v>
      </c>
      <c r="M17" s="31">
        <v>5.52</v>
      </c>
      <c r="N17" s="31">
        <v>5.64</v>
      </c>
      <c r="O17" s="30">
        <v>3645</v>
      </c>
      <c r="P17" s="48">
        <v>5.9400000000000001E-2</v>
      </c>
      <c r="Q17" s="48">
        <v>0.51829999999999998</v>
      </c>
      <c r="R17" s="54">
        <f t="shared" si="2"/>
        <v>7.1438694120966276E-2</v>
      </c>
      <c r="S17" s="54">
        <f t="shared" si="3"/>
        <v>7.0208728652751448E-2</v>
      </c>
      <c r="T17" s="54">
        <f t="shared" si="4"/>
        <v>1.0985992859104642E-3</v>
      </c>
      <c r="U17" s="55">
        <f t="shared" si="5"/>
        <v>3.6400000000000002E-2</v>
      </c>
      <c r="V17" s="56">
        <f t="shared" si="6"/>
        <v>0.10049999999999998</v>
      </c>
    </row>
    <row r="18" spans="1:22">
      <c r="A18" s="144">
        <v>13</v>
      </c>
      <c r="B18" s="142" t="s">
        <v>42</v>
      </c>
      <c r="C18" s="143" t="s">
        <v>43</v>
      </c>
      <c r="D18" s="31">
        <v>1433883967.9300001</v>
      </c>
      <c r="E18" s="28">
        <f t="shared" si="0"/>
        <v>2.3244422790870734E-2</v>
      </c>
      <c r="F18" s="31">
        <v>31.392177</v>
      </c>
      <c r="G18" s="31">
        <v>31.553218000000001</v>
      </c>
      <c r="H18" s="30">
        <v>568</v>
      </c>
      <c r="I18" s="48">
        <v>5.4999999999999997E-3</v>
      </c>
      <c r="J18" s="48">
        <v>0.33750000000000002</v>
      </c>
      <c r="K18" s="31">
        <v>1633634391.78</v>
      </c>
      <c r="L18" s="28">
        <f t="shared" si="1"/>
        <v>2.4299311652862709E-2</v>
      </c>
      <c r="M18" s="31">
        <v>33.006739000000003</v>
      </c>
      <c r="N18" s="31">
        <v>33.100904</v>
      </c>
      <c r="O18" s="30">
        <v>606</v>
      </c>
      <c r="P18" s="48">
        <v>5.1400000000000001E-2</v>
      </c>
      <c r="Q18" s="48">
        <v>0.40400000000000003</v>
      </c>
      <c r="R18" s="54">
        <f t="shared" si="2"/>
        <v>0.13930724404316056</v>
      </c>
      <c r="S18" s="54">
        <f t="shared" si="3"/>
        <v>4.9050020825134183E-2</v>
      </c>
      <c r="T18" s="54">
        <f t="shared" si="4"/>
        <v>6.6901408450704219E-2</v>
      </c>
      <c r="U18" s="55">
        <f t="shared" si="5"/>
        <v>4.5900000000000003E-2</v>
      </c>
      <c r="V18" s="56">
        <f t="shared" si="6"/>
        <v>6.6500000000000004E-2</v>
      </c>
    </row>
    <row r="19" spans="1:22">
      <c r="A19" s="144">
        <v>14</v>
      </c>
      <c r="B19" s="142" t="s">
        <v>44</v>
      </c>
      <c r="C19" s="143" t="s">
        <v>45</v>
      </c>
      <c r="D19" s="31">
        <v>170271717.34999999</v>
      </c>
      <c r="E19" s="28">
        <f t="shared" si="0"/>
        <v>2.7602427225159243E-3</v>
      </c>
      <c r="F19" s="31">
        <v>1.852735</v>
      </c>
      <c r="G19" s="31">
        <v>1.9216089999999999</v>
      </c>
      <c r="H19" s="30">
        <v>22</v>
      </c>
      <c r="I19" s="48">
        <v>2.4500000000000001E-2</v>
      </c>
      <c r="J19" s="48">
        <v>0.32850000000000001</v>
      </c>
      <c r="K19" s="31">
        <v>179914826.75999999</v>
      </c>
      <c r="L19" s="28">
        <f t="shared" si="1"/>
        <v>2.6761229246946403E-3</v>
      </c>
      <c r="M19" s="31">
        <v>1.957662</v>
      </c>
      <c r="N19" s="31">
        <v>2.0256470000000002</v>
      </c>
      <c r="O19" s="30">
        <v>22</v>
      </c>
      <c r="P19" s="48">
        <v>7.1800000000000003E-2</v>
      </c>
      <c r="Q19" s="48">
        <v>0.40200000000000002</v>
      </c>
      <c r="R19" s="54">
        <f t="shared" si="2"/>
        <v>5.6633653316470745E-2</v>
      </c>
      <c r="S19" s="54">
        <f t="shared" si="3"/>
        <v>5.414108697450954E-2</v>
      </c>
      <c r="T19" s="54">
        <f t="shared" si="4"/>
        <v>0</v>
      </c>
      <c r="U19" s="55">
        <f t="shared" si="5"/>
        <v>4.7300000000000002E-2</v>
      </c>
      <c r="V19" s="56">
        <f t="shared" si="6"/>
        <v>7.350000000000001E-2</v>
      </c>
    </row>
    <row r="20" spans="1:22">
      <c r="A20" s="144">
        <v>15</v>
      </c>
      <c r="B20" s="142" t="s">
        <v>46</v>
      </c>
      <c r="C20" s="143" t="s">
        <v>47</v>
      </c>
      <c r="D20" s="27">
        <v>7512178982.6199999</v>
      </c>
      <c r="E20" s="28">
        <f t="shared" si="0"/>
        <v>0.12177851782860365</v>
      </c>
      <c r="F20" s="31">
        <v>48.77</v>
      </c>
      <c r="G20" s="31">
        <v>49.11</v>
      </c>
      <c r="H20" s="30">
        <v>8944</v>
      </c>
      <c r="I20" s="48">
        <v>2.76E-2</v>
      </c>
      <c r="J20" s="48">
        <v>0.60150000000000003</v>
      </c>
      <c r="K20" s="27">
        <v>8822251257.2199993</v>
      </c>
      <c r="L20" s="28">
        <f t="shared" si="1"/>
        <v>0.13122558747399229</v>
      </c>
      <c r="M20" s="31">
        <v>50.94</v>
      </c>
      <c r="N20" s="31">
        <v>51</v>
      </c>
      <c r="O20" s="30">
        <v>8944</v>
      </c>
      <c r="P20" s="48">
        <v>4.4499999999999998E-2</v>
      </c>
      <c r="Q20" s="48">
        <v>0.67279999999999995</v>
      </c>
      <c r="R20" s="54">
        <f t="shared" si="2"/>
        <v>0.17439311252180648</v>
      </c>
      <c r="S20" s="54">
        <f t="shared" si="3"/>
        <v>3.8485033598045219E-2</v>
      </c>
      <c r="T20" s="54">
        <f t="shared" si="4"/>
        <v>0</v>
      </c>
      <c r="U20" s="55">
        <f t="shared" si="5"/>
        <v>1.6899999999999998E-2</v>
      </c>
      <c r="V20" s="56">
        <f t="shared" si="6"/>
        <v>7.1299999999999919E-2</v>
      </c>
    </row>
    <row r="21" spans="1:22" ht="12.75" customHeight="1">
      <c r="A21" s="144">
        <v>16</v>
      </c>
      <c r="B21" s="142" t="s">
        <v>48</v>
      </c>
      <c r="C21" s="143" t="s">
        <v>49</v>
      </c>
      <c r="D21" s="31">
        <v>1515994430.1900001</v>
      </c>
      <c r="E21" s="28">
        <f t="shared" si="0"/>
        <v>2.4575500020976464E-2</v>
      </c>
      <c r="F21" s="31">
        <v>11860.24</v>
      </c>
      <c r="G21" s="31">
        <v>12014.02</v>
      </c>
      <c r="H21" s="30">
        <v>24</v>
      </c>
      <c r="I21" s="48">
        <v>4.8000000000000001E-2</v>
      </c>
      <c r="J21" s="48">
        <v>0.48120000000000002</v>
      </c>
      <c r="K21" s="31">
        <v>1632095958.78</v>
      </c>
      <c r="L21" s="28">
        <f t="shared" si="1"/>
        <v>2.4276428403641127E-2</v>
      </c>
      <c r="M21" s="31">
        <v>12632.19</v>
      </c>
      <c r="N21" s="31">
        <v>12797.89</v>
      </c>
      <c r="O21" s="30">
        <v>24</v>
      </c>
      <c r="P21" s="48">
        <v>6.5199999999999994E-2</v>
      </c>
      <c r="Q21" s="48">
        <v>0.57789999999999997</v>
      </c>
      <c r="R21" s="54">
        <f t="shared" si="2"/>
        <v>7.6584403133624232E-2</v>
      </c>
      <c r="S21" s="54">
        <f t="shared" si="3"/>
        <v>6.5246270607173862E-2</v>
      </c>
      <c r="T21" s="54">
        <f t="shared" si="4"/>
        <v>0</v>
      </c>
      <c r="U21" s="55">
        <f t="shared" si="5"/>
        <v>1.7199999999999993E-2</v>
      </c>
      <c r="V21" s="56">
        <f t="shared" si="6"/>
        <v>9.6699999999999953E-2</v>
      </c>
    </row>
    <row r="22" spans="1:22">
      <c r="A22" s="144">
        <v>17</v>
      </c>
      <c r="B22" s="142" t="s">
        <v>50</v>
      </c>
      <c r="C22" s="143" t="s">
        <v>49</v>
      </c>
      <c r="D22" s="31">
        <v>20712434171.73</v>
      </c>
      <c r="E22" s="28">
        <f t="shared" si="0"/>
        <v>0.33576536713134808</v>
      </c>
      <c r="F22" s="31">
        <v>38911.980000000003</v>
      </c>
      <c r="G22" s="31">
        <v>39481.58</v>
      </c>
      <c r="H22" s="30">
        <v>18162</v>
      </c>
      <c r="I22" s="48">
        <v>7.8299999999999995E-2</v>
      </c>
      <c r="J22" s="48">
        <v>0.53620000000000001</v>
      </c>
      <c r="K22" s="31">
        <v>22550953829.450001</v>
      </c>
      <c r="L22" s="28">
        <f t="shared" si="1"/>
        <v>0.33543163508822499</v>
      </c>
      <c r="M22" s="31">
        <v>41340.15</v>
      </c>
      <c r="N22" s="31">
        <v>41942.410000000003</v>
      </c>
      <c r="O22" s="30">
        <v>18290</v>
      </c>
      <c r="P22" s="48">
        <v>6.2300000000000001E-2</v>
      </c>
      <c r="Q22" s="48">
        <v>0.63190000000000002</v>
      </c>
      <c r="R22" s="54">
        <f t="shared" si="2"/>
        <v>8.8764055565683397E-2</v>
      </c>
      <c r="S22" s="54">
        <f t="shared" si="3"/>
        <v>6.2328559292713248E-2</v>
      </c>
      <c r="T22" s="54">
        <f t="shared" si="4"/>
        <v>7.0476819733509529E-3</v>
      </c>
      <c r="U22" s="55">
        <f t="shared" si="5"/>
        <v>-1.5999999999999993E-2</v>
      </c>
      <c r="V22" s="56">
        <f t="shared" si="6"/>
        <v>9.5700000000000007E-2</v>
      </c>
    </row>
    <row r="23" spans="1:22">
      <c r="A23" s="144">
        <v>18</v>
      </c>
      <c r="B23" s="143" t="s">
        <v>51</v>
      </c>
      <c r="C23" s="143" t="s">
        <v>52</v>
      </c>
      <c r="D23" s="31">
        <v>5557948205.6999998</v>
      </c>
      <c r="E23" s="28">
        <f t="shared" ref="E23" si="12">(D23/$D$25)</f>
        <v>9.0098850975756983E-2</v>
      </c>
      <c r="F23" s="31">
        <v>1.7884</v>
      </c>
      <c r="G23" s="29">
        <v>1.8064</v>
      </c>
      <c r="H23" s="30">
        <v>5234</v>
      </c>
      <c r="I23" s="48">
        <v>5.33E-2</v>
      </c>
      <c r="J23" s="48">
        <v>0.3841</v>
      </c>
      <c r="K23" s="31">
        <v>5728238479.4899998</v>
      </c>
      <c r="L23" s="28">
        <f t="shared" ref="L23" si="13">(K23/$K$25)</f>
        <v>8.5204041207399356E-2</v>
      </c>
      <c r="M23" s="31">
        <v>1.8458000000000001</v>
      </c>
      <c r="N23" s="29">
        <v>1.8646</v>
      </c>
      <c r="O23" s="30">
        <v>5452</v>
      </c>
      <c r="P23" s="48">
        <v>3.2099999999999997E-2</v>
      </c>
      <c r="Q23" s="48">
        <v>0.42259999999999998</v>
      </c>
      <c r="R23" s="54">
        <f t="shared" ref="R23" si="14">((K23-D23)/D23)</f>
        <v>3.0639053745653361E-2</v>
      </c>
      <c r="S23" s="54">
        <f t="shared" ref="S23" si="15">((N23-G23)/G23)</f>
        <v>3.2218777679362286E-2</v>
      </c>
      <c r="T23" s="54">
        <f t="shared" ref="T23" si="16">((O23-H23)/H23)</f>
        <v>4.1650745128009169E-2</v>
      </c>
      <c r="U23" s="55">
        <f t="shared" ref="U23" si="17">P23-I23</f>
        <v>-2.1200000000000004E-2</v>
      </c>
      <c r="V23" s="56">
        <f t="shared" ref="V23" si="18">Q23-J23</f>
        <v>3.8499999999999979E-2</v>
      </c>
    </row>
    <row r="24" spans="1:22">
      <c r="A24" s="144">
        <v>19</v>
      </c>
      <c r="B24" s="143" t="s">
        <v>292</v>
      </c>
      <c r="C24" s="143" t="s">
        <v>293</v>
      </c>
      <c r="D24" s="31">
        <v>6061845685.1000004</v>
      </c>
      <c r="E24" s="28">
        <f>(D24/$D$25)</f>
        <v>9.8267438055600453E-2</v>
      </c>
      <c r="F24" s="31">
        <v>206.34</v>
      </c>
      <c r="G24" s="29">
        <v>209.66</v>
      </c>
      <c r="H24" s="30">
        <v>47</v>
      </c>
      <c r="I24" s="48">
        <v>3.3099999999999997E-2</v>
      </c>
      <c r="J24" s="48">
        <v>0.6946</v>
      </c>
      <c r="K24" s="31">
        <v>6446295849.0500002</v>
      </c>
      <c r="L24" s="28">
        <f>(K24/$K$25)</f>
        <v>9.588470506668656E-2</v>
      </c>
      <c r="M24" s="31">
        <v>216.81</v>
      </c>
      <c r="N24" s="29">
        <v>220.62</v>
      </c>
      <c r="O24" s="30">
        <v>47</v>
      </c>
      <c r="P24" s="48">
        <v>5.1700000000000003E-2</v>
      </c>
      <c r="Q24" s="48">
        <v>0.78210000000000002</v>
      </c>
      <c r="R24" s="54">
        <f t="shared" si="2"/>
        <v>6.3421304982239524E-2</v>
      </c>
      <c r="S24" s="54">
        <f t="shared" si="3"/>
        <v>5.2275112086234893E-2</v>
      </c>
      <c r="T24" s="54">
        <f t="shared" si="4"/>
        <v>0</v>
      </c>
      <c r="U24" s="55">
        <f t="shared" si="5"/>
        <v>1.8600000000000005E-2</v>
      </c>
      <c r="V24" s="56">
        <f t="shared" si="6"/>
        <v>8.7500000000000022E-2</v>
      </c>
    </row>
    <row r="25" spans="1:22">
      <c r="A25" s="34"/>
      <c r="B25" s="35"/>
      <c r="C25" s="36" t="s">
        <v>53</v>
      </c>
      <c r="D25" s="37">
        <f>SUM(D6:D24)</f>
        <v>61687226257.696495</v>
      </c>
      <c r="E25" s="38">
        <f>(D25/$D$222)</f>
        <v>1.0013898088916911E-2</v>
      </c>
      <c r="F25" s="39"/>
      <c r="G25" s="40"/>
      <c r="H25" s="41">
        <f>SUM(H6:H24)</f>
        <v>53532</v>
      </c>
      <c r="I25" s="50"/>
      <c r="J25" s="30">
        <v>0</v>
      </c>
      <c r="K25" s="37">
        <f>SUM(K6:K24)</f>
        <v>67229657165.516502</v>
      </c>
      <c r="L25" s="38">
        <f>(K25/$K$222)</f>
        <v>1.0704833272443011E-2</v>
      </c>
      <c r="M25" s="39"/>
      <c r="N25" s="40"/>
      <c r="O25" s="41">
        <f>SUM(O6:O24)</f>
        <v>54233</v>
      </c>
      <c r="P25" s="50"/>
      <c r="Q25" s="41"/>
      <c r="R25" s="54">
        <f t="shared" si="2"/>
        <v>8.9847302984035496E-2</v>
      </c>
      <c r="S25" s="54" t="e">
        <f t="shared" si="3"/>
        <v>#DIV/0!</v>
      </c>
      <c r="T25" s="54">
        <f t="shared" si="4"/>
        <v>1.3094971232160203E-2</v>
      </c>
      <c r="U25" s="55">
        <f t="shared" si="5"/>
        <v>0</v>
      </c>
      <c r="V25" s="56">
        <f t="shared" si="6"/>
        <v>0</v>
      </c>
    </row>
    <row r="26" spans="1:22" ht="4.5" customHeight="1">
      <c r="A26" s="34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" customHeight="1">
      <c r="A27" s="183" t="s">
        <v>54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</row>
    <row r="28" spans="1:22">
      <c r="A28" s="141">
        <v>20</v>
      </c>
      <c r="B28" s="142" t="s">
        <v>55</v>
      </c>
      <c r="C28" s="143" t="s">
        <v>19</v>
      </c>
      <c r="D28" s="42">
        <v>3838292105.27</v>
      </c>
      <c r="E28" s="28">
        <f t="shared" ref="E28:E33" si="19">(D28/$K$69)</f>
        <v>1.0916259780438253E-3</v>
      </c>
      <c r="F28" s="29">
        <v>100</v>
      </c>
      <c r="G28" s="29">
        <v>100</v>
      </c>
      <c r="H28" s="30">
        <v>851</v>
      </c>
      <c r="I28" s="48">
        <v>0.1699</v>
      </c>
      <c r="J28" s="48">
        <v>0.1699</v>
      </c>
      <c r="K28" s="42">
        <v>3857000684.0599999</v>
      </c>
      <c r="L28" s="28">
        <f t="shared" ref="L28:L33" si="20">(K28/$K$69)</f>
        <v>1.0969467743926502E-3</v>
      </c>
      <c r="M28" s="29">
        <v>100</v>
      </c>
      <c r="N28" s="29">
        <v>100</v>
      </c>
      <c r="O28" s="30">
        <v>851</v>
      </c>
      <c r="P28" s="48">
        <v>0.17730000000000001</v>
      </c>
      <c r="Q28" s="48">
        <v>0.17730000000000001</v>
      </c>
      <c r="R28" s="54">
        <f>((K28-D28)/D28)</f>
        <v>4.8741935936332101E-3</v>
      </c>
      <c r="S28" s="54">
        <f>((N28-G28)/G28)</f>
        <v>0</v>
      </c>
      <c r="T28" s="54">
        <f>((O28-H28)/H28)</f>
        <v>0</v>
      </c>
      <c r="U28" s="55">
        <f>P28-I28</f>
        <v>7.4000000000000177E-3</v>
      </c>
      <c r="V28" s="56">
        <f>Q28-J28</f>
        <v>7.4000000000000177E-3</v>
      </c>
    </row>
    <row r="29" spans="1:22">
      <c r="A29" s="141">
        <v>21</v>
      </c>
      <c r="B29" s="142" t="s">
        <v>56</v>
      </c>
      <c r="C29" s="143" t="s">
        <v>57</v>
      </c>
      <c r="D29" s="42">
        <v>22950558332.240002</v>
      </c>
      <c r="E29" s="28">
        <f t="shared" si="19"/>
        <v>6.5272326855178213E-3</v>
      </c>
      <c r="F29" s="29">
        <v>100</v>
      </c>
      <c r="G29" s="29">
        <v>100</v>
      </c>
      <c r="H29" s="30">
        <v>3080</v>
      </c>
      <c r="I29" s="48">
        <v>0.20249700000000001</v>
      </c>
      <c r="J29" s="48">
        <v>0.20249700000000001</v>
      </c>
      <c r="K29" s="42">
        <v>23467354353.509998</v>
      </c>
      <c r="L29" s="28">
        <f t="shared" si="20"/>
        <v>6.6742115882942512E-3</v>
      </c>
      <c r="M29" s="29">
        <v>100</v>
      </c>
      <c r="N29" s="29">
        <v>100</v>
      </c>
      <c r="O29" s="30">
        <v>3120</v>
      </c>
      <c r="P29" s="48">
        <v>0.202428</v>
      </c>
      <c r="Q29" s="48">
        <v>0.202428</v>
      </c>
      <c r="R29" s="54">
        <f t="shared" ref="R29:R69" si="21">((K29-D29)/D29)</f>
        <v>2.2517797335850555E-2</v>
      </c>
      <c r="S29" s="54">
        <f t="shared" ref="S29:S69" si="22">((N29-G29)/G29)</f>
        <v>0</v>
      </c>
      <c r="T29" s="54">
        <f t="shared" ref="T29:T69" si="23">((O29-H29)/H29)</f>
        <v>1.2987012987012988E-2</v>
      </c>
      <c r="U29" s="55">
        <f t="shared" ref="U29:U69" si="24">P29-I29</f>
        <v>-6.9000000000013495E-5</v>
      </c>
      <c r="V29" s="56">
        <f t="shared" ref="V29:V69" si="25">Q29-J29</f>
        <v>-6.9000000000013495E-5</v>
      </c>
    </row>
    <row r="30" spans="1:22">
      <c r="A30" s="141">
        <v>22</v>
      </c>
      <c r="B30" s="142" t="s">
        <v>58</v>
      </c>
      <c r="C30" s="143" t="s">
        <v>21</v>
      </c>
      <c r="D30" s="42">
        <v>2278514308.9499998</v>
      </c>
      <c r="E30" s="28">
        <f t="shared" si="19"/>
        <v>6.4801879137320871E-4</v>
      </c>
      <c r="F30" s="29">
        <v>100</v>
      </c>
      <c r="G30" s="29">
        <v>100</v>
      </c>
      <c r="H30" s="30">
        <v>2076</v>
      </c>
      <c r="I30" s="48">
        <v>0.1991</v>
      </c>
      <c r="J30" s="48">
        <v>0.1991</v>
      </c>
      <c r="K30" s="42">
        <v>2305056082.5100002</v>
      </c>
      <c r="L30" s="28">
        <f t="shared" si="20"/>
        <v>6.5556738036196026E-4</v>
      </c>
      <c r="M30" s="29">
        <v>100</v>
      </c>
      <c r="N30" s="29">
        <v>100</v>
      </c>
      <c r="O30" s="30">
        <v>2089</v>
      </c>
      <c r="P30" s="48">
        <v>0.19739999999999999</v>
      </c>
      <c r="Q30" s="48">
        <v>0.19739999999999999</v>
      </c>
      <c r="R30" s="54">
        <f t="shared" si="21"/>
        <v>1.164871927981509E-2</v>
      </c>
      <c r="S30" s="54">
        <f t="shared" si="22"/>
        <v>0</v>
      </c>
      <c r="T30" s="54">
        <f t="shared" si="23"/>
        <v>6.262042389210019E-3</v>
      </c>
      <c r="U30" s="55">
        <f t="shared" si="24"/>
        <v>-1.7000000000000071E-3</v>
      </c>
      <c r="V30" s="56">
        <f t="shared" si="25"/>
        <v>-1.7000000000000071E-3</v>
      </c>
    </row>
    <row r="31" spans="1:22">
      <c r="A31" s="141">
        <v>23</v>
      </c>
      <c r="B31" s="142" t="s">
        <v>59</v>
      </c>
      <c r="C31" s="143" t="s">
        <v>23</v>
      </c>
      <c r="D31" s="42">
        <v>240462936397.01001</v>
      </c>
      <c r="E31" s="28">
        <f t="shared" si="19"/>
        <v>6.8388642898561072E-2</v>
      </c>
      <c r="F31" s="29">
        <v>1</v>
      </c>
      <c r="G31" s="29">
        <v>1</v>
      </c>
      <c r="H31" s="30">
        <v>72714</v>
      </c>
      <c r="I31" s="48">
        <v>0.21049999999999999</v>
      </c>
      <c r="J31" s="48">
        <v>0.21049999999999999</v>
      </c>
      <c r="K31" s="42">
        <v>244133711249.92001</v>
      </c>
      <c r="L31" s="28">
        <f t="shared" si="20"/>
        <v>6.9432626284683455E-2</v>
      </c>
      <c r="M31" s="29">
        <v>1</v>
      </c>
      <c r="N31" s="29">
        <v>1</v>
      </c>
      <c r="O31" s="30">
        <v>72938</v>
      </c>
      <c r="P31" s="48">
        <v>0.20860000000000001</v>
      </c>
      <c r="Q31" s="48">
        <v>0.20860000000000001</v>
      </c>
      <c r="R31" s="54">
        <f t="shared" si="21"/>
        <v>1.5265449669338927E-2</v>
      </c>
      <c r="S31" s="54">
        <f t="shared" si="22"/>
        <v>0</v>
      </c>
      <c r="T31" s="54">
        <f t="shared" si="23"/>
        <v>3.0805622026019749E-3</v>
      </c>
      <c r="U31" s="55">
        <f t="shared" si="24"/>
        <v>-1.899999999999985E-3</v>
      </c>
      <c r="V31" s="56">
        <f t="shared" si="25"/>
        <v>-1.899999999999985E-3</v>
      </c>
    </row>
    <row r="32" spans="1:22">
      <c r="A32" s="141">
        <v>24</v>
      </c>
      <c r="B32" s="142" t="s">
        <v>301</v>
      </c>
      <c r="C32" s="143" t="s">
        <v>115</v>
      </c>
      <c r="D32" s="42">
        <v>1016241861.04</v>
      </c>
      <c r="E32" s="28">
        <f t="shared" si="19"/>
        <v>2.8902334295081766E-4</v>
      </c>
      <c r="F32" s="29">
        <v>1</v>
      </c>
      <c r="G32" s="29">
        <v>1</v>
      </c>
      <c r="H32" s="30">
        <v>290</v>
      </c>
      <c r="I32" s="48">
        <v>0.1943</v>
      </c>
      <c r="J32" s="48">
        <v>0.1943</v>
      </c>
      <c r="K32" s="42">
        <v>1133701996</v>
      </c>
      <c r="L32" s="28">
        <f t="shared" si="20"/>
        <v>3.2242948588892794E-4</v>
      </c>
      <c r="M32" s="29">
        <v>1</v>
      </c>
      <c r="N32" s="29">
        <v>1</v>
      </c>
      <c r="O32" s="30">
        <v>300</v>
      </c>
      <c r="P32" s="48">
        <v>0.19289999999999999</v>
      </c>
      <c r="Q32" s="48">
        <v>0.19289999999999999</v>
      </c>
      <c r="R32" s="54">
        <f t="shared" si="21"/>
        <v>0.11558285430182326</v>
      </c>
      <c r="S32" s="54">
        <f t="shared" si="22"/>
        <v>0</v>
      </c>
      <c r="T32" s="54">
        <f t="shared" si="23"/>
        <v>3.4482758620689655E-2</v>
      </c>
      <c r="U32" s="55">
        <f t="shared" si="24"/>
        <v>-1.4000000000000123E-3</v>
      </c>
      <c r="V32" s="56">
        <f t="shared" si="25"/>
        <v>-1.4000000000000123E-3</v>
      </c>
    </row>
    <row r="33" spans="1:22">
      <c r="A33" s="141">
        <v>25</v>
      </c>
      <c r="B33" s="142" t="s">
        <v>60</v>
      </c>
      <c r="C33" s="143" t="s">
        <v>25</v>
      </c>
      <c r="D33" s="42">
        <v>133861857096.94</v>
      </c>
      <c r="E33" s="28">
        <f t="shared" si="19"/>
        <v>3.8070859816942144E-2</v>
      </c>
      <c r="F33" s="29">
        <v>1</v>
      </c>
      <c r="G33" s="29">
        <v>1</v>
      </c>
      <c r="H33" s="30">
        <v>34804</v>
      </c>
      <c r="I33" s="48">
        <v>0.19689999999999999</v>
      </c>
      <c r="J33" s="48">
        <v>0.19689999999999999</v>
      </c>
      <c r="K33" s="42">
        <v>134861709783.64999</v>
      </c>
      <c r="L33" s="28">
        <f t="shared" si="20"/>
        <v>3.8355222011661756E-2</v>
      </c>
      <c r="M33" s="29">
        <v>1</v>
      </c>
      <c r="N33" s="29">
        <v>1</v>
      </c>
      <c r="O33" s="30">
        <v>34956</v>
      </c>
      <c r="P33" s="48">
        <v>0.19520000000000001</v>
      </c>
      <c r="Q33" s="48">
        <v>0.19520000000000001</v>
      </c>
      <c r="R33" s="54">
        <f t="shared" si="21"/>
        <v>7.469287431041082E-3</v>
      </c>
      <c r="S33" s="54">
        <f t="shared" si="22"/>
        <v>0</v>
      </c>
      <c r="T33" s="54">
        <f t="shared" si="23"/>
        <v>4.3673141018273761E-3</v>
      </c>
      <c r="U33" s="55">
        <f t="shared" si="24"/>
        <v>-1.6999999999999793E-3</v>
      </c>
      <c r="V33" s="56">
        <f t="shared" si="25"/>
        <v>-1.6999999999999793E-3</v>
      </c>
    </row>
    <row r="34" spans="1:22">
      <c r="A34" s="141">
        <v>26</v>
      </c>
      <c r="B34" s="142" t="s">
        <v>286</v>
      </c>
      <c r="C34" s="143" t="s">
        <v>27</v>
      </c>
      <c r="D34" s="31">
        <v>8462567442.3599997</v>
      </c>
      <c r="E34" s="28">
        <f t="shared" ref="E34" si="26">(D34/$D$25)</f>
        <v>0.13718508605019594</v>
      </c>
      <c r="F34" s="31">
        <v>1</v>
      </c>
      <c r="G34" s="31">
        <v>1</v>
      </c>
      <c r="H34" s="30">
        <v>1023</v>
      </c>
      <c r="I34" s="48">
        <v>0.20219999999999999</v>
      </c>
      <c r="J34" s="48">
        <v>0.20219999999999999</v>
      </c>
      <c r="K34" s="31">
        <v>8977252438.3600006</v>
      </c>
      <c r="L34" s="28">
        <f t="shared" ref="L34" si="27">(K34/$K$25)</f>
        <v>0.13353113516938506</v>
      </c>
      <c r="M34" s="31">
        <v>1</v>
      </c>
      <c r="N34" s="31">
        <v>1</v>
      </c>
      <c r="O34" s="30">
        <v>1038</v>
      </c>
      <c r="P34" s="48">
        <v>0.2059</v>
      </c>
      <c r="Q34" s="48">
        <v>0.2059</v>
      </c>
      <c r="R34" s="54">
        <f t="shared" si="21"/>
        <v>6.0819012611197355E-2</v>
      </c>
      <c r="S34" s="54">
        <f t="shared" si="22"/>
        <v>0</v>
      </c>
      <c r="T34" s="54">
        <f t="shared" si="23"/>
        <v>1.466275659824047E-2</v>
      </c>
      <c r="U34" s="55">
        <f t="shared" si="24"/>
        <v>3.7000000000000088E-3</v>
      </c>
      <c r="V34" s="56">
        <f t="shared" si="25"/>
        <v>3.7000000000000088E-3</v>
      </c>
    </row>
    <row r="35" spans="1:22" ht="15" customHeight="1">
      <c r="A35" s="141">
        <v>27</v>
      </c>
      <c r="B35" s="142" t="s">
        <v>61</v>
      </c>
      <c r="C35" s="143" t="s">
        <v>47</v>
      </c>
      <c r="D35" s="42">
        <v>26468038906</v>
      </c>
      <c r="E35" s="28">
        <f t="shared" ref="E35:E47" si="28">(D35/$K$69)</f>
        <v>7.5276185514890123E-3</v>
      </c>
      <c r="F35" s="29">
        <v>100</v>
      </c>
      <c r="G35" s="29">
        <v>100</v>
      </c>
      <c r="H35" s="30">
        <v>2083</v>
      </c>
      <c r="I35" s="48">
        <v>0.21460000000000001</v>
      </c>
      <c r="J35" s="48">
        <v>0.21460000000000001</v>
      </c>
      <c r="K35" s="42">
        <v>30061817747</v>
      </c>
      <c r="L35" s="28">
        <f t="shared" ref="L35:L47" si="29">(K35/$K$69)</f>
        <v>8.5497039568164079E-3</v>
      </c>
      <c r="M35" s="29">
        <v>100</v>
      </c>
      <c r="N35" s="29">
        <v>100</v>
      </c>
      <c r="O35" s="30">
        <v>2083</v>
      </c>
      <c r="P35" s="48">
        <v>0.2135</v>
      </c>
      <c r="Q35" s="48">
        <v>0.22470000000000001</v>
      </c>
      <c r="R35" s="54">
        <f t="shared" si="21"/>
        <v>0.13577805495009046</v>
      </c>
      <c r="S35" s="54">
        <f t="shared" si="22"/>
        <v>0</v>
      </c>
      <c r="T35" s="54">
        <f t="shared" si="23"/>
        <v>0</v>
      </c>
      <c r="U35" s="55">
        <f t="shared" si="24"/>
        <v>-1.1000000000000176E-3</v>
      </c>
      <c r="V35" s="56">
        <f t="shared" si="25"/>
        <v>1.0099999999999998E-2</v>
      </c>
    </row>
    <row r="36" spans="1:22" ht="15" customHeight="1">
      <c r="A36" s="141">
        <v>28</v>
      </c>
      <c r="B36" s="142" t="s">
        <v>62</v>
      </c>
      <c r="C36" s="143" t="s">
        <v>63</v>
      </c>
      <c r="D36" s="42">
        <v>1472332804.8</v>
      </c>
      <c r="E36" s="28">
        <f t="shared" si="28"/>
        <v>4.1873747332545693E-4</v>
      </c>
      <c r="F36" s="29">
        <v>1</v>
      </c>
      <c r="G36" s="29">
        <v>1</v>
      </c>
      <c r="H36" s="30">
        <v>490</v>
      </c>
      <c r="I36" s="48">
        <v>0.2</v>
      </c>
      <c r="J36" s="48">
        <v>0.2</v>
      </c>
      <c r="K36" s="42">
        <v>1555845403.6199999</v>
      </c>
      <c r="L36" s="28">
        <f t="shared" si="29"/>
        <v>4.4248879809844502E-4</v>
      </c>
      <c r="M36" s="29">
        <v>1</v>
      </c>
      <c r="N36" s="29">
        <v>1</v>
      </c>
      <c r="O36" s="30">
        <v>498</v>
      </c>
      <c r="P36" s="48">
        <v>0.2</v>
      </c>
      <c r="Q36" s="48">
        <v>0.2</v>
      </c>
      <c r="R36" s="54">
        <f t="shared" si="21"/>
        <v>5.6721278333090049E-2</v>
      </c>
      <c r="S36" s="54">
        <f t="shared" si="22"/>
        <v>0</v>
      </c>
      <c r="T36" s="54">
        <f t="shared" si="23"/>
        <v>1.6326530612244899E-2</v>
      </c>
      <c r="U36" s="55">
        <f t="shared" si="24"/>
        <v>0</v>
      </c>
      <c r="V36" s="56">
        <f t="shared" si="25"/>
        <v>0</v>
      </c>
    </row>
    <row r="37" spans="1:22">
      <c r="A37" s="141">
        <v>29</v>
      </c>
      <c r="B37" s="142" t="s">
        <v>64</v>
      </c>
      <c r="C37" s="143" t="s">
        <v>65</v>
      </c>
      <c r="D37" s="42">
        <v>66017469395.480003</v>
      </c>
      <c r="E37" s="28">
        <f t="shared" si="28"/>
        <v>1.8775638388196549E-2</v>
      </c>
      <c r="F37" s="29">
        <v>100</v>
      </c>
      <c r="G37" s="29">
        <v>100</v>
      </c>
      <c r="H37" s="30">
        <v>4670</v>
      </c>
      <c r="I37" s="48">
        <v>0.20176942427663999</v>
      </c>
      <c r="J37" s="48">
        <v>0.20176942427663999</v>
      </c>
      <c r="K37" s="42">
        <v>64369852360.220001</v>
      </c>
      <c r="L37" s="28">
        <f t="shared" si="29"/>
        <v>1.8307049362601569E-2</v>
      </c>
      <c r="M37" s="29">
        <v>100</v>
      </c>
      <c r="N37" s="29">
        <v>100</v>
      </c>
      <c r="O37" s="30">
        <v>4746</v>
      </c>
      <c r="P37" s="48">
        <v>0.20142547626558599</v>
      </c>
      <c r="Q37" s="48">
        <v>0.20142547626558599</v>
      </c>
      <c r="R37" s="54">
        <f t="shared" si="21"/>
        <v>-2.495728858357011E-2</v>
      </c>
      <c r="S37" s="54">
        <f t="shared" si="22"/>
        <v>0</v>
      </c>
      <c r="T37" s="54">
        <f t="shared" si="23"/>
        <v>1.6274089935760173E-2</v>
      </c>
      <c r="U37" s="55">
        <f t="shared" si="24"/>
        <v>-3.4394801105400163E-4</v>
      </c>
      <c r="V37" s="56">
        <f t="shared" si="25"/>
        <v>-3.4394801105400163E-4</v>
      </c>
    </row>
    <row r="38" spans="1:22">
      <c r="A38" s="141">
        <v>30</v>
      </c>
      <c r="B38" s="142" t="s">
        <v>66</v>
      </c>
      <c r="C38" s="143" t="s">
        <v>67</v>
      </c>
      <c r="D38" s="42">
        <v>25966657551.389999</v>
      </c>
      <c r="E38" s="28">
        <f t="shared" si="28"/>
        <v>7.3850236429755089E-3</v>
      </c>
      <c r="F38" s="29">
        <v>100</v>
      </c>
      <c r="G38" s="29">
        <v>100</v>
      </c>
      <c r="H38" s="30">
        <v>5108</v>
      </c>
      <c r="I38" s="48">
        <v>0.2072</v>
      </c>
      <c r="J38" s="48">
        <v>0.2072</v>
      </c>
      <c r="K38" s="42">
        <v>27252192856.77</v>
      </c>
      <c r="L38" s="28">
        <f t="shared" si="29"/>
        <v>7.750635143235882E-3</v>
      </c>
      <c r="M38" s="29">
        <v>100</v>
      </c>
      <c r="N38" s="29">
        <v>100</v>
      </c>
      <c r="O38" s="30">
        <v>5155</v>
      </c>
      <c r="P38" s="48">
        <v>0.20250000000000001</v>
      </c>
      <c r="Q38" s="48">
        <v>0.20250000000000001</v>
      </c>
      <c r="R38" s="54">
        <f t="shared" si="21"/>
        <v>4.9507153657948791E-2</v>
      </c>
      <c r="S38" s="54">
        <f t="shared" si="22"/>
        <v>0</v>
      </c>
      <c r="T38" s="54">
        <f t="shared" si="23"/>
        <v>9.2012529365700854E-3</v>
      </c>
      <c r="U38" s="55">
        <f t="shared" si="24"/>
        <v>-4.699999999999982E-3</v>
      </c>
      <c r="V38" s="56">
        <f t="shared" si="25"/>
        <v>-4.699999999999982E-3</v>
      </c>
    </row>
    <row r="39" spans="1:22">
      <c r="A39" s="141">
        <v>31</v>
      </c>
      <c r="B39" s="142" t="s">
        <v>68</v>
      </c>
      <c r="C39" s="143" t="s">
        <v>296</v>
      </c>
      <c r="D39" s="42">
        <v>36732367620.07</v>
      </c>
      <c r="E39" s="28">
        <f t="shared" si="28"/>
        <v>1.0446835631417793E-2</v>
      </c>
      <c r="F39" s="29">
        <v>1</v>
      </c>
      <c r="G39" s="29">
        <v>1</v>
      </c>
      <c r="H39" s="30">
        <v>7502</v>
      </c>
      <c r="I39" s="48">
        <v>0.19989999999999999</v>
      </c>
      <c r="J39" s="48">
        <v>0.19989999999999999</v>
      </c>
      <c r="K39" s="42">
        <v>37419020394.260002</v>
      </c>
      <c r="L39" s="28">
        <f t="shared" si="29"/>
        <v>1.0642122489646355E-2</v>
      </c>
      <c r="M39" s="29">
        <v>1</v>
      </c>
      <c r="N39" s="29">
        <v>1</v>
      </c>
      <c r="O39" s="30">
        <v>7806</v>
      </c>
      <c r="P39" s="48">
        <v>0.2054</v>
      </c>
      <c r="Q39" s="48">
        <v>0.2054</v>
      </c>
      <c r="R39" s="54">
        <f t="shared" si="21"/>
        <v>1.8693398184734106E-2</v>
      </c>
      <c r="S39" s="54">
        <f t="shared" si="22"/>
        <v>0</v>
      </c>
      <c r="T39" s="54">
        <f t="shared" si="23"/>
        <v>4.0522527326046387E-2</v>
      </c>
      <c r="U39" s="55">
        <f t="shared" si="24"/>
        <v>5.5000000000000049E-3</v>
      </c>
      <c r="V39" s="56">
        <f t="shared" si="25"/>
        <v>5.5000000000000049E-3</v>
      </c>
    </row>
    <row r="40" spans="1:22">
      <c r="A40" s="141">
        <v>32</v>
      </c>
      <c r="B40" s="142" t="s">
        <v>69</v>
      </c>
      <c r="C40" s="143" t="s">
        <v>70</v>
      </c>
      <c r="D40" s="42">
        <v>75907895773.199997</v>
      </c>
      <c r="E40" s="28">
        <f t="shared" si="28"/>
        <v>2.1588516113949931E-2</v>
      </c>
      <c r="F40" s="43">
        <v>100</v>
      </c>
      <c r="G40" s="43">
        <v>100</v>
      </c>
      <c r="H40" s="30">
        <v>3848</v>
      </c>
      <c r="I40" s="48">
        <v>0.1988</v>
      </c>
      <c r="J40" s="48">
        <v>0.1988</v>
      </c>
      <c r="K40" s="42">
        <v>76586601742.350006</v>
      </c>
      <c r="L40" s="28">
        <f t="shared" si="29"/>
        <v>2.1781542868312975E-2</v>
      </c>
      <c r="M40" s="43">
        <v>100</v>
      </c>
      <c r="N40" s="43">
        <v>100</v>
      </c>
      <c r="O40" s="30">
        <v>4143</v>
      </c>
      <c r="P40" s="48">
        <v>0.1981</v>
      </c>
      <c r="Q40" s="48">
        <v>0.1981</v>
      </c>
      <c r="R40" s="54">
        <f t="shared" si="21"/>
        <v>8.9411774919682697E-3</v>
      </c>
      <c r="S40" s="54">
        <f t="shared" si="22"/>
        <v>0</v>
      </c>
      <c r="T40" s="54">
        <f t="shared" si="23"/>
        <v>7.6663201663201661E-2</v>
      </c>
      <c r="U40" s="55">
        <f t="shared" si="24"/>
        <v>-7.0000000000000617E-4</v>
      </c>
      <c r="V40" s="56">
        <f t="shared" si="25"/>
        <v>-7.0000000000000617E-4</v>
      </c>
    </row>
    <row r="41" spans="1:22">
      <c r="A41" s="141">
        <v>33</v>
      </c>
      <c r="B41" s="142" t="s">
        <v>71</v>
      </c>
      <c r="C41" s="143" t="s">
        <v>70</v>
      </c>
      <c r="D41" s="42">
        <v>9167434446.4200001</v>
      </c>
      <c r="E41" s="28">
        <f t="shared" si="28"/>
        <v>2.6072558625711804E-3</v>
      </c>
      <c r="F41" s="43">
        <v>1000000</v>
      </c>
      <c r="G41" s="43">
        <v>1000000</v>
      </c>
      <c r="H41" s="30">
        <v>26</v>
      </c>
      <c r="I41" s="48">
        <v>0.19239999999999999</v>
      </c>
      <c r="J41" s="48">
        <v>0.19239999999999999</v>
      </c>
      <c r="K41" s="42">
        <v>9291676471.7999992</v>
      </c>
      <c r="L41" s="28">
        <f t="shared" si="29"/>
        <v>2.6425908028909579E-3</v>
      </c>
      <c r="M41" s="43">
        <v>1000000</v>
      </c>
      <c r="N41" s="43">
        <v>1000000</v>
      </c>
      <c r="O41" s="30">
        <v>38</v>
      </c>
      <c r="P41" s="48">
        <v>0.19739999999999999</v>
      </c>
      <c r="Q41" s="48">
        <v>0.19739999999999999</v>
      </c>
      <c r="R41" s="54">
        <f t="shared" si="21"/>
        <v>1.3552540365152788E-2</v>
      </c>
      <c r="S41" s="54">
        <f t="shared" si="22"/>
        <v>0</v>
      </c>
      <c r="T41" s="54">
        <f t="shared" si="23"/>
        <v>0.46153846153846156</v>
      </c>
      <c r="U41" s="55">
        <f t="shared" si="24"/>
        <v>5.0000000000000044E-3</v>
      </c>
      <c r="V41" s="56">
        <f t="shared" si="25"/>
        <v>5.0000000000000044E-3</v>
      </c>
    </row>
    <row r="42" spans="1:22">
      <c r="A42" s="141">
        <v>34</v>
      </c>
      <c r="B42" s="142" t="s">
        <v>72</v>
      </c>
      <c r="C42" s="143" t="s">
        <v>73</v>
      </c>
      <c r="D42" s="42">
        <v>5316255963.2299995</v>
      </c>
      <c r="E42" s="28">
        <f t="shared" si="28"/>
        <v>1.5119649459258745E-3</v>
      </c>
      <c r="F42" s="29">
        <v>1</v>
      </c>
      <c r="G42" s="29">
        <v>1</v>
      </c>
      <c r="H42" s="30">
        <v>964</v>
      </c>
      <c r="I42" s="48">
        <v>0.21079999999999999</v>
      </c>
      <c r="J42" s="48">
        <v>0.21079999999999999</v>
      </c>
      <c r="K42" s="42">
        <v>5377451451.4300003</v>
      </c>
      <c r="L42" s="28">
        <f t="shared" si="29"/>
        <v>1.5293691931342814E-3</v>
      </c>
      <c r="M42" s="29">
        <v>1</v>
      </c>
      <c r="N42" s="29">
        <v>1</v>
      </c>
      <c r="O42" s="30">
        <v>980</v>
      </c>
      <c r="P42" s="48">
        <v>0.20979999999999999</v>
      </c>
      <c r="Q42" s="48">
        <v>0.20979999999999999</v>
      </c>
      <c r="R42" s="54">
        <f t="shared" si="21"/>
        <v>1.1511012378497328E-2</v>
      </c>
      <c r="S42" s="54">
        <f t="shared" si="22"/>
        <v>0</v>
      </c>
      <c r="T42" s="54">
        <f t="shared" si="23"/>
        <v>1.6597510373443983E-2</v>
      </c>
      <c r="U42" s="55">
        <f t="shared" si="24"/>
        <v>-1.0000000000000009E-3</v>
      </c>
      <c r="V42" s="56">
        <f t="shared" si="25"/>
        <v>-1.0000000000000009E-3</v>
      </c>
    </row>
    <row r="43" spans="1:22">
      <c r="A43" s="141">
        <v>35</v>
      </c>
      <c r="B43" s="142" t="s">
        <v>74</v>
      </c>
      <c r="C43" s="143" t="s">
        <v>317</v>
      </c>
      <c r="D43" s="42">
        <v>565648917489.69995</v>
      </c>
      <c r="E43" s="28">
        <f t="shared" si="28"/>
        <v>0.16087286632935641</v>
      </c>
      <c r="F43" s="29">
        <v>100</v>
      </c>
      <c r="G43" s="29">
        <v>100</v>
      </c>
      <c r="H43" s="30">
        <v>15392</v>
      </c>
      <c r="I43" s="48">
        <v>0.2026</v>
      </c>
      <c r="J43" s="48">
        <v>0.2026</v>
      </c>
      <c r="K43" s="42">
        <v>577681801797.95996</v>
      </c>
      <c r="L43" s="28">
        <f t="shared" si="29"/>
        <v>0.16429506785582637</v>
      </c>
      <c r="M43" s="29">
        <v>100</v>
      </c>
      <c r="N43" s="29">
        <v>100</v>
      </c>
      <c r="O43" s="30">
        <v>15436</v>
      </c>
      <c r="P43" s="48">
        <v>0.20150000000000001</v>
      </c>
      <c r="Q43" s="48">
        <v>0.20150000000000001</v>
      </c>
      <c r="R43" s="54">
        <f t="shared" si="21"/>
        <v>2.1272708098975756E-2</v>
      </c>
      <c r="S43" s="54">
        <f t="shared" si="22"/>
        <v>0</v>
      </c>
      <c r="T43" s="54">
        <f t="shared" si="23"/>
        <v>2.8586278586278588E-3</v>
      </c>
      <c r="U43" s="55">
        <f t="shared" si="24"/>
        <v>-1.0999999999999899E-3</v>
      </c>
      <c r="V43" s="56">
        <f t="shared" si="25"/>
        <v>-1.0999999999999899E-3</v>
      </c>
    </row>
    <row r="44" spans="1:22">
      <c r="A44" s="141">
        <v>36</v>
      </c>
      <c r="B44" s="142" t="s">
        <v>75</v>
      </c>
      <c r="C44" s="143" t="s">
        <v>76</v>
      </c>
      <c r="D44" s="42">
        <v>2521736166.8200002</v>
      </c>
      <c r="E44" s="28">
        <f t="shared" si="28"/>
        <v>7.1719208282604839E-4</v>
      </c>
      <c r="F44" s="29">
        <v>1</v>
      </c>
      <c r="G44" s="29">
        <v>1</v>
      </c>
      <c r="H44" s="44">
        <v>1382</v>
      </c>
      <c r="I44" s="51">
        <v>0.19919999999999999</v>
      </c>
      <c r="J44" s="51">
        <v>0.19919999999999999</v>
      </c>
      <c r="K44" s="42">
        <v>2605483494.4200001</v>
      </c>
      <c r="L44" s="28">
        <f t="shared" si="29"/>
        <v>7.4101016542439603E-4</v>
      </c>
      <c r="M44" s="29">
        <v>1</v>
      </c>
      <c r="N44" s="29">
        <v>1</v>
      </c>
      <c r="O44" s="44">
        <v>1402</v>
      </c>
      <c r="P44" s="51">
        <v>0.20330000000000001</v>
      </c>
      <c r="Q44" s="51">
        <v>0.20330000000000001</v>
      </c>
      <c r="R44" s="54">
        <f t="shared" si="21"/>
        <v>3.3210186181216683E-2</v>
      </c>
      <c r="S44" s="54">
        <f t="shared" si="22"/>
        <v>0</v>
      </c>
      <c r="T44" s="54">
        <f t="shared" si="23"/>
        <v>1.4471780028943559E-2</v>
      </c>
      <c r="U44" s="55">
        <f t="shared" si="24"/>
        <v>4.1000000000000203E-3</v>
      </c>
      <c r="V44" s="56">
        <f t="shared" si="25"/>
        <v>4.1000000000000203E-3</v>
      </c>
    </row>
    <row r="45" spans="1:22">
      <c r="A45" s="141">
        <v>37</v>
      </c>
      <c r="B45" s="142" t="s">
        <v>298</v>
      </c>
      <c r="C45" s="143" t="s">
        <v>299</v>
      </c>
      <c r="D45" s="42">
        <v>1834279596.6500001</v>
      </c>
      <c r="E45" s="28">
        <f t="shared" si="28"/>
        <v>5.2167662173226831E-4</v>
      </c>
      <c r="F45" s="29">
        <v>1</v>
      </c>
      <c r="G45" s="29">
        <v>1</v>
      </c>
      <c r="H45" s="44">
        <v>305</v>
      </c>
      <c r="I45" s="51">
        <v>0.19070000000000001</v>
      </c>
      <c r="J45" s="51">
        <v>0.19070000000000001</v>
      </c>
      <c r="K45" s="42">
        <v>1843658850.48</v>
      </c>
      <c r="L45" s="28">
        <f t="shared" si="29"/>
        <v>5.2434411989412983E-4</v>
      </c>
      <c r="M45" s="29">
        <v>1</v>
      </c>
      <c r="N45" s="29">
        <v>1</v>
      </c>
      <c r="O45" s="44">
        <v>310</v>
      </c>
      <c r="P45" s="51">
        <v>0.183</v>
      </c>
      <c r="Q45" s="51">
        <v>0.183</v>
      </c>
      <c r="R45" s="54">
        <f t="shared" si="21"/>
        <v>5.1133174283405523E-3</v>
      </c>
      <c r="S45" s="54">
        <f t="shared" si="22"/>
        <v>0</v>
      </c>
      <c r="T45" s="54">
        <f t="shared" si="23"/>
        <v>1.6393442622950821E-2</v>
      </c>
      <c r="U45" s="55">
        <f t="shared" si="24"/>
        <v>-7.7000000000000124E-3</v>
      </c>
      <c r="V45" s="56">
        <f t="shared" si="25"/>
        <v>-7.7000000000000124E-3</v>
      </c>
    </row>
    <row r="46" spans="1:22">
      <c r="A46" s="141">
        <v>38</v>
      </c>
      <c r="B46" s="142" t="s">
        <v>77</v>
      </c>
      <c r="C46" s="143" t="s">
        <v>78</v>
      </c>
      <c r="D46" s="42">
        <v>1234241267.9100001</v>
      </c>
      <c r="E46" s="28">
        <f t="shared" si="28"/>
        <v>3.5102326614861129E-4</v>
      </c>
      <c r="F46" s="29">
        <v>10</v>
      </c>
      <c r="G46" s="29">
        <v>10</v>
      </c>
      <c r="H46" s="30">
        <v>472</v>
      </c>
      <c r="I46" s="48">
        <v>0.1802</v>
      </c>
      <c r="J46" s="48">
        <v>0.1802</v>
      </c>
      <c r="K46" s="42">
        <v>1248769785.9400001</v>
      </c>
      <c r="L46" s="28">
        <f t="shared" si="29"/>
        <v>3.5515523611573564E-4</v>
      </c>
      <c r="M46" s="29">
        <v>10</v>
      </c>
      <c r="N46" s="29">
        <v>10</v>
      </c>
      <c r="O46" s="30">
        <v>476</v>
      </c>
      <c r="P46" s="48">
        <v>0.1817</v>
      </c>
      <c r="Q46" s="48">
        <v>0.1817</v>
      </c>
      <c r="R46" s="54">
        <f t="shared" si="21"/>
        <v>1.1771213949604689E-2</v>
      </c>
      <c r="S46" s="54">
        <f t="shared" si="22"/>
        <v>0</v>
      </c>
      <c r="T46" s="54">
        <f t="shared" si="23"/>
        <v>8.4745762711864406E-3</v>
      </c>
      <c r="U46" s="55">
        <f t="shared" si="24"/>
        <v>1.5000000000000013E-3</v>
      </c>
      <c r="V46" s="56">
        <f t="shared" si="25"/>
        <v>1.5000000000000013E-3</v>
      </c>
    </row>
    <row r="47" spans="1:22">
      <c r="A47" s="141">
        <v>39</v>
      </c>
      <c r="B47" s="142" t="s">
        <v>79</v>
      </c>
      <c r="C47" s="143" t="s">
        <v>80</v>
      </c>
      <c r="D47" s="42">
        <v>8790397497.0100002</v>
      </c>
      <c r="E47" s="28">
        <f t="shared" si="28"/>
        <v>2.5000250116171208E-3</v>
      </c>
      <c r="F47" s="29">
        <v>100</v>
      </c>
      <c r="G47" s="29">
        <v>100</v>
      </c>
      <c r="H47" s="30">
        <v>934</v>
      </c>
      <c r="I47" s="48">
        <v>0.17430000000000001</v>
      </c>
      <c r="J47" s="48">
        <v>0.17430000000000001</v>
      </c>
      <c r="K47" s="42">
        <v>7941245811.8299999</v>
      </c>
      <c r="L47" s="28">
        <f t="shared" si="29"/>
        <v>2.2585227982838876E-3</v>
      </c>
      <c r="M47" s="29">
        <v>100</v>
      </c>
      <c r="N47" s="29">
        <v>100</v>
      </c>
      <c r="O47" s="30">
        <v>940</v>
      </c>
      <c r="P47" s="48">
        <v>0.20030000000000001</v>
      </c>
      <c r="Q47" s="48">
        <v>0.20030000000000001</v>
      </c>
      <c r="R47" s="54">
        <f t="shared" si="21"/>
        <v>-9.6599918885219252E-2</v>
      </c>
      <c r="S47" s="54">
        <f t="shared" si="22"/>
        <v>0</v>
      </c>
      <c r="T47" s="54">
        <f t="shared" si="23"/>
        <v>6.4239828693790149E-3</v>
      </c>
      <c r="U47" s="55">
        <f t="shared" si="24"/>
        <v>2.5999999999999995E-2</v>
      </c>
      <c r="V47" s="56">
        <f t="shared" si="25"/>
        <v>2.5999999999999995E-2</v>
      </c>
    </row>
    <row r="48" spans="1:22">
      <c r="A48" s="141">
        <v>40</v>
      </c>
      <c r="B48" s="142" t="s">
        <v>81</v>
      </c>
      <c r="C48" s="142" t="s">
        <v>82</v>
      </c>
      <c r="D48" s="130">
        <v>102714375.63229126</v>
      </c>
      <c r="E48" s="28">
        <f>(D48/$D$190)</f>
        <v>1.4041598357055997E-3</v>
      </c>
      <c r="F48" s="31">
        <v>1</v>
      </c>
      <c r="G48" s="31">
        <v>1</v>
      </c>
      <c r="H48" s="30">
        <v>88</v>
      </c>
      <c r="I48" s="48">
        <v>0.17432494543102919</v>
      </c>
      <c r="J48" s="48">
        <v>0.17432494543102919</v>
      </c>
      <c r="K48" s="130">
        <v>103494071.91897522</v>
      </c>
      <c r="L48" s="52">
        <f>(K48/$K$190)</f>
        <v>1.3666423761516614E-3</v>
      </c>
      <c r="M48" s="31">
        <v>1</v>
      </c>
      <c r="N48" s="31">
        <v>1</v>
      </c>
      <c r="O48" s="30">
        <v>95</v>
      </c>
      <c r="P48" s="48">
        <v>0.17432494543102919</v>
      </c>
      <c r="Q48" s="48">
        <v>0.17432494543102919</v>
      </c>
      <c r="R48" s="55">
        <f t="shared" si="21"/>
        <v>7.5909168690778813E-3</v>
      </c>
      <c r="S48" s="55">
        <f t="shared" si="22"/>
        <v>0</v>
      </c>
      <c r="T48" s="55">
        <f t="shared" si="23"/>
        <v>7.9545454545454544E-2</v>
      </c>
      <c r="U48" s="55">
        <f t="shared" si="24"/>
        <v>0</v>
      </c>
      <c r="V48" s="56">
        <f t="shared" si="25"/>
        <v>0</v>
      </c>
    </row>
    <row r="49" spans="1:22">
      <c r="A49" s="141">
        <v>41</v>
      </c>
      <c r="B49" s="142" t="s">
        <v>285</v>
      </c>
      <c r="C49" s="143" t="s">
        <v>37</v>
      </c>
      <c r="D49" s="42">
        <v>554052924.44000006</v>
      </c>
      <c r="E49" s="28">
        <f t="shared" ref="E49" si="30">(D49/$K$69)</f>
        <v>1.5757491846424008E-4</v>
      </c>
      <c r="F49" s="29">
        <v>100</v>
      </c>
      <c r="G49" s="29">
        <v>100</v>
      </c>
      <c r="H49" s="30">
        <v>3550</v>
      </c>
      <c r="I49" s="48">
        <v>0.1888</v>
      </c>
      <c r="J49" s="48">
        <v>0.1888</v>
      </c>
      <c r="K49" s="42">
        <v>559936736.67999995</v>
      </c>
      <c r="L49" s="28">
        <f t="shared" ref="L49" si="31">(K49/$K$69)</f>
        <v>1.5924829873727804E-4</v>
      </c>
      <c r="M49" s="29">
        <v>100</v>
      </c>
      <c r="N49" s="29">
        <v>100</v>
      </c>
      <c r="O49" s="30">
        <v>3720</v>
      </c>
      <c r="P49" s="48">
        <v>0.18724627999999999</v>
      </c>
      <c r="Q49" s="48">
        <v>0.18724627999999999</v>
      </c>
      <c r="R49" s="54">
        <f t="shared" ref="R49" si="32">((K49-D49)/D49)</f>
        <v>1.061958520649784E-2</v>
      </c>
      <c r="S49" s="54">
        <f t="shared" ref="S49" si="33">((N49-G49)/G49)</f>
        <v>0</v>
      </c>
      <c r="T49" s="54">
        <f t="shared" ref="T49" si="34">((O49-H49)/H49)</f>
        <v>4.788732394366197E-2</v>
      </c>
      <c r="U49" s="55">
        <f t="shared" ref="U49" si="35">P49-I49</f>
        <v>-1.5537200000000084E-3</v>
      </c>
      <c r="V49" s="56">
        <f t="shared" ref="V49" si="36">Q49-J49</f>
        <v>-1.5537200000000084E-3</v>
      </c>
    </row>
    <row r="50" spans="1:22">
      <c r="A50" s="141">
        <v>42</v>
      </c>
      <c r="B50" s="142" t="s">
        <v>83</v>
      </c>
      <c r="C50" s="143" t="s">
        <v>37</v>
      </c>
      <c r="D50" s="42">
        <v>112569293198.69</v>
      </c>
      <c r="E50" s="28">
        <f t="shared" ref="E50:E68" si="37">(D50/$K$69)</f>
        <v>3.2015167531674354E-2</v>
      </c>
      <c r="F50" s="29">
        <v>100</v>
      </c>
      <c r="G50" s="29">
        <v>100</v>
      </c>
      <c r="H50" s="30">
        <v>13805</v>
      </c>
      <c r="I50" s="48">
        <v>0.20530000000000001</v>
      </c>
      <c r="J50" s="48">
        <v>0.20530000000000001</v>
      </c>
      <c r="K50" s="42">
        <v>118534017293.23</v>
      </c>
      <c r="L50" s="28">
        <f t="shared" ref="L50:L68" si="38">(K50/$K$69)</f>
        <v>3.3711559467171866E-2</v>
      </c>
      <c r="M50" s="29">
        <v>100</v>
      </c>
      <c r="N50" s="29">
        <v>100</v>
      </c>
      <c r="O50" s="30">
        <v>14107</v>
      </c>
      <c r="P50" s="48">
        <v>0.20308619</v>
      </c>
      <c r="Q50" s="48">
        <v>0.20308619</v>
      </c>
      <c r="R50" s="54">
        <f t="shared" si="21"/>
        <v>5.2987132858798178E-2</v>
      </c>
      <c r="S50" s="54">
        <f t="shared" si="22"/>
        <v>0</v>
      </c>
      <c r="T50" s="54">
        <f t="shared" si="23"/>
        <v>2.18761318362912E-2</v>
      </c>
      <c r="U50" s="55">
        <f t="shared" si="24"/>
        <v>-2.2138100000000105E-3</v>
      </c>
      <c r="V50" s="56">
        <f t="shared" si="25"/>
        <v>-2.2138100000000105E-3</v>
      </c>
    </row>
    <row r="51" spans="1:22">
      <c r="A51" s="141">
        <v>43</v>
      </c>
      <c r="B51" s="142" t="s">
        <v>84</v>
      </c>
      <c r="C51" s="143" t="s">
        <v>41</v>
      </c>
      <c r="D51" s="42">
        <v>26520178770.669998</v>
      </c>
      <c r="E51" s="28">
        <f t="shared" si="37"/>
        <v>7.5424473423169203E-3</v>
      </c>
      <c r="F51" s="29">
        <v>1</v>
      </c>
      <c r="G51" s="29">
        <v>1</v>
      </c>
      <c r="H51" s="30">
        <v>2036</v>
      </c>
      <c r="I51" s="48">
        <v>0.19900000000000001</v>
      </c>
      <c r="J51" s="48">
        <v>0.19900000000000001</v>
      </c>
      <c r="K51" s="42">
        <v>26402077418.700001</v>
      </c>
      <c r="L51" s="28">
        <f t="shared" si="38"/>
        <v>7.5088588346378061E-3</v>
      </c>
      <c r="M51" s="29">
        <v>1</v>
      </c>
      <c r="N51" s="29">
        <v>1</v>
      </c>
      <c r="O51" s="30">
        <v>2062</v>
      </c>
      <c r="P51" s="48">
        <v>0.1993</v>
      </c>
      <c r="Q51" s="48">
        <v>0.1993</v>
      </c>
      <c r="R51" s="54">
        <f t="shared" si="21"/>
        <v>-4.4532637955145178E-3</v>
      </c>
      <c r="S51" s="54">
        <f t="shared" si="22"/>
        <v>0</v>
      </c>
      <c r="T51" s="54">
        <f t="shared" si="23"/>
        <v>1.2770137524557957E-2</v>
      </c>
      <c r="U51" s="55">
        <f t="shared" si="24"/>
        <v>2.9999999999999472E-4</v>
      </c>
      <c r="V51" s="56">
        <f t="shared" si="25"/>
        <v>2.9999999999999472E-4</v>
      </c>
    </row>
    <row r="52" spans="1:22">
      <c r="A52" s="141">
        <v>44</v>
      </c>
      <c r="B52" s="142" t="s">
        <v>309</v>
      </c>
      <c r="C52" s="143" t="s">
        <v>308</v>
      </c>
      <c r="D52" s="42">
        <v>2149246021.5296974</v>
      </c>
      <c r="E52" s="28">
        <f t="shared" si="37"/>
        <v>6.1125436156561554E-4</v>
      </c>
      <c r="F52" s="29">
        <v>100</v>
      </c>
      <c r="G52" s="29">
        <v>100</v>
      </c>
      <c r="H52" s="30">
        <v>168</v>
      </c>
      <c r="I52" s="48">
        <v>0.20380000000000001</v>
      </c>
      <c r="J52" s="48">
        <v>0.20380000000000001</v>
      </c>
      <c r="K52" s="42">
        <v>2699023748.707756</v>
      </c>
      <c r="L52" s="28">
        <f t="shared" si="38"/>
        <v>7.6761339643777854E-4</v>
      </c>
      <c r="M52" s="29">
        <v>100</v>
      </c>
      <c r="N52" s="29">
        <v>100</v>
      </c>
      <c r="O52" s="30">
        <v>181</v>
      </c>
      <c r="P52" s="48">
        <v>0.20979999999999999</v>
      </c>
      <c r="Q52" s="48">
        <v>0.20979999999999999</v>
      </c>
      <c r="R52" s="54">
        <f t="shared" si="21"/>
        <v>0.25580027678113909</v>
      </c>
      <c r="S52" s="54">
        <f t="shared" si="22"/>
        <v>0</v>
      </c>
      <c r="T52" s="54">
        <f t="shared" si="23"/>
        <v>7.7380952380952384E-2</v>
      </c>
      <c r="U52" s="55">
        <f t="shared" si="24"/>
        <v>5.9999999999999776E-3</v>
      </c>
      <c r="V52" s="56">
        <f t="shared" si="25"/>
        <v>5.9999999999999776E-3</v>
      </c>
    </row>
    <row r="53" spans="1:22">
      <c r="A53" s="141">
        <v>45</v>
      </c>
      <c r="B53" s="142" t="s">
        <v>85</v>
      </c>
      <c r="C53" s="143" t="s">
        <v>43</v>
      </c>
      <c r="D53" s="45">
        <v>47556072066.209999</v>
      </c>
      <c r="E53" s="28">
        <f t="shared" si="37"/>
        <v>1.3525141458077575E-2</v>
      </c>
      <c r="F53" s="29">
        <v>10</v>
      </c>
      <c r="G53" s="29">
        <v>10</v>
      </c>
      <c r="H53" s="30">
        <v>5758</v>
      </c>
      <c r="I53" s="48">
        <v>0.22109999999999999</v>
      </c>
      <c r="J53" s="48">
        <v>0.22109999999999999</v>
      </c>
      <c r="K53" s="45">
        <v>50208584167.920006</v>
      </c>
      <c r="L53" s="28">
        <f t="shared" si="38"/>
        <v>1.427952675181972E-2</v>
      </c>
      <c r="M53" s="29">
        <v>10</v>
      </c>
      <c r="N53" s="29">
        <v>10</v>
      </c>
      <c r="O53" s="30">
        <v>5914</v>
      </c>
      <c r="P53" s="48">
        <v>0.22359999999999999</v>
      </c>
      <c r="Q53" s="48">
        <v>0.22359999999999999</v>
      </c>
      <c r="R53" s="54">
        <f t="shared" si="21"/>
        <v>5.5776517833875001E-2</v>
      </c>
      <c r="S53" s="54">
        <f t="shared" si="22"/>
        <v>0</v>
      </c>
      <c r="T53" s="54">
        <f t="shared" si="23"/>
        <v>2.7092740534907955E-2</v>
      </c>
      <c r="U53" s="55">
        <f t="shared" si="24"/>
        <v>2.5000000000000022E-3</v>
      </c>
      <c r="V53" s="56">
        <f t="shared" si="25"/>
        <v>2.5000000000000022E-3</v>
      </c>
    </row>
    <row r="54" spans="1:22">
      <c r="A54" s="141">
        <v>46</v>
      </c>
      <c r="B54" s="142" t="s">
        <v>86</v>
      </c>
      <c r="C54" s="143" t="s">
        <v>87</v>
      </c>
      <c r="D54" s="42">
        <v>23287557463</v>
      </c>
      <c r="E54" s="28">
        <f t="shared" si="37"/>
        <v>6.6230766170442172E-3</v>
      </c>
      <c r="F54" s="29">
        <v>100</v>
      </c>
      <c r="G54" s="29">
        <v>100</v>
      </c>
      <c r="H54" s="30">
        <v>4480</v>
      </c>
      <c r="I54" s="48">
        <v>0.2049</v>
      </c>
      <c r="J54" s="48">
        <v>0.2049</v>
      </c>
      <c r="K54" s="42">
        <v>23516946256</v>
      </c>
      <c r="L54" s="28">
        <f t="shared" si="38"/>
        <v>6.6883157282538897E-3</v>
      </c>
      <c r="M54" s="29">
        <v>100</v>
      </c>
      <c r="N54" s="29">
        <v>100</v>
      </c>
      <c r="O54" s="30">
        <v>4524</v>
      </c>
      <c r="P54" s="48">
        <v>0.20369999999999999</v>
      </c>
      <c r="Q54" s="48">
        <v>0.20369999999999999</v>
      </c>
      <c r="R54" s="54">
        <f t="shared" si="21"/>
        <v>9.8502727632324722E-3</v>
      </c>
      <c r="S54" s="54">
        <f t="shared" si="22"/>
        <v>0</v>
      </c>
      <c r="T54" s="54">
        <f t="shared" si="23"/>
        <v>9.8214285714285712E-3</v>
      </c>
      <c r="U54" s="55">
        <f t="shared" si="24"/>
        <v>-1.2000000000000066E-3</v>
      </c>
      <c r="V54" s="56">
        <f t="shared" si="25"/>
        <v>-1.2000000000000066E-3</v>
      </c>
    </row>
    <row r="55" spans="1:22">
      <c r="A55" s="141">
        <v>47</v>
      </c>
      <c r="B55" s="142" t="s">
        <v>88</v>
      </c>
      <c r="C55" s="143" t="s">
        <v>89</v>
      </c>
      <c r="D55" s="42">
        <v>292261574.06999999</v>
      </c>
      <c r="E55" s="28">
        <f t="shared" si="37"/>
        <v>8.3120387372484543E-5</v>
      </c>
      <c r="F55" s="29">
        <v>1</v>
      </c>
      <c r="G55" s="29">
        <v>1</v>
      </c>
      <c r="H55" s="30">
        <v>102</v>
      </c>
      <c r="I55" s="48">
        <v>0.15240000000000001</v>
      </c>
      <c r="J55" s="48">
        <v>0.15240000000000001</v>
      </c>
      <c r="K55" s="42">
        <v>289548776.32999998</v>
      </c>
      <c r="L55" s="28">
        <f t="shared" si="38"/>
        <v>8.2348856596570793E-5</v>
      </c>
      <c r="M55" s="29">
        <v>1</v>
      </c>
      <c r="N55" s="29">
        <v>1</v>
      </c>
      <c r="O55" s="30">
        <v>102</v>
      </c>
      <c r="P55" s="48">
        <v>0.1739</v>
      </c>
      <c r="Q55" s="48">
        <v>0.1739</v>
      </c>
      <c r="R55" s="54">
        <f t="shared" si="21"/>
        <v>-9.2820883095300899E-3</v>
      </c>
      <c r="S55" s="54">
        <f t="shared" si="22"/>
        <v>0</v>
      </c>
      <c r="T55" s="54">
        <f t="shared" si="23"/>
        <v>0</v>
      </c>
      <c r="U55" s="55">
        <f t="shared" si="24"/>
        <v>2.1499999999999991E-2</v>
      </c>
      <c r="V55" s="56">
        <f t="shared" si="25"/>
        <v>2.1499999999999991E-2</v>
      </c>
    </row>
    <row r="56" spans="1:22">
      <c r="A56" s="141">
        <v>48</v>
      </c>
      <c r="B56" s="142" t="s">
        <v>90</v>
      </c>
      <c r="C56" s="143" t="s">
        <v>45</v>
      </c>
      <c r="D56" s="45">
        <v>1549519850.73</v>
      </c>
      <c r="E56" s="28">
        <f t="shared" si="37"/>
        <v>4.40689784977288E-4</v>
      </c>
      <c r="F56" s="29">
        <v>10</v>
      </c>
      <c r="G56" s="29">
        <v>10</v>
      </c>
      <c r="H56" s="30">
        <v>839</v>
      </c>
      <c r="I56" s="48">
        <v>0.1696</v>
      </c>
      <c r="J56" s="48">
        <v>0.1696</v>
      </c>
      <c r="K56" s="45">
        <v>1585776561.98</v>
      </c>
      <c r="L56" s="28">
        <f t="shared" si="38"/>
        <v>4.5100134199104212E-4</v>
      </c>
      <c r="M56" s="29">
        <v>10</v>
      </c>
      <c r="N56" s="29">
        <v>10</v>
      </c>
      <c r="O56" s="30">
        <v>845</v>
      </c>
      <c r="P56" s="48">
        <v>1.95E-2</v>
      </c>
      <c r="Q56" s="48">
        <v>0.18870000000000001</v>
      </c>
      <c r="R56" s="54">
        <f t="shared" si="21"/>
        <v>2.3398674907532786E-2</v>
      </c>
      <c r="S56" s="54">
        <f t="shared" si="22"/>
        <v>0</v>
      </c>
      <c r="T56" s="54">
        <f t="shared" si="23"/>
        <v>7.1513706793802142E-3</v>
      </c>
      <c r="U56" s="55">
        <f t="shared" si="24"/>
        <v>-0.15010000000000001</v>
      </c>
      <c r="V56" s="56">
        <f t="shared" si="25"/>
        <v>1.9100000000000006E-2</v>
      </c>
    </row>
    <row r="57" spans="1:22">
      <c r="A57" s="141">
        <v>49</v>
      </c>
      <c r="B57" s="142" t="s">
        <v>91</v>
      </c>
      <c r="C57" s="143" t="s">
        <v>92</v>
      </c>
      <c r="D57" s="45">
        <v>969116902</v>
      </c>
      <c r="E57" s="28">
        <f t="shared" si="37"/>
        <v>2.7562081180117334E-4</v>
      </c>
      <c r="F57" s="29">
        <v>1</v>
      </c>
      <c r="G57" s="29">
        <v>1</v>
      </c>
      <c r="H57" s="30">
        <v>123</v>
      </c>
      <c r="I57" s="48">
        <v>0.21540000000000001</v>
      </c>
      <c r="J57" s="48">
        <v>0.21540000000000001</v>
      </c>
      <c r="K57" s="45">
        <v>945065758</v>
      </c>
      <c r="L57" s="28">
        <f t="shared" si="38"/>
        <v>2.6878056804900425E-4</v>
      </c>
      <c r="M57" s="29">
        <v>1</v>
      </c>
      <c r="N57" s="29">
        <v>1</v>
      </c>
      <c r="O57" s="30">
        <v>126</v>
      </c>
      <c r="P57" s="48">
        <v>0.2082</v>
      </c>
      <c r="Q57" s="48">
        <v>0.2082</v>
      </c>
      <c r="R57" s="54">
        <f t="shared" si="21"/>
        <v>-2.4817588002401799E-2</v>
      </c>
      <c r="S57" s="54">
        <f t="shared" si="22"/>
        <v>0</v>
      </c>
      <c r="T57" s="54">
        <f t="shared" si="23"/>
        <v>2.4390243902439025E-2</v>
      </c>
      <c r="U57" s="55">
        <f t="shared" si="24"/>
        <v>-7.2000000000000119E-3</v>
      </c>
      <c r="V57" s="56">
        <f t="shared" si="25"/>
        <v>-7.2000000000000119E-3</v>
      </c>
    </row>
    <row r="58" spans="1:22">
      <c r="A58" s="141">
        <v>50</v>
      </c>
      <c r="B58" s="142" t="s">
        <v>304</v>
      </c>
      <c r="C58" s="143" t="s">
        <v>303</v>
      </c>
      <c r="D58" s="45">
        <v>725300321.77999997</v>
      </c>
      <c r="E58" s="28">
        <f t="shared" si="37"/>
        <v>2.0627837887885256E-4</v>
      </c>
      <c r="F58" s="29">
        <v>1</v>
      </c>
      <c r="G58" s="29">
        <v>1</v>
      </c>
      <c r="H58" s="30">
        <v>670</v>
      </c>
      <c r="I58" s="48">
        <v>0.17380000000000001</v>
      </c>
      <c r="J58" s="48">
        <v>0.17380000000000001</v>
      </c>
      <c r="K58" s="45">
        <v>734470604.02999997</v>
      </c>
      <c r="L58" s="28">
        <f t="shared" si="38"/>
        <v>2.0888644466841288E-4</v>
      </c>
      <c r="M58" s="29">
        <v>1</v>
      </c>
      <c r="N58" s="29">
        <v>1</v>
      </c>
      <c r="O58" s="30">
        <v>714</v>
      </c>
      <c r="P58" s="48">
        <v>0.17199999999999999</v>
      </c>
      <c r="Q58" s="48">
        <v>0.17199999999999999</v>
      </c>
      <c r="R58" s="54">
        <f t="shared" si="21"/>
        <v>1.2643427797597964E-2</v>
      </c>
      <c r="S58" s="54">
        <f t="shared" si="22"/>
        <v>0</v>
      </c>
      <c r="T58" s="54">
        <f t="shared" si="23"/>
        <v>6.5671641791044774E-2</v>
      </c>
      <c r="U58" s="55">
        <f t="shared" si="24"/>
        <v>-1.8000000000000238E-3</v>
      </c>
      <c r="V58" s="56">
        <f t="shared" si="25"/>
        <v>-1.8000000000000238E-3</v>
      </c>
    </row>
    <row r="59" spans="1:22">
      <c r="A59" s="141">
        <v>51</v>
      </c>
      <c r="B59" s="142" t="s">
        <v>93</v>
      </c>
      <c r="C59" s="143" t="s">
        <v>94</v>
      </c>
      <c r="D59" s="45">
        <v>13412785267.9468</v>
      </c>
      <c r="E59" s="28">
        <f t="shared" si="37"/>
        <v>3.8146510048860079E-3</v>
      </c>
      <c r="F59" s="29">
        <v>100</v>
      </c>
      <c r="G59" s="29">
        <v>100</v>
      </c>
      <c r="H59" s="30">
        <v>132</v>
      </c>
      <c r="I59" s="48">
        <v>0.18870000000000001</v>
      </c>
      <c r="J59" s="48">
        <v>0.18870000000000001</v>
      </c>
      <c r="K59" s="45">
        <v>13286410500.73</v>
      </c>
      <c r="L59" s="28">
        <f t="shared" si="38"/>
        <v>3.7787095040623243E-3</v>
      </c>
      <c r="M59" s="29">
        <v>100</v>
      </c>
      <c r="N59" s="29">
        <v>100</v>
      </c>
      <c r="O59" s="30">
        <v>132</v>
      </c>
      <c r="P59" s="48">
        <v>0.19350000000000001</v>
      </c>
      <c r="Q59" s="48">
        <v>0.2142</v>
      </c>
      <c r="R59" s="54">
        <f t="shared" si="21"/>
        <v>-9.4219630518356801E-3</v>
      </c>
      <c r="S59" s="54">
        <f t="shared" si="22"/>
        <v>0</v>
      </c>
      <c r="T59" s="54">
        <f t="shared" si="23"/>
        <v>0</v>
      </c>
      <c r="U59" s="55">
        <f t="shared" si="24"/>
        <v>4.7999999999999987E-3</v>
      </c>
      <c r="V59" s="56">
        <f t="shared" si="25"/>
        <v>2.5499999999999995E-2</v>
      </c>
    </row>
    <row r="60" spans="1:22">
      <c r="A60" s="141">
        <v>52</v>
      </c>
      <c r="B60" s="142" t="s">
        <v>95</v>
      </c>
      <c r="C60" s="143" t="s">
        <v>96</v>
      </c>
      <c r="D60" s="45">
        <v>73637313.590816647</v>
      </c>
      <c r="E60" s="28">
        <f t="shared" si="37"/>
        <v>2.0942753251824369E-5</v>
      </c>
      <c r="F60" s="29">
        <v>1000</v>
      </c>
      <c r="G60" s="29">
        <v>1000</v>
      </c>
      <c r="H60" s="30">
        <v>23</v>
      </c>
      <c r="I60" s="48">
        <v>0.18859999999999999</v>
      </c>
      <c r="J60" s="48">
        <v>0.18859999999999999</v>
      </c>
      <c r="K60" s="45">
        <v>65098560.046428569</v>
      </c>
      <c r="L60" s="28">
        <f t="shared" si="38"/>
        <v>1.8514296809864192E-5</v>
      </c>
      <c r="M60" s="29">
        <v>1000</v>
      </c>
      <c r="N60" s="29">
        <v>1000</v>
      </c>
      <c r="O60" s="30">
        <v>23</v>
      </c>
      <c r="P60" s="48">
        <v>0.189</v>
      </c>
      <c r="Q60" s="48">
        <v>0.189</v>
      </c>
      <c r="R60" s="54">
        <f t="shared" si="21"/>
        <v>-0.11595688555174223</v>
      </c>
      <c r="S60" s="54">
        <f t="shared" si="22"/>
        <v>0</v>
      </c>
      <c r="T60" s="54">
        <f t="shared" si="23"/>
        <v>0</v>
      </c>
      <c r="U60" s="55">
        <f t="shared" si="24"/>
        <v>4.0000000000001146E-4</v>
      </c>
      <c r="V60" s="56">
        <f t="shared" si="25"/>
        <v>4.0000000000001146E-4</v>
      </c>
    </row>
    <row r="61" spans="1:22">
      <c r="A61" s="141">
        <v>53</v>
      </c>
      <c r="B61" s="142" t="s">
        <v>97</v>
      </c>
      <c r="C61" s="143" t="s">
        <v>49</v>
      </c>
      <c r="D61" s="42">
        <v>1667669115398.6201</v>
      </c>
      <c r="E61" s="28">
        <f t="shared" si="37"/>
        <v>0.47429191922391245</v>
      </c>
      <c r="F61" s="29">
        <v>100</v>
      </c>
      <c r="G61" s="29">
        <v>100</v>
      </c>
      <c r="H61" s="30">
        <v>202497</v>
      </c>
      <c r="I61" s="48">
        <v>0.2001</v>
      </c>
      <c r="J61" s="48">
        <v>0.2001</v>
      </c>
      <c r="K61" s="42">
        <v>1706476229916.98</v>
      </c>
      <c r="L61" s="28">
        <f t="shared" si="38"/>
        <v>0.485328821361454</v>
      </c>
      <c r="M61" s="29">
        <v>100</v>
      </c>
      <c r="N61" s="29">
        <v>100</v>
      </c>
      <c r="O61" s="30">
        <v>204888</v>
      </c>
      <c r="P61" s="48">
        <v>0.2001</v>
      </c>
      <c r="Q61" s="48">
        <v>0.2001</v>
      </c>
      <c r="R61" s="54">
        <f t="shared" si="21"/>
        <v>2.3270272358005422E-2</v>
      </c>
      <c r="S61" s="54">
        <f t="shared" si="22"/>
        <v>0</v>
      </c>
      <c r="T61" s="54">
        <f t="shared" si="23"/>
        <v>1.1807582334553104E-2</v>
      </c>
      <c r="U61" s="55">
        <f t="shared" si="24"/>
        <v>0</v>
      </c>
      <c r="V61" s="56">
        <f t="shared" si="25"/>
        <v>0</v>
      </c>
    </row>
    <row r="62" spans="1:22">
      <c r="A62" s="141">
        <v>54</v>
      </c>
      <c r="B62" s="142" t="s">
        <v>98</v>
      </c>
      <c r="C62" s="142" t="s">
        <v>99</v>
      </c>
      <c r="D62" s="42">
        <v>4959640685.0500002</v>
      </c>
      <c r="E62" s="28">
        <f t="shared" si="37"/>
        <v>1.4105421018192172E-3</v>
      </c>
      <c r="F62" s="29">
        <v>100</v>
      </c>
      <c r="G62" s="29">
        <v>100</v>
      </c>
      <c r="H62" s="30">
        <v>694</v>
      </c>
      <c r="I62" s="48">
        <v>0.21010000000000001</v>
      </c>
      <c r="J62" s="48">
        <v>0.21010000000000001</v>
      </c>
      <c r="K62" s="42">
        <v>5000282417.0799999</v>
      </c>
      <c r="L62" s="28">
        <f t="shared" si="38"/>
        <v>1.4221007766828967E-3</v>
      </c>
      <c r="M62" s="29">
        <v>100</v>
      </c>
      <c r="N62" s="29">
        <v>100</v>
      </c>
      <c r="O62" s="30">
        <v>707</v>
      </c>
      <c r="P62" s="48">
        <v>0.20519999999999999</v>
      </c>
      <c r="Q62" s="48">
        <v>0.20519999999999999</v>
      </c>
      <c r="R62" s="54">
        <f t="shared" si="21"/>
        <v>8.1944912163712542E-3</v>
      </c>
      <c r="S62" s="54">
        <f t="shared" si="22"/>
        <v>0</v>
      </c>
      <c r="T62" s="54">
        <f t="shared" si="23"/>
        <v>1.8731988472622477E-2</v>
      </c>
      <c r="U62" s="55">
        <f t="shared" si="24"/>
        <v>-4.9000000000000155E-3</v>
      </c>
      <c r="V62" s="56">
        <f t="shared" si="25"/>
        <v>-4.9000000000000155E-3</v>
      </c>
    </row>
    <row r="63" spans="1:22">
      <c r="A63" s="141">
        <v>55</v>
      </c>
      <c r="B63" s="142" t="s">
        <v>100</v>
      </c>
      <c r="C63" s="143" t="s">
        <v>101</v>
      </c>
      <c r="D63" s="42">
        <v>5158653102.54</v>
      </c>
      <c r="E63" s="28">
        <f t="shared" si="37"/>
        <v>1.4671420475573505E-3</v>
      </c>
      <c r="F63" s="29">
        <v>1</v>
      </c>
      <c r="G63" s="29">
        <v>1</v>
      </c>
      <c r="H63" s="30">
        <v>509</v>
      </c>
      <c r="I63" s="48">
        <v>0.2001559</v>
      </c>
      <c r="J63" s="48">
        <v>0.2001559</v>
      </c>
      <c r="K63" s="42">
        <v>5282977838.3699999</v>
      </c>
      <c r="L63" s="28">
        <f t="shared" si="38"/>
        <v>1.5025005110674947E-3</v>
      </c>
      <c r="M63" s="29">
        <v>1</v>
      </c>
      <c r="N63" s="29">
        <v>1</v>
      </c>
      <c r="O63" s="30">
        <v>520</v>
      </c>
      <c r="P63" s="48">
        <v>0.2044927</v>
      </c>
      <c r="Q63" s="48">
        <v>0.2044927</v>
      </c>
      <c r="R63" s="54">
        <f t="shared" si="21"/>
        <v>2.4100231854858652E-2</v>
      </c>
      <c r="S63" s="54">
        <f t="shared" si="22"/>
        <v>0</v>
      </c>
      <c r="T63" s="54">
        <f t="shared" si="23"/>
        <v>2.1611001964636542E-2</v>
      </c>
      <c r="U63" s="55">
        <f t="shared" si="24"/>
        <v>4.3368000000000018E-3</v>
      </c>
      <c r="V63" s="56">
        <f t="shared" si="25"/>
        <v>4.3368000000000018E-3</v>
      </c>
    </row>
    <row r="64" spans="1:22">
      <c r="A64" s="141">
        <v>56</v>
      </c>
      <c r="B64" s="142" t="s">
        <v>102</v>
      </c>
      <c r="C64" s="143" t="s">
        <v>52</v>
      </c>
      <c r="D64" s="42">
        <v>150364747215.04001</v>
      </c>
      <c r="E64" s="28">
        <f t="shared" si="37"/>
        <v>4.2764349283516613E-2</v>
      </c>
      <c r="F64" s="29">
        <v>1</v>
      </c>
      <c r="G64" s="29">
        <v>1</v>
      </c>
      <c r="H64" s="30">
        <v>62209</v>
      </c>
      <c r="I64" s="48">
        <v>0.19500000000000001</v>
      </c>
      <c r="J64" s="48">
        <v>0.19500000000000001</v>
      </c>
      <c r="K64" s="42">
        <v>163576101786.42999</v>
      </c>
      <c r="L64" s="28">
        <f t="shared" si="38"/>
        <v>4.652171257420417E-2</v>
      </c>
      <c r="M64" s="29">
        <v>1</v>
      </c>
      <c r="N64" s="29">
        <v>1</v>
      </c>
      <c r="O64" s="30">
        <v>62872</v>
      </c>
      <c r="P64" s="48">
        <v>0.19089999999999999</v>
      </c>
      <c r="Q64" s="48">
        <v>0.19089999999999999</v>
      </c>
      <c r="R64" s="54">
        <f t="shared" si="21"/>
        <v>8.7862047561561282E-2</v>
      </c>
      <c r="S64" s="54">
        <f t="shared" si="22"/>
        <v>0</v>
      </c>
      <c r="T64" s="54">
        <f t="shared" si="23"/>
        <v>1.0657621887508238E-2</v>
      </c>
      <c r="U64" s="55">
        <f t="shared" si="24"/>
        <v>-4.1000000000000203E-3</v>
      </c>
      <c r="V64" s="56">
        <f t="shared" si="25"/>
        <v>-4.1000000000000203E-3</v>
      </c>
    </row>
    <row r="65" spans="1:22">
      <c r="A65" s="141">
        <v>57</v>
      </c>
      <c r="B65" s="142" t="s">
        <v>311</v>
      </c>
      <c r="C65" s="143" t="s">
        <v>103</v>
      </c>
      <c r="D65" s="42">
        <v>1590864870.6900001</v>
      </c>
      <c r="E65" s="28">
        <f t="shared" si="37"/>
        <v>4.5244847780556659E-4</v>
      </c>
      <c r="F65" s="29">
        <v>1</v>
      </c>
      <c r="G65" s="29">
        <v>1</v>
      </c>
      <c r="H65" s="30">
        <v>157</v>
      </c>
      <c r="I65" s="48">
        <v>0.198187</v>
      </c>
      <c r="J65" s="48">
        <v>0.198187</v>
      </c>
      <c r="K65" s="42">
        <v>1546578521.8499999</v>
      </c>
      <c r="L65" s="28">
        <f t="shared" si="38"/>
        <v>4.3985325901018659E-4</v>
      </c>
      <c r="M65" s="29">
        <v>1</v>
      </c>
      <c r="N65" s="29">
        <v>1</v>
      </c>
      <c r="O65" s="30">
        <v>157</v>
      </c>
      <c r="P65" s="48">
        <v>0.18360000000000001</v>
      </c>
      <c r="Q65" s="48">
        <v>0.18360000000000001</v>
      </c>
      <c r="R65" s="54">
        <f t="shared" si="21"/>
        <v>-2.7837907326969887E-2</v>
      </c>
      <c r="S65" s="54">
        <f t="shared" si="22"/>
        <v>0</v>
      </c>
      <c r="T65" s="54">
        <f t="shared" si="23"/>
        <v>0</v>
      </c>
      <c r="U65" s="55">
        <f t="shared" si="24"/>
        <v>-1.4586999999999989E-2</v>
      </c>
      <c r="V65" s="56">
        <f t="shared" si="25"/>
        <v>-1.4586999999999989E-2</v>
      </c>
    </row>
    <row r="66" spans="1:22">
      <c r="A66" s="141">
        <v>58</v>
      </c>
      <c r="B66" s="142" t="s">
        <v>104</v>
      </c>
      <c r="C66" s="143" t="s">
        <v>105</v>
      </c>
      <c r="D66" s="42">
        <v>5772953147.4700003</v>
      </c>
      <c r="E66" s="28">
        <f t="shared" si="37"/>
        <v>1.6418514935732905E-3</v>
      </c>
      <c r="F66" s="29">
        <v>1</v>
      </c>
      <c r="G66" s="29">
        <v>1</v>
      </c>
      <c r="H66" s="30">
        <v>466</v>
      </c>
      <c r="I66" s="48">
        <v>0.193</v>
      </c>
      <c r="J66" s="48">
        <v>0.193</v>
      </c>
      <c r="K66" s="42">
        <v>5980496182.1800003</v>
      </c>
      <c r="L66" s="28">
        <f t="shared" si="38"/>
        <v>1.7008775817494404E-3</v>
      </c>
      <c r="M66" s="29">
        <v>1</v>
      </c>
      <c r="N66" s="29">
        <v>1</v>
      </c>
      <c r="O66" s="30">
        <v>466</v>
      </c>
      <c r="P66" s="48">
        <v>0.19500000000000001</v>
      </c>
      <c r="Q66" s="48">
        <v>0.19500000000000001</v>
      </c>
      <c r="R66" s="54">
        <f t="shared" si="21"/>
        <v>3.5950930036727544E-2</v>
      </c>
      <c r="S66" s="54">
        <f t="shared" si="22"/>
        <v>0</v>
      </c>
      <c r="T66" s="54">
        <f t="shared" si="23"/>
        <v>0</v>
      </c>
      <c r="U66" s="55">
        <f t="shared" si="24"/>
        <v>2.0000000000000018E-3</v>
      </c>
      <c r="V66" s="56">
        <f t="shared" si="25"/>
        <v>2.0000000000000018E-3</v>
      </c>
    </row>
    <row r="67" spans="1:22">
      <c r="A67" s="141">
        <v>59</v>
      </c>
      <c r="B67" s="142" t="s">
        <v>106</v>
      </c>
      <c r="C67" s="143" t="s">
        <v>107</v>
      </c>
      <c r="D67" s="42">
        <v>6189866148.4799995</v>
      </c>
      <c r="E67" s="28">
        <f t="shared" si="37"/>
        <v>1.7604232567441688E-3</v>
      </c>
      <c r="F67" s="29">
        <v>1</v>
      </c>
      <c r="G67" s="29">
        <v>1</v>
      </c>
      <c r="H67" s="30">
        <v>4003</v>
      </c>
      <c r="I67" s="48">
        <v>0.2218</v>
      </c>
      <c r="J67" s="48">
        <v>0.2218</v>
      </c>
      <c r="K67" s="42">
        <v>6532047556.5799999</v>
      </c>
      <c r="L67" s="28">
        <f t="shared" si="38"/>
        <v>1.8577410491479077E-3</v>
      </c>
      <c r="M67" s="29">
        <v>1</v>
      </c>
      <c r="N67" s="29">
        <v>1</v>
      </c>
      <c r="O67" s="30">
        <v>4052</v>
      </c>
      <c r="P67" s="48">
        <v>0.2152</v>
      </c>
      <c r="Q67" s="48">
        <v>0.2152</v>
      </c>
      <c r="R67" s="54">
        <f t="shared" si="21"/>
        <v>5.5280905901984229E-2</v>
      </c>
      <c r="S67" s="54">
        <f t="shared" si="22"/>
        <v>0</v>
      </c>
      <c r="T67" s="54">
        <f t="shared" si="23"/>
        <v>1.2240819385460905E-2</v>
      </c>
      <c r="U67" s="55">
        <f t="shared" si="24"/>
        <v>-6.5999999999999948E-3</v>
      </c>
      <c r="V67" s="56">
        <f t="shared" si="25"/>
        <v>-6.5999999999999948E-3</v>
      </c>
    </row>
    <row r="68" spans="1:22">
      <c r="A68" s="141">
        <v>60</v>
      </c>
      <c r="B68" s="142" t="s">
        <v>108</v>
      </c>
      <c r="C68" s="143" t="s">
        <v>109</v>
      </c>
      <c r="D68" s="42">
        <v>114849432024.52</v>
      </c>
      <c r="E68" s="28">
        <f t="shared" si="37"/>
        <v>3.2663648342294495E-2</v>
      </c>
      <c r="F68" s="29">
        <v>1</v>
      </c>
      <c r="G68" s="29">
        <v>1</v>
      </c>
      <c r="H68" s="30">
        <v>5914</v>
      </c>
      <c r="I68" s="48">
        <v>0.19539999999999999</v>
      </c>
      <c r="J68" s="48">
        <v>0.19539999999999999</v>
      </c>
      <c r="K68" s="42">
        <v>120827451797.06</v>
      </c>
      <c r="L68" s="28">
        <f t="shared" si="38"/>
        <v>3.4363821623010778E-2</v>
      </c>
      <c r="M68" s="29">
        <v>1</v>
      </c>
      <c r="N68" s="29">
        <v>1</v>
      </c>
      <c r="O68" s="30">
        <v>5961</v>
      </c>
      <c r="P68" s="48">
        <v>0.19650000000000001</v>
      </c>
      <c r="Q68" s="48">
        <v>0.19650000000000001</v>
      </c>
      <c r="R68" s="54">
        <f t="shared" si="21"/>
        <v>5.2050930223701102E-2</v>
      </c>
      <c r="S68" s="54">
        <f t="shared" si="22"/>
        <v>0</v>
      </c>
      <c r="T68" s="54">
        <f t="shared" si="23"/>
        <v>7.9472438282042618E-3</v>
      </c>
      <c r="U68" s="55">
        <f t="shared" si="24"/>
        <v>1.1000000000000176E-3</v>
      </c>
      <c r="V68" s="56">
        <f t="shared" si="25"/>
        <v>1.1000000000000176E-3</v>
      </c>
    </row>
    <row r="69" spans="1:22">
      <c r="A69" s="34"/>
      <c r="B69" s="35"/>
      <c r="C69" s="36" t="s">
        <v>53</v>
      </c>
      <c r="D69" s="46">
        <f>SUM(D28:D68)</f>
        <v>3426266000665.1895</v>
      </c>
      <c r="E69" s="38">
        <f>(D69/$D$222)</f>
        <v>0.55619745995470748</v>
      </c>
      <c r="F69" s="39"/>
      <c r="G69" s="43"/>
      <c r="H69" s="41">
        <f>SUM(H28:H68)</f>
        <v>466237</v>
      </c>
      <c r="I69" s="53"/>
      <c r="J69" s="53"/>
      <c r="K69" s="46">
        <f>SUM(K28:K68)</f>
        <v>3516123821226.8936</v>
      </c>
      <c r="L69" s="38">
        <f>(K69/$K$222)</f>
        <v>0.55986481053788884</v>
      </c>
      <c r="M69" s="39"/>
      <c r="N69" s="43"/>
      <c r="O69" s="41">
        <f>SUM(O28:O68)</f>
        <v>471473</v>
      </c>
      <c r="P69" s="53"/>
      <c r="Q69" s="53"/>
      <c r="R69" s="54">
        <f t="shared" si="21"/>
        <v>2.6226165903131496E-2</v>
      </c>
      <c r="S69" s="54" t="e">
        <f t="shared" si="22"/>
        <v>#DIV/0!</v>
      </c>
      <c r="T69" s="54">
        <f t="shared" si="23"/>
        <v>1.1230339934411041E-2</v>
      </c>
      <c r="U69" s="55">
        <f t="shared" si="24"/>
        <v>0</v>
      </c>
      <c r="V69" s="56">
        <f t="shared" si="25"/>
        <v>0</v>
      </c>
    </row>
    <row r="70" spans="1:22" ht="3" customHeight="1">
      <c r="A70" s="34"/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</row>
    <row r="71" spans="1:22" ht="15" customHeight="1">
      <c r="A71" s="183" t="s">
        <v>110</v>
      </c>
      <c r="B71" s="183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</row>
    <row r="72" spans="1:22">
      <c r="A72" s="141">
        <v>61</v>
      </c>
      <c r="B72" s="142" t="s">
        <v>111</v>
      </c>
      <c r="C72" s="143" t="s">
        <v>21</v>
      </c>
      <c r="D72" s="27">
        <v>619772793.58000004</v>
      </c>
      <c r="E72" s="28">
        <f>(D72/$D$110)</f>
        <v>2.8470517516122756E-3</v>
      </c>
      <c r="F72" s="58">
        <v>1.6240000000000001</v>
      </c>
      <c r="G72" s="58">
        <v>1.6240000000000001</v>
      </c>
      <c r="H72" s="30">
        <v>484</v>
      </c>
      <c r="I72" s="48">
        <v>1.665E-3</v>
      </c>
      <c r="J72" s="48">
        <v>0.2457</v>
      </c>
      <c r="K72" s="27">
        <v>593516219.77999997</v>
      </c>
      <c r="L72" s="28">
        <f t="shared" ref="L72:L94" si="39">(K72/$K$110)</f>
        <v>2.6873939614952928E-3</v>
      </c>
      <c r="M72" s="58">
        <v>1.6065</v>
      </c>
      <c r="N72" s="58">
        <v>1.6065</v>
      </c>
      <c r="O72" s="30">
        <v>488</v>
      </c>
      <c r="P72" s="48">
        <v>-1.864E-3</v>
      </c>
      <c r="Q72" s="48">
        <v>0.23230000000000001</v>
      </c>
      <c r="R72" s="54">
        <f>((K72-D72)/D72)</f>
        <v>-4.2364837682425445E-2</v>
      </c>
      <c r="S72" s="54">
        <f>((N72-G72)/G72)</f>
        <v>-1.077586206896556E-2</v>
      </c>
      <c r="T72" s="54">
        <f>((O72-H72)/H72)</f>
        <v>8.2644628099173556E-3</v>
      </c>
      <c r="U72" s="55">
        <f>P72-I72</f>
        <v>-3.529E-3</v>
      </c>
      <c r="V72" s="56">
        <f>Q72-J72</f>
        <v>-1.3399999999999995E-2</v>
      </c>
    </row>
    <row r="73" spans="1:22">
      <c r="A73" s="141">
        <v>62</v>
      </c>
      <c r="B73" s="142" t="s">
        <v>112</v>
      </c>
      <c r="C73" s="143" t="s">
        <v>23</v>
      </c>
      <c r="D73" s="27">
        <v>1304329839.8800001</v>
      </c>
      <c r="E73" s="28">
        <f>(D73/$D$110)</f>
        <v>5.9917030785753209E-3</v>
      </c>
      <c r="F73" s="58">
        <v>1.3082</v>
      </c>
      <c r="G73" s="58">
        <v>1.3082</v>
      </c>
      <c r="H73" s="30">
        <v>1066</v>
      </c>
      <c r="I73" s="48">
        <v>0.26040000000000002</v>
      </c>
      <c r="J73" s="48">
        <v>0.1905</v>
      </c>
      <c r="K73" s="27">
        <v>1313596406.8399999</v>
      </c>
      <c r="L73" s="28">
        <f t="shared" si="39"/>
        <v>5.9478594416379378E-3</v>
      </c>
      <c r="M73" s="58">
        <v>1.3089</v>
      </c>
      <c r="N73" s="58">
        <v>1.3089</v>
      </c>
      <c r="O73" s="30">
        <v>1087</v>
      </c>
      <c r="P73" s="48">
        <v>0.18529999999999999</v>
      </c>
      <c r="Q73" s="48">
        <v>0.1905</v>
      </c>
      <c r="R73" s="54">
        <f t="shared" ref="R73:R110" si="40">((K73-D73)/D73)</f>
        <v>7.1044659691695275E-3</v>
      </c>
      <c r="S73" s="54">
        <f t="shared" ref="S73:S110" si="41">((N73-G73)/G73)</f>
        <v>5.3508637822956956E-4</v>
      </c>
      <c r="T73" s="54">
        <f t="shared" ref="T73:T110" si="42">((O73-H73)/H73)</f>
        <v>1.9699812382739212E-2</v>
      </c>
      <c r="U73" s="55">
        <f t="shared" ref="U73:U110" si="43">P73-I73</f>
        <v>-7.5100000000000028E-2</v>
      </c>
      <c r="V73" s="56">
        <f t="shared" ref="V73:V110" si="44">Q73-J73</f>
        <v>0</v>
      </c>
    </row>
    <row r="74" spans="1:22">
      <c r="A74" s="141">
        <v>63</v>
      </c>
      <c r="B74" s="142" t="s">
        <v>113</v>
      </c>
      <c r="C74" s="143" t="s">
        <v>23</v>
      </c>
      <c r="D74" s="27">
        <v>793246464.23000002</v>
      </c>
      <c r="E74" s="28">
        <f>(D74/$D$110)</f>
        <v>3.643938163856737E-3</v>
      </c>
      <c r="F74" s="58">
        <v>1.1479999999999999</v>
      </c>
      <c r="G74" s="58">
        <v>1.1479999999999999</v>
      </c>
      <c r="H74" s="30">
        <v>397</v>
      </c>
      <c r="I74" s="48">
        <v>0.11840000000000001</v>
      </c>
      <c r="J74" s="48">
        <v>0.1235</v>
      </c>
      <c r="K74" s="27">
        <v>796315906.75999999</v>
      </c>
      <c r="L74" s="28">
        <f t="shared" si="39"/>
        <v>3.6056547200390191E-3</v>
      </c>
      <c r="M74" s="58">
        <v>1.1506000000000001</v>
      </c>
      <c r="N74" s="58">
        <v>1.1506000000000001</v>
      </c>
      <c r="O74" s="30">
        <v>410</v>
      </c>
      <c r="P74" s="48">
        <v>0.1236</v>
      </c>
      <c r="Q74" s="48">
        <v>0.1235</v>
      </c>
      <c r="R74" s="54">
        <f t="shared" si="40"/>
        <v>3.8694689083543063E-3</v>
      </c>
      <c r="S74" s="54">
        <f t="shared" si="41"/>
        <v>2.2648083623694757E-3</v>
      </c>
      <c r="T74" s="54">
        <f t="shared" si="42"/>
        <v>3.2745591939546598E-2</v>
      </c>
      <c r="U74" s="55">
        <f t="shared" si="43"/>
        <v>5.1999999999999963E-3</v>
      </c>
      <c r="V74" s="56">
        <f t="shared" si="44"/>
        <v>0</v>
      </c>
    </row>
    <row r="75" spans="1:22">
      <c r="A75" s="141">
        <v>64</v>
      </c>
      <c r="B75" s="142" t="s">
        <v>114</v>
      </c>
      <c r="C75" s="143" t="s">
        <v>115</v>
      </c>
      <c r="D75" s="27">
        <v>307501316.88999999</v>
      </c>
      <c r="E75" s="28">
        <f>(D75/$D$110)</f>
        <v>1.4125695286134729E-3</v>
      </c>
      <c r="F75" s="33">
        <v>1210.1600000000001</v>
      </c>
      <c r="G75" s="33">
        <v>1210.1600000000001</v>
      </c>
      <c r="H75" s="30">
        <v>109</v>
      </c>
      <c r="I75" s="48">
        <v>8.3999999999999995E-3</v>
      </c>
      <c r="J75" s="48">
        <v>0.2356</v>
      </c>
      <c r="K75" s="27">
        <v>307262407.10000002</v>
      </c>
      <c r="L75" s="28">
        <f t="shared" si="39"/>
        <v>1.3912595981641844E-3</v>
      </c>
      <c r="M75" s="33">
        <v>1209.22</v>
      </c>
      <c r="N75" s="33">
        <v>1209.22</v>
      </c>
      <c r="O75" s="30">
        <v>109</v>
      </c>
      <c r="P75" s="48">
        <v>-1E-3</v>
      </c>
      <c r="Q75" s="48">
        <v>0.23050000000000001</v>
      </c>
      <c r="R75" s="54">
        <f t="shared" si="40"/>
        <v>-7.7693907920864337E-4</v>
      </c>
      <c r="S75" s="54">
        <f t="shared" si="41"/>
        <v>-7.7675679249029428E-4</v>
      </c>
      <c r="T75" s="54">
        <f t="shared" si="42"/>
        <v>0</v>
      </c>
      <c r="U75" s="55">
        <f t="shared" si="43"/>
        <v>-9.3999999999999986E-3</v>
      </c>
      <c r="V75" s="56">
        <f t="shared" si="44"/>
        <v>-5.0999999999999934E-3</v>
      </c>
    </row>
    <row r="76" spans="1:22" ht="15" customHeight="1">
      <c r="A76" s="141">
        <v>65</v>
      </c>
      <c r="B76" s="142" t="s">
        <v>116</v>
      </c>
      <c r="C76" s="143" t="s">
        <v>27</v>
      </c>
      <c r="D76" s="27">
        <v>1640775277.8399999</v>
      </c>
      <c r="E76" s="28">
        <f>(D76/$K$110)</f>
        <v>7.4292991950117614E-3</v>
      </c>
      <c r="F76" s="33">
        <v>1.0284</v>
      </c>
      <c r="G76" s="33">
        <v>1.0284</v>
      </c>
      <c r="H76" s="30">
        <v>947</v>
      </c>
      <c r="I76" s="48">
        <v>3.0000000000000001E-3</v>
      </c>
      <c r="J76" s="48">
        <v>9.2200000000000004E-2</v>
      </c>
      <c r="K76" s="27">
        <v>1631685010.3599999</v>
      </c>
      <c r="L76" s="28">
        <f t="shared" si="39"/>
        <v>7.3881391910894014E-3</v>
      </c>
      <c r="M76" s="33">
        <v>1.0316000000000001</v>
      </c>
      <c r="N76" s="33">
        <v>1.0316000000000001</v>
      </c>
      <c r="O76" s="30">
        <v>954</v>
      </c>
      <c r="P76" s="48">
        <v>3.0999999999999999E-3</v>
      </c>
      <c r="Q76" s="48">
        <v>9.5100000000000004E-2</v>
      </c>
      <c r="R76" s="54">
        <f t="shared" si="40"/>
        <v>-5.5402269907228914E-3</v>
      </c>
      <c r="S76" s="54">
        <f t="shared" si="41"/>
        <v>3.1116297160638778E-3</v>
      </c>
      <c r="T76" s="54">
        <f t="shared" si="42"/>
        <v>7.3917634635691657E-3</v>
      </c>
      <c r="U76" s="55">
        <f t="shared" si="43"/>
        <v>9.9999999999999829E-5</v>
      </c>
      <c r="V76" s="56">
        <f t="shared" si="44"/>
        <v>2.8999999999999998E-3</v>
      </c>
    </row>
    <row r="77" spans="1:22">
      <c r="A77" s="141">
        <v>66</v>
      </c>
      <c r="B77" s="142" t="s">
        <v>117</v>
      </c>
      <c r="C77" s="143" t="s">
        <v>118</v>
      </c>
      <c r="D77" s="27">
        <v>464445641.19397038</v>
      </c>
      <c r="E77" s="28">
        <f t="shared" ref="E77:E94" si="45">(D77/$D$110)</f>
        <v>2.1335250433500963E-3</v>
      </c>
      <c r="F77" s="33">
        <v>2.6629999999999998</v>
      </c>
      <c r="G77" s="33">
        <v>2.6629999999999998</v>
      </c>
      <c r="H77" s="30">
        <v>1391</v>
      </c>
      <c r="I77" s="48">
        <v>0.14330000000000001</v>
      </c>
      <c r="J77" s="48">
        <v>0.14399999999999999</v>
      </c>
      <c r="K77" s="27">
        <v>465745254.35945654</v>
      </c>
      <c r="L77" s="28">
        <f t="shared" si="39"/>
        <v>2.1088572518281664E-3</v>
      </c>
      <c r="M77" s="33">
        <v>2.6703000000000001</v>
      </c>
      <c r="N77" s="33">
        <v>2.6703000000000001</v>
      </c>
      <c r="O77" s="30">
        <v>1391</v>
      </c>
      <c r="P77" s="48">
        <v>0.1429</v>
      </c>
      <c r="Q77" s="48">
        <v>0.14430000000000001</v>
      </c>
      <c r="R77" s="54">
        <f t="shared" si="40"/>
        <v>2.7982029546992529E-3</v>
      </c>
      <c r="S77" s="54">
        <f t="shared" si="41"/>
        <v>2.7412692452122821E-3</v>
      </c>
      <c r="T77" s="54">
        <f t="shared" si="42"/>
        <v>0</v>
      </c>
      <c r="U77" s="55">
        <f t="shared" si="43"/>
        <v>-4.0000000000001146E-4</v>
      </c>
      <c r="V77" s="56">
        <f t="shared" si="44"/>
        <v>3.0000000000002247E-4</v>
      </c>
    </row>
    <row r="78" spans="1:22">
      <c r="A78" s="141">
        <v>67</v>
      </c>
      <c r="B78" s="142" t="s">
        <v>119</v>
      </c>
      <c r="C78" s="143" t="s">
        <v>63</v>
      </c>
      <c r="D78" s="27">
        <v>172684781.03</v>
      </c>
      <c r="E78" s="28">
        <f t="shared" si="45"/>
        <v>7.9326248812627614E-4</v>
      </c>
      <c r="F78" s="33">
        <v>11.87</v>
      </c>
      <c r="G78" s="33">
        <v>11.92</v>
      </c>
      <c r="H78" s="30">
        <v>30</v>
      </c>
      <c r="I78" s="48">
        <v>0.501</v>
      </c>
      <c r="J78" s="48">
        <v>0.35099999999999998</v>
      </c>
      <c r="K78" s="27">
        <v>171723789.91999999</v>
      </c>
      <c r="L78" s="28">
        <f t="shared" si="39"/>
        <v>7.7755158274723406E-4</v>
      </c>
      <c r="M78" s="33">
        <v>11.84</v>
      </c>
      <c r="N78" s="33">
        <v>11.9</v>
      </c>
      <c r="O78" s="30">
        <v>30</v>
      </c>
      <c r="P78" s="48">
        <v>-0.23599999999999999</v>
      </c>
      <c r="Q78" s="48">
        <v>0.33200000000000002</v>
      </c>
      <c r="R78" s="54">
        <f t="shared" si="40"/>
        <v>-5.5650017579317789E-3</v>
      </c>
      <c r="S78" s="54">
        <f t="shared" si="41"/>
        <v>-1.6778523489932528E-3</v>
      </c>
      <c r="T78" s="54">
        <f t="shared" si="42"/>
        <v>0</v>
      </c>
      <c r="U78" s="55">
        <f t="shared" si="43"/>
        <v>-0.73699999999999999</v>
      </c>
      <c r="V78" s="56">
        <f t="shared" si="44"/>
        <v>-1.8999999999999961E-2</v>
      </c>
    </row>
    <row r="79" spans="1:22">
      <c r="A79" s="141">
        <v>68</v>
      </c>
      <c r="B79" s="142" t="s">
        <v>120</v>
      </c>
      <c r="C79" s="143" t="s">
        <v>65</v>
      </c>
      <c r="D79" s="27">
        <v>1800791184.79954</v>
      </c>
      <c r="E79" s="28">
        <f t="shared" si="45"/>
        <v>8.2722987360523623E-3</v>
      </c>
      <c r="F79" s="27">
        <v>4675.7419049786504</v>
      </c>
      <c r="G79" s="27">
        <v>4675.7419049786504</v>
      </c>
      <c r="H79" s="30">
        <v>1122</v>
      </c>
      <c r="I79" s="48">
        <v>0.10108321276767264</v>
      </c>
      <c r="J79" s="48">
        <v>0.11778976412469484</v>
      </c>
      <c r="K79" s="27">
        <v>2086326471.74718</v>
      </c>
      <c r="L79" s="28">
        <f t="shared" si="39"/>
        <v>9.4467193566494783E-3</v>
      </c>
      <c r="M79" s="27">
        <v>4684.4028476138201</v>
      </c>
      <c r="N79" s="27">
        <v>4684.4028476138201</v>
      </c>
      <c r="O79" s="30">
        <v>1127</v>
      </c>
      <c r="P79" s="48">
        <v>9.6584949239236648E-2</v>
      </c>
      <c r="Q79" s="48">
        <v>0.11730390555995661</v>
      </c>
      <c r="R79" s="54">
        <f t="shared" si="40"/>
        <v>0.15856101993270535</v>
      </c>
      <c r="S79" s="54">
        <f t="shared" si="41"/>
        <v>1.8523140949990588E-3</v>
      </c>
      <c r="T79" s="54">
        <f t="shared" si="42"/>
        <v>4.4563279857397506E-3</v>
      </c>
      <c r="U79" s="55">
        <f t="shared" si="43"/>
        <v>-4.4982635284359918E-3</v>
      </c>
      <c r="V79" s="56">
        <f t="shared" si="44"/>
        <v>-4.8585856473823408E-4</v>
      </c>
    </row>
    <row r="80" spans="1:22">
      <c r="A80" s="141">
        <v>69</v>
      </c>
      <c r="B80" s="142" t="s">
        <v>121</v>
      </c>
      <c r="C80" s="143" t="s">
        <v>67</v>
      </c>
      <c r="D80" s="27">
        <v>346331881.51999998</v>
      </c>
      <c r="E80" s="28">
        <f t="shared" si="45"/>
        <v>1.5909455854380213E-3</v>
      </c>
      <c r="F80" s="58">
        <v>112.75</v>
      </c>
      <c r="G80" s="58">
        <v>112.75</v>
      </c>
      <c r="H80" s="30">
        <v>91</v>
      </c>
      <c r="I80" s="48">
        <v>2.2000000000000001E-3</v>
      </c>
      <c r="J80" s="48">
        <v>0.1242</v>
      </c>
      <c r="K80" s="27">
        <v>347295589.80000001</v>
      </c>
      <c r="L80" s="28">
        <f t="shared" si="39"/>
        <v>1.5725266467501466E-3</v>
      </c>
      <c r="M80" s="58">
        <v>113.02</v>
      </c>
      <c r="N80" s="58">
        <v>113.02</v>
      </c>
      <c r="O80" s="30">
        <v>91</v>
      </c>
      <c r="P80" s="48">
        <v>2.3999999999999998E-3</v>
      </c>
      <c r="Q80" s="48">
        <v>0.1258</v>
      </c>
      <c r="R80" s="54">
        <f t="shared" si="40"/>
        <v>2.7826149754693569E-3</v>
      </c>
      <c r="S80" s="54">
        <f t="shared" si="41"/>
        <v>2.3946784922394327E-3</v>
      </c>
      <c r="T80" s="54">
        <f t="shared" si="42"/>
        <v>0</v>
      </c>
      <c r="U80" s="55">
        <f t="shared" si="43"/>
        <v>1.9999999999999966E-4</v>
      </c>
      <c r="V80" s="56">
        <f t="shared" si="44"/>
        <v>1.5999999999999903E-3</v>
      </c>
    </row>
    <row r="81" spans="1:22" ht="13.5" customHeight="1">
      <c r="A81" s="141">
        <v>70</v>
      </c>
      <c r="B81" s="142" t="s">
        <v>122</v>
      </c>
      <c r="C81" s="143" t="s">
        <v>296</v>
      </c>
      <c r="D81" s="27">
        <v>415008028.66000003</v>
      </c>
      <c r="E81" s="28">
        <f t="shared" si="45"/>
        <v>1.9064233654152755E-3</v>
      </c>
      <c r="F81" s="58">
        <v>1.5268999999999999</v>
      </c>
      <c r="G81" s="58">
        <v>1.5268999999999999</v>
      </c>
      <c r="H81" s="30">
        <v>510</v>
      </c>
      <c r="I81" s="48">
        <v>4.3412484378082539E-3</v>
      </c>
      <c r="J81" s="48">
        <v>0.15918871985031535</v>
      </c>
      <c r="K81" s="27">
        <v>412886387.91000003</v>
      </c>
      <c r="L81" s="28">
        <f t="shared" si="39"/>
        <v>1.8695165332873816E-3</v>
      </c>
      <c r="M81" s="58">
        <v>1.4494</v>
      </c>
      <c r="N81" s="58">
        <v>1.4494</v>
      </c>
      <c r="O81" s="30">
        <v>548</v>
      </c>
      <c r="P81" s="48">
        <v>-5.0756434606064493E-2</v>
      </c>
      <c r="Q81" s="48">
        <v>0.10259872350128296</v>
      </c>
      <c r="R81" s="54">
        <f t="shared" si="40"/>
        <v>-5.112288446202996E-3</v>
      </c>
      <c r="S81" s="54">
        <f t="shared" si="41"/>
        <v>-5.0756434606064514E-2</v>
      </c>
      <c r="T81" s="54">
        <f t="shared" si="42"/>
        <v>7.4509803921568626E-2</v>
      </c>
      <c r="U81" s="55">
        <f t="shared" si="43"/>
        <v>-5.5097683043872747E-2</v>
      </c>
      <c r="V81" s="56">
        <f t="shared" si="44"/>
        <v>-5.658999634903239E-2</v>
      </c>
    </row>
    <row r="82" spans="1:22" ht="13.5" customHeight="1">
      <c r="A82" s="141">
        <v>71</v>
      </c>
      <c r="B82" s="142" t="s">
        <v>294</v>
      </c>
      <c r="C82" s="143" t="s">
        <v>296</v>
      </c>
      <c r="D82" s="27">
        <v>25966006.039999999</v>
      </c>
      <c r="E82" s="28">
        <f t="shared" si="45"/>
        <v>1.1928010352234752E-4</v>
      </c>
      <c r="F82" s="58">
        <v>0.85570000000000002</v>
      </c>
      <c r="G82" s="58">
        <v>0.85570000000000002</v>
      </c>
      <c r="H82" s="30">
        <v>1</v>
      </c>
      <c r="I82" s="48">
        <v>-3.504672897195471E-4</v>
      </c>
      <c r="J82" s="48">
        <v>-0.13670298627925748</v>
      </c>
      <c r="K82" s="27">
        <v>23405973.600000001</v>
      </c>
      <c r="L82" s="28">
        <f t="shared" si="39"/>
        <v>1.0598037596828261E-4</v>
      </c>
      <c r="M82" s="58">
        <v>0.90249999999999997</v>
      </c>
      <c r="N82" s="58">
        <v>0.90249999999999997</v>
      </c>
      <c r="O82" s="30">
        <v>1</v>
      </c>
      <c r="P82" s="48">
        <v>5.4692064976042953E-2</v>
      </c>
      <c r="Q82" s="48">
        <v>-8.9487489911218687E-2</v>
      </c>
      <c r="R82" s="54">
        <f t="shared" ref="R82" si="46">((K82-D82)/D82)</f>
        <v>-9.859169084595952E-2</v>
      </c>
      <c r="S82" s="54">
        <f t="shared" ref="S82" si="47">((N82-G82)/G82)</f>
        <v>5.4692064976042946E-2</v>
      </c>
      <c r="T82" s="54">
        <f t="shared" ref="T82" si="48">((O82-H82)/H82)</f>
        <v>0</v>
      </c>
      <c r="U82" s="55">
        <f t="shared" ref="U82" si="49">P82-I82</f>
        <v>5.50425322657625E-2</v>
      </c>
      <c r="V82" s="56">
        <f t="shared" ref="V82" si="50">Q82-J82</f>
        <v>4.721549636803879E-2</v>
      </c>
    </row>
    <row r="83" spans="1:22">
      <c r="A83" s="141">
        <v>72</v>
      </c>
      <c r="B83" s="142" t="s">
        <v>124</v>
      </c>
      <c r="C83" s="143" t="s">
        <v>29</v>
      </c>
      <c r="D83" s="27">
        <v>145130872.5</v>
      </c>
      <c r="E83" s="28">
        <f t="shared" si="45"/>
        <v>6.666880331700261E-4</v>
      </c>
      <c r="F83" s="58">
        <v>129.2697</v>
      </c>
      <c r="G83" s="58">
        <v>129.2697</v>
      </c>
      <c r="H83" s="30">
        <v>274</v>
      </c>
      <c r="I83" s="48">
        <v>3.0400000000000002E-4</v>
      </c>
      <c r="J83" s="48">
        <v>7.9799999999999996E-2</v>
      </c>
      <c r="K83" s="27">
        <v>147892642.69999999</v>
      </c>
      <c r="L83" s="28">
        <f t="shared" si="39"/>
        <v>6.6964605464174683E-4</v>
      </c>
      <c r="M83" s="58">
        <v>129.6558</v>
      </c>
      <c r="N83" s="58">
        <v>129.6558</v>
      </c>
      <c r="O83" s="30">
        <v>278</v>
      </c>
      <c r="P83" s="48">
        <v>4.0400000000000001E-4</v>
      </c>
      <c r="Q83" s="48">
        <v>9.5000000000000001E-2</v>
      </c>
      <c r="R83" s="54">
        <f t="shared" si="40"/>
        <v>1.9029515584287473E-2</v>
      </c>
      <c r="S83" s="54">
        <f t="shared" si="41"/>
        <v>2.9867788043137643E-3</v>
      </c>
      <c r="T83" s="54">
        <f t="shared" si="42"/>
        <v>1.4598540145985401E-2</v>
      </c>
      <c r="U83" s="55">
        <f t="shared" si="43"/>
        <v>9.9999999999999991E-5</v>
      </c>
      <c r="V83" s="56">
        <f t="shared" si="44"/>
        <v>1.5200000000000005E-2</v>
      </c>
    </row>
    <row r="84" spans="1:22">
      <c r="A84" s="141">
        <v>73</v>
      </c>
      <c r="B84" s="142" t="s">
        <v>125</v>
      </c>
      <c r="C84" s="143" t="s">
        <v>96</v>
      </c>
      <c r="D84" s="27">
        <v>2031253067.9874713</v>
      </c>
      <c r="E84" s="28">
        <f t="shared" si="45"/>
        <v>9.3309720353755097E-3</v>
      </c>
      <c r="F84" s="33">
        <v>1000</v>
      </c>
      <c r="G84" s="33">
        <v>1000</v>
      </c>
      <c r="H84" s="30">
        <v>366</v>
      </c>
      <c r="I84" s="48">
        <v>1.9099999999999999E-2</v>
      </c>
      <c r="J84" s="48">
        <v>0.2089</v>
      </c>
      <c r="K84" s="27">
        <v>2058732841.5450001</v>
      </c>
      <c r="L84" s="28">
        <f t="shared" si="39"/>
        <v>9.3217776066016698E-3</v>
      </c>
      <c r="M84" s="33">
        <v>1209.3</v>
      </c>
      <c r="N84" s="33">
        <v>1209.3</v>
      </c>
      <c r="O84" s="30">
        <v>368</v>
      </c>
      <c r="P84" s="48">
        <v>1.83E-2</v>
      </c>
      <c r="Q84" s="48">
        <v>0.20180000000000001</v>
      </c>
      <c r="R84" s="54">
        <f t="shared" si="40"/>
        <v>1.3528483471906922E-2</v>
      </c>
      <c r="S84" s="54">
        <f t="shared" si="41"/>
        <v>0.20929999999999996</v>
      </c>
      <c r="T84" s="54">
        <f t="shared" si="42"/>
        <v>5.4644808743169399E-3</v>
      </c>
      <c r="U84" s="55">
        <f t="shared" si="43"/>
        <v>-7.9999999999999863E-4</v>
      </c>
      <c r="V84" s="56">
        <f t="shared" si="44"/>
        <v>-7.0999999999999952E-3</v>
      </c>
    </row>
    <row r="85" spans="1:22">
      <c r="A85" s="141">
        <v>74</v>
      </c>
      <c r="B85" s="142" t="s">
        <v>126</v>
      </c>
      <c r="C85" s="143" t="s">
        <v>70</v>
      </c>
      <c r="D85" s="27">
        <v>161772396.06</v>
      </c>
      <c r="E85" s="28">
        <f t="shared" si="45"/>
        <v>7.4313423941169989E-4</v>
      </c>
      <c r="F85" s="33">
        <v>1104.48</v>
      </c>
      <c r="G85" s="33">
        <v>1121.1600000000001</v>
      </c>
      <c r="H85" s="30">
        <v>71</v>
      </c>
      <c r="I85" s="48">
        <v>6.7000000000000002E-3</v>
      </c>
      <c r="J85" s="48">
        <v>0.1009</v>
      </c>
      <c r="K85" s="27">
        <v>162275896.02000001</v>
      </c>
      <c r="L85" s="28">
        <f t="shared" si="39"/>
        <v>7.3477227500545143E-4</v>
      </c>
      <c r="M85" s="33">
        <v>1105.6600000000001</v>
      </c>
      <c r="N85" s="33">
        <v>1122.92</v>
      </c>
      <c r="O85" s="30">
        <v>71</v>
      </c>
      <c r="P85" s="48">
        <v>1.5E-3</v>
      </c>
      <c r="Q85" s="48">
        <v>0.1024</v>
      </c>
      <c r="R85" s="54">
        <f t="shared" si="40"/>
        <v>3.112397246148623E-3</v>
      </c>
      <c r="S85" s="54">
        <f t="shared" si="41"/>
        <v>1.5698027043419232E-3</v>
      </c>
      <c r="T85" s="54">
        <f t="shared" si="42"/>
        <v>0</v>
      </c>
      <c r="U85" s="55">
        <f t="shared" si="43"/>
        <v>-5.1999999999999998E-3</v>
      </c>
      <c r="V85" s="56">
        <f t="shared" si="44"/>
        <v>1.5000000000000013E-3</v>
      </c>
    </row>
    <row r="86" spans="1:22">
      <c r="A86" s="141">
        <v>75</v>
      </c>
      <c r="B86" s="142" t="s">
        <v>127</v>
      </c>
      <c r="C86" s="143" t="s">
        <v>73</v>
      </c>
      <c r="D86" s="27">
        <v>678558239.64999998</v>
      </c>
      <c r="E86" s="28">
        <f t="shared" si="45"/>
        <v>3.1170945946292286E-3</v>
      </c>
      <c r="F86" s="59">
        <v>1.1411</v>
      </c>
      <c r="G86" s="59">
        <v>1.1411</v>
      </c>
      <c r="H86" s="30">
        <v>51</v>
      </c>
      <c r="I86" s="48">
        <v>1.5E-3</v>
      </c>
      <c r="J86" s="48">
        <v>0.1115</v>
      </c>
      <c r="K86" s="27">
        <v>681568004.76999998</v>
      </c>
      <c r="L86" s="28">
        <f t="shared" si="39"/>
        <v>3.0860853997321789E-3</v>
      </c>
      <c r="M86" s="59">
        <v>1.1433</v>
      </c>
      <c r="N86" s="59">
        <v>1.1433</v>
      </c>
      <c r="O86" s="30">
        <v>50</v>
      </c>
      <c r="P86" s="48">
        <v>1.5E-3</v>
      </c>
      <c r="Q86" s="48">
        <v>0.111</v>
      </c>
      <c r="R86" s="54">
        <f t="shared" si="40"/>
        <v>4.4355295450430902E-3</v>
      </c>
      <c r="S86" s="54">
        <f t="shared" si="41"/>
        <v>1.9279642450267108E-3</v>
      </c>
      <c r="T86" s="54">
        <f t="shared" si="42"/>
        <v>-1.9607843137254902E-2</v>
      </c>
      <c r="U86" s="55">
        <f t="shared" si="43"/>
        <v>0</v>
      </c>
      <c r="V86" s="56">
        <f t="shared" si="44"/>
        <v>-5.0000000000000044E-4</v>
      </c>
    </row>
    <row r="87" spans="1:22">
      <c r="A87" s="141">
        <v>76</v>
      </c>
      <c r="B87" s="142" t="s">
        <v>128</v>
      </c>
      <c r="C87" s="143" t="s">
        <v>31</v>
      </c>
      <c r="D87" s="27">
        <v>11807027842.370001</v>
      </c>
      <c r="E87" s="28">
        <f t="shared" si="45"/>
        <v>5.4237971798959547E-2</v>
      </c>
      <c r="F87" s="59">
        <v>1727.32</v>
      </c>
      <c r="G87" s="59">
        <v>1727.32</v>
      </c>
      <c r="H87" s="30">
        <v>2066</v>
      </c>
      <c r="I87" s="48">
        <v>6.9999999999999999E-4</v>
      </c>
      <c r="J87" s="48">
        <v>2.0299999999999999E-2</v>
      </c>
      <c r="K87" s="27">
        <v>11795166768.440001</v>
      </c>
      <c r="L87" s="28">
        <f t="shared" si="39"/>
        <v>5.3407571506782534E-2</v>
      </c>
      <c r="M87" s="59">
        <v>1728.49</v>
      </c>
      <c r="N87" s="59">
        <v>1728.49</v>
      </c>
      <c r="O87" s="30">
        <v>2066</v>
      </c>
      <c r="P87" s="48">
        <v>6.9999999999999999E-4</v>
      </c>
      <c r="Q87" s="48">
        <v>2.1000000000000001E-2</v>
      </c>
      <c r="R87" s="54">
        <f t="shared" si="40"/>
        <v>-1.0045774506803784E-3</v>
      </c>
      <c r="S87" s="54">
        <f t="shared" si="41"/>
        <v>6.7734988305587435E-4</v>
      </c>
      <c r="T87" s="54">
        <f t="shared" si="42"/>
        <v>0</v>
      </c>
      <c r="U87" s="55">
        <f t="shared" si="43"/>
        <v>0</v>
      </c>
      <c r="V87" s="56">
        <f t="shared" si="44"/>
        <v>7.000000000000027E-4</v>
      </c>
    </row>
    <row r="88" spans="1:22">
      <c r="A88" s="141">
        <v>77</v>
      </c>
      <c r="B88" s="142" t="s">
        <v>129</v>
      </c>
      <c r="C88" s="143" t="s">
        <v>78</v>
      </c>
      <c r="D88" s="27">
        <v>23280175.120000001</v>
      </c>
      <c r="E88" s="28">
        <f t="shared" si="45"/>
        <v>1.0694219565590069E-4</v>
      </c>
      <c r="F88" s="58">
        <v>0.71</v>
      </c>
      <c r="G88" s="58">
        <v>0.71</v>
      </c>
      <c r="H88" s="30">
        <v>746</v>
      </c>
      <c r="I88" s="48">
        <v>2.0999999999999999E-3</v>
      </c>
      <c r="J88" s="48">
        <v>-9.2999999999999992E-3</v>
      </c>
      <c r="K88" s="27">
        <v>23240582.780000001</v>
      </c>
      <c r="L88" s="28">
        <f t="shared" si="39"/>
        <v>1.0523149956669159E-4</v>
      </c>
      <c r="M88" s="58">
        <v>0.70879999999999999</v>
      </c>
      <c r="N88" s="58">
        <v>0.70879999999999999</v>
      </c>
      <c r="O88" s="30">
        <v>746</v>
      </c>
      <c r="P88" s="48">
        <v>-1.6999999999999999E-3</v>
      </c>
      <c r="Q88" s="48">
        <v>-1.0999999999999999E-2</v>
      </c>
      <c r="R88" s="54">
        <f t="shared" si="40"/>
        <v>-1.7006890968782305E-3</v>
      </c>
      <c r="S88" s="54">
        <f t="shared" si="41"/>
        <v>-1.6901408450703929E-3</v>
      </c>
      <c r="T88" s="54">
        <f t="shared" si="42"/>
        <v>0</v>
      </c>
      <c r="U88" s="55">
        <f t="shared" si="43"/>
        <v>-3.7999999999999996E-3</v>
      </c>
      <c r="V88" s="56">
        <f t="shared" si="44"/>
        <v>-1.7000000000000001E-3</v>
      </c>
    </row>
    <row r="89" spans="1:22">
      <c r="A89" s="141">
        <v>78</v>
      </c>
      <c r="B89" s="142" t="s">
        <v>130</v>
      </c>
      <c r="C89" s="143" t="s">
        <v>37</v>
      </c>
      <c r="D89" s="27">
        <v>10542349567.84</v>
      </c>
      <c r="E89" s="28">
        <f t="shared" si="45"/>
        <v>4.8428416210163173E-2</v>
      </c>
      <c r="F89" s="58">
        <v>1</v>
      </c>
      <c r="G89" s="58">
        <v>1</v>
      </c>
      <c r="H89" s="30">
        <v>4337</v>
      </c>
      <c r="I89" s="48">
        <v>0.06</v>
      </c>
      <c r="J89" s="48">
        <v>0.06</v>
      </c>
      <c r="K89" s="27">
        <v>10564378799.700001</v>
      </c>
      <c r="L89" s="28">
        <f t="shared" si="39"/>
        <v>4.7834662048134594E-2</v>
      </c>
      <c r="M89" s="58">
        <v>1</v>
      </c>
      <c r="N89" s="58">
        <v>1</v>
      </c>
      <c r="O89" s="30">
        <v>4351</v>
      </c>
      <c r="P89" s="48">
        <v>0.06</v>
      </c>
      <c r="Q89" s="48">
        <v>0.06</v>
      </c>
      <c r="R89" s="54">
        <f t="shared" si="40"/>
        <v>2.089594138217723E-3</v>
      </c>
      <c r="S89" s="54">
        <f t="shared" si="41"/>
        <v>0</v>
      </c>
      <c r="T89" s="54">
        <f t="shared" si="42"/>
        <v>3.2280378141572516E-3</v>
      </c>
      <c r="U89" s="55">
        <f t="shared" si="43"/>
        <v>0</v>
      </c>
      <c r="V89" s="56">
        <f t="shared" si="44"/>
        <v>0</v>
      </c>
    </row>
    <row r="90" spans="1:22">
      <c r="A90" s="141">
        <v>79</v>
      </c>
      <c r="B90" s="142" t="s">
        <v>131</v>
      </c>
      <c r="C90" s="143" t="s">
        <v>132</v>
      </c>
      <c r="D90" s="27">
        <v>1571381936.5999999</v>
      </c>
      <c r="E90" s="28">
        <f t="shared" si="45"/>
        <v>7.2184609285716288E-3</v>
      </c>
      <c r="F90" s="27">
        <v>261.8</v>
      </c>
      <c r="G90" s="27">
        <v>264.7</v>
      </c>
      <c r="H90" s="30">
        <v>562</v>
      </c>
      <c r="I90" s="48">
        <v>3.0000000000000001E-3</v>
      </c>
      <c r="J90" s="48">
        <v>0.18729999999999999</v>
      </c>
      <c r="K90" s="27">
        <v>1575339733.6700001</v>
      </c>
      <c r="L90" s="28">
        <f t="shared" si="39"/>
        <v>7.1330122858944351E-3</v>
      </c>
      <c r="M90" s="27">
        <v>258.66000000000003</v>
      </c>
      <c r="N90" s="27">
        <v>261.62</v>
      </c>
      <c r="O90" s="30">
        <v>562</v>
      </c>
      <c r="P90" s="48">
        <v>3.0000000000000001E-3</v>
      </c>
      <c r="Q90" s="48">
        <v>0.18729999999999999</v>
      </c>
      <c r="R90" s="54">
        <f t="shared" si="40"/>
        <v>2.5186728813770508E-3</v>
      </c>
      <c r="S90" s="54">
        <f t="shared" si="41"/>
        <v>-1.1635814129202811E-2</v>
      </c>
      <c r="T90" s="54">
        <f t="shared" si="42"/>
        <v>0</v>
      </c>
      <c r="U90" s="55">
        <f t="shared" si="43"/>
        <v>0</v>
      </c>
      <c r="V90" s="56">
        <f t="shared" si="44"/>
        <v>0</v>
      </c>
    </row>
    <row r="91" spans="1:22">
      <c r="A91" s="141">
        <v>80</v>
      </c>
      <c r="B91" s="142" t="s">
        <v>133</v>
      </c>
      <c r="C91" s="143" t="s">
        <v>41</v>
      </c>
      <c r="D91" s="27">
        <v>1135301791.1099999</v>
      </c>
      <c r="E91" s="28">
        <f t="shared" si="45"/>
        <v>5.2152385301034668E-3</v>
      </c>
      <c r="F91" s="58">
        <v>3.86</v>
      </c>
      <c r="G91" s="58">
        <v>3.86</v>
      </c>
      <c r="H91" s="44">
        <v>770</v>
      </c>
      <c r="I91" s="51">
        <v>7.9000000000000008E-3</v>
      </c>
      <c r="J91" s="51">
        <v>0.1143</v>
      </c>
      <c r="K91" s="27">
        <v>1137131881.25</v>
      </c>
      <c r="L91" s="28">
        <f t="shared" si="39"/>
        <v>5.1488421870387602E-3</v>
      </c>
      <c r="M91" s="58">
        <v>3.86</v>
      </c>
      <c r="N91" s="58">
        <v>3.86</v>
      </c>
      <c r="O91" s="44">
        <v>770</v>
      </c>
      <c r="P91" s="51">
        <v>1.6000000000000001E-3</v>
      </c>
      <c r="Q91" s="51">
        <v>0.1135</v>
      </c>
      <c r="R91" s="54">
        <f t="shared" si="40"/>
        <v>1.6119856009482738E-3</v>
      </c>
      <c r="S91" s="54">
        <f t="shared" si="41"/>
        <v>0</v>
      </c>
      <c r="T91" s="54">
        <f t="shared" si="42"/>
        <v>0</v>
      </c>
      <c r="U91" s="55">
        <f t="shared" si="43"/>
        <v>-6.3000000000000009E-3</v>
      </c>
      <c r="V91" s="56">
        <f t="shared" si="44"/>
        <v>-7.9999999999999516E-4</v>
      </c>
    </row>
    <row r="92" spans="1:22">
      <c r="A92" s="141">
        <v>81</v>
      </c>
      <c r="B92" s="142" t="s">
        <v>134</v>
      </c>
      <c r="C92" s="143" t="s">
        <v>43</v>
      </c>
      <c r="D92" s="27">
        <v>613059335.88</v>
      </c>
      <c r="E92" s="28">
        <f t="shared" si="45"/>
        <v>2.8162121250553335E-3</v>
      </c>
      <c r="F92" s="58">
        <v>113.26</v>
      </c>
      <c r="G92" s="58">
        <v>113.26</v>
      </c>
      <c r="H92" s="44">
        <v>69</v>
      </c>
      <c r="I92" s="51">
        <v>0.14799999999999999</v>
      </c>
      <c r="J92" s="51">
        <v>0.17419999999999999</v>
      </c>
      <c r="K92" s="27">
        <v>614015140.67000008</v>
      </c>
      <c r="L92" s="28">
        <f t="shared" si="39"/>
        <v>2.7802114353587298E-3</v>
      </c>
      <c r="M92" s="58">
        <v>113.57</v>
      </c>
      <c r="N92" s="58">
        <v>113.57</v>
      </c>
      <c r="O92" s="44">
        <v>72</v>
      </c>
      <c r="P92" s="51">
        <v>0.14990000000000001</v>
      </c>
      <c r="Q92" s="51">
        <v>0.1731</v>
      </c>
      <c r="R92" s="54">
        <f t="shared" si="40"/>
        <v>1.5590738678305845E-3</v>
      </c>
      <c r="S92" s="54">
        <f t="shared" si="41"/>
        <v>2.7370651598091827E-3</v>
      </c>
      <c r="T92" s="54">
        <f t="shared" si="42"/>
        <v>4.3478260869565216E-2</v>
      </c>
      <c r="U92" s="55">
        <f t="shared" si="43"/>
        <v>1.9000000000000128E-3</v>
      </c>
      <c r="V92" s="56">
        <f t="shared" si="44"/>
        <v>-1.0999999999999899E-3</v>
      </c>
    </row>
    <row r="93" spans="1:22">
      <c r="A93" s="141">
        <v>82</v>
      </c>
      <c r="B93" s="143" t="s">
        <v>135</v>
      </c>
      <c r="C93" s="173" t="s">
        <v>47</v>
      </c>
      <c r="D93" s="27">
        <v>958210253.57000005</v>
      </c>
      <c r="E93" s="28">
        <f t="shared" si="45"/>
        <v>4.401732714146918E-3</v>
      </c>
      <c r="F93" s="58">
        <v>106.49</v>
      </c>
      <c r="G93" s="58">
        <v>106.49</v>
      </c>
      <c r="H93" s="30">
        <v>289</v>
      </c>
      <c r="I93" s="48">
        <v>2.0000000000000001E-4</v>
      </c>
      <c r="J93" s="48">
        <v>9.1700000000000004E-2</v>
      </c>
      <c r="K93" s="27">
        <v>961241740.00999999</v>
      </c>
      <c r="L93" s="28">
        <f t="shared" si="39"/>
        <v>4.3524256988252755E-3</v>
      </c>
      <c r="M93" s="58">
        <v>106.71</v>
      </c>
      <c r="N93" s="58">
        <v>106.71</v>
      </c>
      <c r="O93" s="30">
        <v>289</v>
      </c>
      <c r="P93" s="48">
        <v>1E-4</v>
      </c>
      <c r="Q93" s="48">
        <v>9.3899999999999997E-2</v>
      </c>
      <c r="R93" s="54">
        <f t="shared" si="40"/>
        <v>3.1636965151495104E-3</v>
      </c>
      <c r="S93" s="54">
        <f t="shared" si="41"/>
        <v>2.0659216827871056E-3</v>
      </c>
      <c r="T93" s="54">
        <f t="shared" si="42"/>
        <v>0</v>
      </c>
      <c r="U93" s="55">
        <f t="shared" si="43"/>
        <v>-1E-4</v>
      </c>
      <c r="V93" s="56">
        <f t="shared" si="44"/>
        <v>2.1999999999999936E-3</v>
      </c>
    </row>
    <row r="94" spans="1:22">
      <c r="A94" s="141">
        <v>83</v>
      </c>
      <c r="B94" s="142" t="s">
        <v>136</v>
      </c>
      <c r="C94" s="143" t="s">
        <v>19</v>
      </c>
      <c r="D94" s="27">
        <v>1492531009.6700001</v>
      </c>
      <c r="E94" s="28">
        <f t="shared" si="45"/>
        <v>6.8562432385443394E-3</v>
      </c>
      <c r="F94" s="58">
        <v>369.73899999999998</v>
      </c>
      <c r="G94" s="58">
        <v>369.73899999999998</v>
      </c>
      <c r="H94" s="30">
        <v>90</v>
      </c>
      <c r="I94" s="48">
        <v>2.5999999999999999E-3</v>
      </c>
      <c r="J94" s="48">
        <v>7.1199999999999999E-2</v>
      </c>
      <c r="K94" s="27">
        <v>1505398954.04</v>
      </c>
      <c r="L94" s="28">
        <f t="shared" si="39"/>
        <v>6.8163260310358798E-3</v>
      </c>
      <c r="M94" s="58">
        <v>370.88690000000003</v>
      </c>
      <c r="N94" s="58">
        <v>370.88690000000003</v>
      </c>
      <c r="O94" s="30">
        <v>90</v>
      </c>
      <c r="P94" s="48">
        <v>3.0999999999999999E-3</v>
      </c>
      <c r="Q94" s="48">
        <v>7.9799999999999996E-2</v>
      </c>
      <c r="R94" s="54">
        <f t="shared" si="40"/>
        <v>8.6215591412368703E-3</v>
      </c>
      <c r="S94" s="54">
        <f t="shared" si="41"/>
        <v>3.1046224498904626E-3</v>
      </c>
      <c r="T94" s="54">
        <f t="shared" si="42"/>
        <v>0</v>
      </c>
      <c r="U94" s="55">
        <f t="shared" si="43"/>
        <v>5.0000000000000001E-4</v>
      </c>
      <c r="V94" s="56">
        <f t="shared" si="44"/>
        <v>8.5999999999999965E-3</v>
      </c>
    </row>
    <row r="95" spans="1:22">
      <c r="A95" s="141">
        <v>84</v>
      </c>
      <c r="B95" s="142" t="s">
        <v>137</v>
      </c>
      <c r="C95" s="143" t="s">
        <v>87</v>
      </c>
      <c r="D95" s="42">
        <v>1544176731</v>
      </c>
      <c r="E95" s="28">
        <f>(D95/$K$69)</f>
        <v>4.3917017986618711E-4</v>
      </c>
      <c r="F95" s="58">
        <v>102.53</v>
      </c>
      <c r="G95" s="58">
        <v>102.53</v>
      </c>
      <c r="H95" s="30">
        <v>399</v>
      </c>
      <c r="I95" s="48">
        <v>3.8999999999999998E-3</v>
      </c>
      <c r="J95" s="48">
        <v>0.1477</v>
      </c>
      <c r="K95" s="42">
        <v>1531526247</v>
      </c>
      <c r="L95" s="28">
        <f>(K95/$K$69)</f>
        <v>4.3557233046064887E-4</v>
      </c>
      <c r="M95" s="58">
        <v>102.34</v>
      </c>
      <c r="N95" s="58">
        <v>102.34</v>
      </c>
      <c r="O95" s="30">
        <v>399</v>
      </c>
      <c r="P95" s="48">
        <v>3.8999999999999998E-3</v>
      </c>
      <c r="Q95" s="48">
        <v>0.13950000000000001</v>
      </c>
      <c r="R95" s="54">
        <f t="shared" si="40"/>
        <v>-8.1923809276724553E-3</v>
      </c>
      <c r="S95" s="54">
        <f t="shared" si="41"/>
        <v>-1.8531161611235515E-3</v>
      </c>
      <c r="T95" s="54">
        <f t="shared" si="42"/>
        <v>0</v>
      </c>
      <c r="U95" s="55">
        <f t="shared" si="43"/>
        <v>0</v>
      </c>
      <c r="V95" s="56">
        <f t="shared" si="44"/>
        <v>-8.1999999999999851E-3</v>
      </c>
    </row>
    <row r="96" spans="1:22">
      <c r="A96" s="141">
        <v>85</v>
      </c>
      <c r="B96" s="142" t="s">
        <v>138</v>
      </c>
      <c r="C96" s="143" t="s">
        <v>45</v>
      </c>
      <c r="D96" s="27">
        <v>63623286.359999999</v>
      </c>
      <c r="E96" s="28">
        <f t="shared" ref="E96:E109" si="51">(D96/$D$110)</f>
        <v>2.9226644142969478E-4</v>
      </c>
      <c r="F96" s="27">
        <v>12.993124</v>
      </c>
      <c r="G96" s="27">
        <v>13.488113</v>
      </c>
      <c r="H96" s="30">
        <v>59</v>
      </c>
      <c r="I96" s="48">
        <v>1.52E-2</v>
      </c>
      <c r="J96" s="48">
        <v>5.9700000000000003E-2</v>
      </c>
      <c r="K96" s="27">
        <v>62557692.590000004</v>
      </c>
      <c r="L96" s="28">
        <f t="shared" ref="L96:L109" si="52">(K96/$K$110)</f>
        <v>2.8325622739301247E-4</v>
      </c>
      <c r="M96" s="27">
        <v>12.775509</v>
      </c>
      <c r="N96" s="27">
        <v>13.257123</v>
      </c>
      <c r="O96" s="30">
        <v>59</v>
      </c>
      <c r="P96" s="48">
        <v>-1.6299999999999999E-2</v>
      </c>
      <c r="Q96" s="48">
        <v>4.4299999999999999E-2</v>
      </c>
      <c r="R96" s="54">
        <f t="shared" si="40"/>
        <v>-1.6748486772131522E-2</v>
      </c>
      <c r="S96" s="54">
        <f t="shared" si="41"/>
        <v>-1.7125449645921578E-2</v>
      </c>
      <c r="T96" s="54">
        <f t="shared" si="42"/>
        <v>0</v>
      </c>
      <c r="U96" s="55">
        <f t="shared" si="43"/>
        <v>-3.15E-2</v>
      </c>
      <c r="V96" s="56">
        <f t="shared" si="44"/>
        <v>-1.5400000000000004E-2</v>
      </c>
    </row>
    <row r="97" spans="1:22">
      <c r="A97" s="141">
        <v>86</v>
      </c>
      <c r="B97" s="142" t="s">
        <v>139</v>
      </c>
      <c r="C97" s="143" t="s">
        <v>140</v>
      </c>
      <c r="D97" s="27">
        <v>638210528.11000001</v>
      </c>
      <c r="E97" s="28">
        <f t="shared" si="51"/>
        <v>2.9317492164464155E-3</v>
      </c>
      <c r="F97" s="27">
        <v>144.99</v>
      </c>
      <c r="G97" s="27">
        <v>144.99</v>
      </c>
      <c r="H97" s="30">
        <v>147</v>
      </c>
      <c r="I97" s="48">
        <v>0.1888</v>
      </c>
      <c r="J97" s="48">
        <v>0.19570000000000001</v>
      </c>
      <c r="K97" s="27">
        <v>636331506.64999998</v>
      </c>
      <c r="L97" s="28">
        <f t="shared" si="52"/>
        <v>2.8812581551929425E-3</v>
      </c>
      <c r="M97" s="27">
        <v>145.47999999999999</v>
      </c>
      <c r="N97" s="27">
        <v>145.47999999999999</v>
      </c>
      <c r="O97" s="30">
        <v>149</v>
      </c>
      <c r="P97" s="48">
        <v>0.19040000000000001</v>
      </c>
      <c r="Q97" s="48">
        <v>0.19550000000000001</v>
      </c>
      <c r="R97" s="54">
        <f t="shared" si="40"/>
        <v>-2.9442031700175524E-3</v>
      </c>
      <c r="S97" s="54">
        <f t="shared" si="41"/>
        <v>3.3795434167872311E-3</v>
      </c>
      <c r="T97" s="54">
        <f t="shared" si="42"/>
        <v>1.3605442176870748E-2</v>
      </c>
      <c r="U97" s="55">
        <f t="shared" si="43"/>
        <v>1.6000000000000181E-3</v>
      </c>
      <c r="V97" s="56">
        <f t="shared" si="44"/>
        <v>-2.0000000000000573E-4</v>
      </c>
    </row>
    <row r="98" spans="1:22">
      <c r="A98" s="141">
        <v>87</v>
      </c>
      <c r="B98" s="142" t="s">
        <v>141</v>
      </c>
      <c r="C98" s="143" t="s">
        <v>142</v>
      </c>
      <c r="D98" s="27">
        <v>9513638421.7581844</v>
      </c>
      <c r="E98" s="28">
        <f t="shared" si="51"/>
        <v>4.3702823378897249E-2</v>
      </c>
      <c r="F98" s="27">
        <v>1.0918169108896583</v>
      </c>
      <c r="G98" s="27">
        <v>1.0918169108896583</v>
      </c>
      <c r="H98" s="30">
        <v>4822</v>
      </c>
      <c r="I98" s="48">
        <v>0.19020000000000001</v>
      </c>
      <c r="J98" s="48">
        <v>0.19020000000000001</v>
      </c>
      <c r="K98" s="27">
        <v>9621419645.8525639</v>
      </c>
      <c r="L98" s="28">
        <f t="shared" si="52"/>
        <v>4.3565018436835079E-2</v>
      </c>
      <c r="M98" s="27">
        <v>1.1000000000000001</v>
      </c>
      <c r="N98" s="27">
        <v>1.1000000000000001</v>
      </c>
      <c r="O98" s="30">
        <v>4873</v>
      </c>
      <c r="P98" s="48">
        <v>0.1903</v>
      </c>
      <c r="Q98" s="48">
        <v>0.1903</v>
      </c>
      <c r="R98" s="54">
        <f t="shared" si="40"/>
        <v>1.1329127649825138E-2</v>
      </c>
      <c r="S98" s="54">
        <f t="shared" si="41"/>
        <v>7.4949279762244192E-3</v>
      </c>
      <c r="T98" s="54">
        <f t="shared" si="42"/>
        <v>1.0576524263790958E-2</v>
      </c>
      <c r="U98" s="55">
        <f t="shared" si="43"/>
        <v>9.9999999999988987E-5</v>
      </c>
      <c r="V98" s="56">
        <f t="shared" si="44"/>
        <v>9.9999999999988987E-5</v>
      </c>
    </row>
    <row r="99" spans="1:22" ht="14.25" customHeight="1">
      <c r="A99" s="141">
        <v>88</v>
      </c>
      <c r="B99" s="142" t="s">
        <v>143</v>
      </c>
      <c r="C99" s="143" t="s">
        <v>49</v>
      </c>
      <c r="D99" s="27">
        <v>7753861663.8800001</v>
      </c>
      <c r="E99" s="28">
        <f t="shared" si="51"/>
        <v>3.5618932713056099E-2</v>
      </c>
      <c r="F99" s="27">
        <v>5176.01</v>
      </c>
      <c r="G99" s="27">
        <v>5176.01</v>
      </c>
      <c r="H99" s="30">
        <v>237</v>
      </c>
      <c r="I99" s="48">
        <v>4.0000000000000002E-4</v>
      </c>
      <c r="J99" s="48">
        <v>1.6999999999999999E-3</v>
      </c>
      <c r="K99" s="27">
        <v>7753863016.8800001</v>
      </c>
      <c r="L99" s="28">
        <f t="shared" si="52"/>
        <v>3.5108871426544903E-2</v>
      </c>
      <c r="M99" s="27">
        <v>5176.01</v>
      </c>
      <c r="N99" s="27">
        <v>5176.01</v>
      </c>
      <c r="O99" s="30">
        <v>236</v>
      </c>
      <c r="P99" s="48">
        <v>0</v>
      </c>
      <c r="Q99" s="48">
        <v>1.6999999999999999E-3</v>
      </c>
      <c r="R99" s="54">
        <f t="shared" si="40"/>
        <v>1.7449369857895614E-7</v>
      </c>
      <c r="S99" s="54">
        <f t="shared" si="41"/>
        <v>0</v>
      </c>
      <c r="T99" s="54">
        <f t="shared" si="42"/>
        <v>-4.2194092827004216E-3</v>
      </c>
      <c r="U99" s="55">
        <f t="shared" si="43"/>
        <v>-4.0000000000000002E-4</v>
      </c>
      <c r="V99" s="56">
        <f t="shared" si="44"/>
        <v>0</v>
      </c>
    </row>
    <row r="100" spans="1:22" ht="13.5" customHeight="1">
      <c r="A100" s="141">
        <v>89</v>
      </c>
      <c r="B100" s="142" t="s">
        <v>144</v>
      </c>
      <c r="C100" s="143" t="s">
        <v>49</v>
      </c>
      <c r="D100" s="27">
        <v>16795336480.84</v>
      </c>
      <c r="E100" s="28">
        <f t="shared" si="51"/>
        <v>7.7152777020892016E-2</v>
      </c>
      <c r="F100" s="58">
        <v>259.13</v>
      </c>
      <c r="G100" s="58">
        <v>259.13</v>
      </c>
      <c r="H100" s="30">
        <v>6155</v>
      </c>
      <c r="I100" s="48">
        <v>0</v>
      </c>
      <c r="J100" s="48">
        <v>1.1000000000000001E-3</v>
      </c>
      <c r="K100" s="27">
        <v>16803967610.65</v>
      </c>
      <c r="L100" s="28">
        <f t="shared" si="52"/>
        <v>7.6087021013111392E-2</v>
      </c>
      <c r="M100" s="58">
        <v>259.14</v>
      </c>
      <c r="N100" s="58">
        <v>259.14</v>
      </c>
      <c r="O100" s="30">
        <v>6150</v>
      </c>
      <c r="P100" s="48">
        <v>0</v>
      </c>
      <c r="Q100" s="48">
        <v>1.1000000000000001E-3</v>
      </c>
      <c r="R100" s="54">
        <f t="shared" si="40"/>
        <v>5.1390038061135588E-4</v>
      </c>
      <c r="S100" s="54">
        <f t="shared" si="41"/>
        <v>3.8590668776254795E-5</v>
      </c>
      <c r="T100" s="54">
        <f t="shared" si="42"/>
        <v>-8.1234768480909826E-4</v>
      </c>
      <c r="U100" s="55">
        <f t="shared" si="43"/>
        <v>0</v>
      </c>
      <c r="V100" s="56">
        <f t="shared" si="44"/>
        <v>0</v>
      </c>
    </row>
    <row r="101" spans="1:22" ht="13.5" customHeight="1">
      <c r="A101" s="141">
        <v>90</v>
      </c>
      <c r="B101" s="142" t="s">
        <v>145</v>
      </c>
      <c r="C101" s="143" t="s">
        <v>49</v>
      </c>
      <c r="D101" s="27">
        <v>526440360.97000003</v>
      </c>
      <c r="E101" s="28">
        <f t="shared" si="51"/>
        <v>2.4183103346009853E-3</v>
      </c>
      <c r="F101" s="33">
        <v>8696.66</v>
      </c>
      <c r="G101" s="33">
        <v>8731.17</v>
      </c>
      <c r="H101" s="30">
        <v>15</v>
      </c>
      <c r="I101" s="48">
        <v>2.4400000000000002E-2</v>
      </c>
      <c r="J101" s="48">
        <v>0.27960000000000002</v>
      </c>
      <c r="K101" s="27">
        <v>536175182.19</v>
      </c>
      <c r="L101" s="28">
        <f t="shared" si="52"/>
        <v>2.4277583306066201E-3</v>
      </c>
      <c r="M101" s="33">
        <v>8855.68</v>
      </c>
      <c r="N101" s="33">
        <v>8893.85</v>
      </c>
      <c r="O101" s="30">
        <v>15</v>
      </c>
      <c r="P101" s="48">
        <v>1.8599999999999998E-2</v>
      </c>
      <c r="Q101" s="48">
        <v>0.30349999999999999</v>
      </c>
      <c r="R101" s="54">
        <f t="shared" si="40"/>
        <v>1.8491783574616009E-2</v>
      </c>
      <c r="S101" s="54">
        <f t="shared" si="41"/>
        <v>1.8632096271175604E-2</v>
      </c>
      <c r="T101" s="54">
        <f t="shared" si="42"/>
        <v>0</v>
      </c>
      <c r="U101" s="55">
        <f t="shared" si="43"/>
        <v>-5.8000000000000031E-3</v>
      </c>
      <c r="V101" s="56">
        <f t="shared" si="44"/>
        <v>2.3899999999999977E-2</v>
      </c>
    </row>
    <row r="102" spans="1:22" ht="15" customHeight="1">
      <c r="A102" s="141">
        <v>91</v>
      </c>
      <c r="B102" s="142" t="s">
        <v>146</v>
      </c>
      <c r="C102" s="143" t="s">
        <v>49</v>
      </c>
      <c r="D102" s="27">
        <v>6287969464.71</v>
      </c>
      <c r="E102" s="28">
        <f t="shared" si="51"/>
        <v>2.8885060241477512E-2</v>
      </c>
      <c r="F102" s="58">
        <v>151.02000000000001</v>
      </c>
      <c r="G102" s="58">
        <v>151.02000000000001</v>
      </c>
      <c r="H102" s="30">
        <v>4732</v>
      </c>
      <c r="I102" s="48">
        <v>3.0999999999999999E-3</v>
      </c>
      <c r="J102" s="48">
        <v>9.5299999999999996E-2</v>
      </c>
      <c r="K102" s="27">
        <v>6304173028.1099997</v>
      </c>
      <c r="L102" s="28">
        <f t="shared" si="52"/>
        <v>2.8544791133499545E-2</v>
      </c>
      <c r="M102" s="58">
        <v>151.5</v>
      </c>
      <c r="N102" s="58">
        <v>151.5</v>
      </c>
      <c r="O102" s="30">
        <v>4737</v>
      </c>
      <c r="P102" s="48">
        <v>3.2000000000000002E-3</v>
      </c>
      <c r="Q102" s="48">
        <v>9.8799999999999999E-2</v>
      </c>
      <c r="R102" s="54">
        <f t="shared" si="40"/>
        <v>2.5769150901477737E-3</v>
      </c>
      <c r="S102" s="54">
        <f t="shared" si="41"/>
        <v>3.1783869686133606E-3</v>
      </c>
      <c r="T102" s="54">
        <f t="shared" si="42"/>
        <v>1.0566356720202875E-3</v>
      </c>
      <c r="U102" s="55">
        <f t="shared" si="43"/>
        <v>1.0000000000000026E-4</v>
      </c>
      <c r="V102" s="56">
        <f t="shared" si="44"/>
        <v>3.5000000000000031E-3</v>
      </c>
    </row>
    <row r="103" spans="1:22" ht="15" customHeight="1">
      <c r="A103" s="141">
        <v>92</v>
      </c>
      <c r="B103" s="142" t="s">
        <v>147</v>
      </c>
      <c r="C103" s="143" t="s">
        <v>49</v>
      </c>
      <c r="D103" s="27">
        <v>7420706916.4399996</v>
      </c>
      <c r="E103" s="28">
        <f t="shared" si="51"/>
        <v>3.4088518959689937E-2</v>
      </c>
      <c r="F103" s="58">
        <v>384.46</v>
      </c>
      <c r="G103" s="58">
        <v>385.21</v>
      </c>
      <c r="H103" s="30">
        <v>10342</v>
      </c>
      <c r="I103" s="48">
        <v>3.5999999999999999E-3</v>
      </c>
      <c r="J103" s="48">
        <v>8.7400000000000005E-2</v>
      </c>
      <c r="K103" s="27">
        <v>7273041463.8800001</v>
      </c>
      <c r="L103" s="28">
        <f t="shared" si="52"/>
        <v>3.2931749900585672E-2</v>
      </c>
      <c r="M103" s="58">
        <v>386.07</v>
      </c>
      <c r="N103" s="58">
        <v>386.86</v>
      </c>
      <c r="O103" s="30">
        <v>10363</v>
      </c>
      <c r="P103" s="48">
        <v>4.3E-3</v>
      </c>
      <c r="Q103" s="48">
        <v>9.2100000000000001E-2</v>
      </c>
      <c r="R103" s="54">
        <f t="shared" si="40"/>
        <v>-1.9899108565096153E-2</v>
      </c>
      <c r="S103" s="54">
        <f t="shared" si="41"/>
        <v>4.2833778977701365E-3</v>
      </c>
      <c r="T103" s="54">
        <f t="shared" si="42"/>
        <v>2.0305550183716881E-3</v>
      </c>
      <c r="U103" s="55">
        <f t="shared" si="43"/>
        <v>7.000000000000001E-4</v>
      </c>
      <c r="V103" s="56">
        <f t="shared" si="44"/>
        <v>4.6999999999999958E-3</v>
      </c>
    </row>
    <row r="104" spans="1:22" ht="15" customHeight="1">
      <c r="A104" s="141">
        <v>93</v>
      </c>
      <c r="B104" s="142" t="s">
        <v>316</v>
      </c>
      <c r="C104" s="143" t="s">
        <v>101</v>
      </c>
      <c r="D104" s="27">
        <v>84566247.239999995</v>
      </c>
      <c r="E104" s="28">
        <f t="shared" si="51"/>
        <v>3.8847217048878244E-4</v>
      </c>
      <c r="F104" s="58">
        <v>102.126</v>
      </c>
      <c r="G104" s="58">
        <v>102.126</v>
      </c>
      <c r="H104" s="30">
        <v>22</v>
      </c>
      <c r="I104" s="48">
        <v>0.17505399999999999</v>
      </c>
      <c r="J104" s="48">
        <v>0.17244200000000001</v>
      </c>
      <c r="K104" s="27">
        <v>84566247.239999995</v>
      </c>
      <c r="L104" s="28">
        <f t="shared" si="52"/>
        <v>3.829092021500845E-4</v>
      </c>
      <c r="M104" s="58">
        <v>102.126</v>
      </c>
      <c r="N104" s="58">
        <v>102.126</v>
      </c>
      <c r="O104" s="30">
        <v>22</v>
      </c>
      <c r="P104" s="48">
        <v>0.17505399999999999</v>
      </c>
      <c r="Q104" s="48">
        <v>0.17244200000000001</v>
      </c>
      <c r="R104" s="54">
        <f t="shared" ref="R104" si="53">((K104-D104)/D104)</f>
        <v>0</v>
      </c>
      <c r="S104" s="54">
        <f t="shared" ref="S104" si="54">((N104-G104)/G104)</f>
        <v>0</v>
      </c>
      <c r="T104" s="54">
        <f t="shared" ref="T104" si="55">((O104-H104)/H104)</f>
        <v>0</v>
      </c>
      <c r="U104" s="55">
        <f t="shared" ref="U104" si="56">P104-I104</f>
        <v>0</v>
      </c>
      <c r="V104" s="56">
        <f t="shared" ref="V104" si="57">Q104-J104</f>
        <v>0</v>
      </c>
    </row>
    <row r="105" spans="1:22">
      <c r="A105" s="141">
        <v>94</v>
      </c>
      <c r="B105" s="142" t="s">
        <v>148</v>
      </c>
      <c r="C105" s="143" t="s">
        <v>52</v>
      </c>
      <c r="D105" s="27">
        <v>86563426933.050003</v>
      </c>
      <c r="E105" s="28">
        <f t="shared" si="51"/>
        <v>0.39764661958090536</v>
      </c>
      <c r="F105" s="27">
        <v>1.9121999999999999</v>
      </c>
      <c r="G105" s="27">
        <v>1.9121999999999999</v>
      </c>
      <c r="H105" s="30">
        <v>6529</v>
      </c>
      <c r="I105" s="48">
        <v>8.2299999999999998E-2</v>
      </c>
      <c r="J105" s="48">
        <v>8.9700000000000002E-2</v>
      </c>
      <c r="K105" s="27">
        <v>86093579403.699997</v>
      </c>
      <c r="L105" s="28">
        <f t="shared" si="52"/>
        <v>0.38982483999979034</v>
      </c>
      <c r="M105" s="27">
        <v>1.9137999999999999</v>
      </c>
      <c r="N105" s="27">
        <v>1.9137999999999999</v>
      </c>
      <c r="O105" s="30">
        <v>6540</v>
      </c>
      <c r="P105" s="48">
        <v>4.4600000000000001E-2</v>
      </c>
      <c r="Q105" s="48">
        <v>8.8099999999999998E-2</v>
      </c>
      <c r="R105" s="54">
        <f t="shared" si="40"/>
        <v>-5.4277833722248103E-3</v>
      </c>
      <c r="S105" s="54">
        <f t="shared" si="41"/>
        <v>8.3673255935573997E-4</v>
      </c>
      <c r="T105" s="54">
        <f t="shared" si="42"/>
        <v>1.6847909327615256E-3</v>
      </c>
      <c r="U105" s="55">
        <f t="shared" si="43"/>
        <v>-3.7699999999999997E-2</v>
      </c>
      <c r="V105" s="56">
        <f t="shared" si="44"/>
        <v>-1.6000000000000042E-3</v>
      </c>
    </row>
    <row r="106" spans="1:22">
      <c r="A106" s="141">
        <v>95</v>
      </c>
      <c r="B106" s="142" t="s">
        <v>149</v>
      </c>
      <c r="C106" s="143" t="s">
        <v>52</v>
      </c>
      <c r="D106" s="27">
        <v>39090609118.730003</v>
      </c>
      <c r="E106" s="28">
        <f t="shared" si="51"/>
        <v>0.17957062380910302</v>
      </c>
      <c r="F106" s="27">
        <v>119.9521</v>
      </c>
      <c r="G106" s="27">
        <v>119.9521</v>
      </c>
      <c r="H106" s="30">
        <v>783</v>
      </c>
      <c r="I106" s="48">
        <v>0.2006</v>
      </c>
      <c r="J106" s="48">
        <v>0.21249999999999999</v>
      </c>
      <c r="K106" s="27">
        <v>42417103951.32</v>
      </c>
      <c r="L106" s="28">
        <f t="shared" si="52"/>
        <v>0.19206125329674897</v>
      </c>
      <c r="M106" s="27">
        <v>120.3415</v>
      </c>
      <c r="N106" s="27">
        <v>120.3415</v>
      </c>
      <c r="O106" s="30">
        <v>815</v>
      </c>
      <c r="P106" s="48">
        <v>0.18410000000000001</v>
      </c>
      <c r="Q106" s="48">
        <v>0.21149999999999999</v>
      </c>
      <c r="R106" s="54">
        <f t="shared" ref="R106:R108" si="58">((K106-D106)/D106)</f>
        <v>8.509703244803439E-2</v>
      </c>
      <c r="S106" s="54">
        <f t="shared" ref="S106:S108" si="59">((N106-G106)/G106)</f>
        <v>3.2462958130786779E-3</v>
      </c>
      <c r="T106" s="54">
        <f t="shared" ref="T106:T108" si="60">((O106-H106)/H106)</f>
        <v>4.0868454661558112E-2</v>
      </c>
      <c r="U106" s="55">
        <f t="shared" ref="U106:U108" si="61">P106-I106</f>
        <v>-1.6499999999999987E-2</v>
      </c>
      <c r="V106" s="56">
        <f t="shared" ref="V106:V108" si="62">Q106-J106</f>
        <v>-1.0000000000000009E-3</v>
      </c>
    </row>
    <row r="107" spans="1:22">
      <c r="A107" s="141">
        <v>96</v>
      </c>
      <c r="B107" s="142" t="s">
        <v>150</v>
      </c>
      <c r="C107" s="142" t="s">
        <v>151</v>
      </c>
      <c r="D107" s="27">
        <v>108492567.95</v>
      </c>
      <c r="E107" s="28">
        <f t="shared" si="51"/>
        <v>4.9838256667375112E-4</v>
      </c>
      <c r="F107" s="27">
        <v>117.58838461705039</v>
      </c>
      <c r="G107" s="27">
        <v>117.58838461705039</v>
      </c>
      <c r="H107" s="60">
        <v>76</v>
      </c>
      <c r="I107" s="61">
        <v>9.4941599541348461E-4</v>
      </c>
      <c r="J107" s="61">
        <v>6.5079378144607736E-2</v>
      </c>
      <c r="K107" s="27">
        <v>109148438.7</v>
      </c>
      <c r="L107" s="62">
        <f t="shared" si="52"/>
        <v>4.9421539849028319E-4</v>
      </c>
      <c r="M107" s="27">
        <v>117.99656575893489</v>
      </c>
      <c r="N107" s="27">
        <v>117.99656575893489</v>
      </c>
      <c r="O107" s="60">
        <v>84</v>
      </c>
      <c r="P107" s="61">
        <v>3.4712709355929983E-3</v>
      </c>
      <c r="Q107" s="61">
        <v>6.877655723406062E-2</v>
      </c>
      <c r="R107" s="54">
        <f t="shared" si="58"/>
        <v>6.0453057973728231E-3</v>
      </c>
      <c r="S107" s="54">
        <f t="shared" si="59"/>
        <v>3.4712709355929983E-3</v>
      </c>
      <c r="T107" s="54">
        <f t="shared" si="60"/>
        <v>0.10526315789473684</v>
      </c>
      <c r="U107" s="55">
        <f t="shared" si="61"/>
        <v>2.5218549401795137E-3</v>
      </c>
      <c r="V107" s="56">
        <f t="shared" si="62"/>
        <v>3.6971790894528844E-3</v>
      </c>
    </row>
    <row r="108" spans="1:22">
      <c r="A108" s="141">
        <v>97</v>
      </c>
      <c r="B108" s="142" t="s">
        <v>152</v>
      </c>
      <c r="C108" s="143" t="s">
        <v>107</v>
      </c>
      <c r="D108" s="27">
        <v>320532567.23000002</v>
      </c>
      <c r="E108" s="28">
        <f t="shared" si="51"/>
        <v>1.4724312142029457E-3</v>
      </c>
      <c r="F108" s="27">
        <v>1.32</v>
      </c>
      <c r="G108" s="27">
        <v>1.32</v>
      </c>
      <c r="H108" s="30">
        <v>530</v>
      </c>
      <c r="I108" s="48">
        <v>5.4749999999999998E-3</v>
      </c>
      <c r="J108" s="48">
        <v>0.22161</v>
      </c>
      <c r="K108" s="27">
        <v>318445709.60000002</v>
      </c>
      <c r="L108" s="28">
        <f t="shared" si="52"/>
        <v>1.4418966972129946E-3</v>
      </c>
      <c r="M108" s="27">
        <v>1.31</v>
      </c>
      <c r="N108" s="27">
        <v>1.31</v>
      </c>
      <c r="O108" s="30">
        <v>537</v>
      </c>
      <c r="P108" s="48">
        <v>-8.1550000000000008E-3</v>
      </c>
      <c r="Q108" s="48">
        <v>0.21267800000000001</v>
      </c>
      <c r="R108" s="54">
        <f t="shared" si="58"/>
        <v>-6.5105946894393361E-3</v>
      </c>
      <c r="S108" s="54">
        <f t="shared" si="59"/>
        <v>-7.575757575757582E-3</v>
      </c>
      <c r="T108" s="54">
        <f t="shared" si="60"/>
        <v>1.3207547169811321E-2</v>
      </c>
      <c r="U108" s="55">
        <f t="shared" si="61"/>
        <v>-1.363E-2</v>
      </c>
      <c r="V108" s="56">
        <f t="shared" si="62"/>
        <v>-8.9319999999999955E-3</v>
      </c>
    </row>
    <row r="109" spans="1:22">
      <c r="A109" s="141">
        <v>98</v>
      </c>
      <c r="B109" s="142" t="s">
        <v>153</v>
      </c>
      <c r="C109" s="143" t="s">
        <v>109</v>
      </c>
      <c r="D109" s="27">
        <v>1927030867.95</v>
      </c>
      <c r="E109" s="28">
        <f t="shared" si="51"/>
        <v>8.852206267908393E-3</v>
      </c>
      <c r="F109" s="58">
        <v>28.745899999999999</v>
      </c>
      <c r="G109" s="58">
        <v>28.745899999999999</v>
      </c>
      <c r="H109" s="30">
        <v>1291</v>
      </c>
      <c r="I109" s="48">
        <v>0</v>
      </c>
      <c r="J109" s="48">
        <v>0.11409999999999999</v>
      </c>
      <c r="K109" s="27">
        <v>1929916997.52</v>
      </c>
      <c r="L109" s="28">
        <f t="shared" si="52"/>
        <v>8.7385097702045063E-3</v>
      </c>
      <c r="M109" s="58">
        <v>29.130700000000001</v>
      </c>
      <c r="N109" s="58">
        <v>29.130700000000001</v>
      </c>
      <c r="O109" s="30">
        <v>1289</v>
      </c>
      <c r="P109" s="48">
        <v>0</v>
      </c>
      <c r="Q109" s="48">
        <v>0.11459999999999999</v>
      </c>
      <c r="R109" s="54">
        <f t="shared" si="40"/>
        <v>1.4977080118442703E-3</v>
      </c>
      <c r="S109" s="54">
        <f t="shared" si="41"/>
        <v>1.3386256822712179E-2</v>
      </c>
      <c r="T109" s="54">
        <f t="shared" si="42"/>
        <v>-1.5491866769945779E-3</v>
      </c>
      <c r="U109" s="55">
        <f t="shared" si="43"/>
        <v>0</v>
      </c>
      <c r="V109" s="56">
        <f t="shared" si="44"/>
        <v>5.0000000000000044E-4</v>
      </c>
    </row>
    <row r="110" spans="1:22">
      <c r="A110" s="34"/>
      <c r="B110" s="35"/>
      <c r="C110" s="36" t="s">
        <v>53</v>
      </c>
      <c r="D110" s="46">
        <f>SUM(D72:D109)</f>
        <v>217689331860.23923</v>
      </c>
      <c r="E110" s="38">
        <f>(D110/$D$222)</f>
        <v>3.5338252609807823E-2</v>
      </c>
      <c r="F110" s="39"/>
      <c r="G110" s="43"/>
      <c r="H110" s="41">
        <f>SUM(H72:H109)</f>
        <v>51978</v>
      </c>
      <c r="I110" s="51"/>
      <c r="J110" s="51"/>
      <c r="K110" s="46">
        <f>SUM(K72:K109)</f>
        <v>220851958545.65424</v>
      </c>
      <c r="L110" s="38">
        <f>(K110/$K$222)</f>
        <v>3.5165780903853298E-2</v>
      </c>
      <c r="M110" s="39"/>
      <c r="N110" s="43"/>
      <c r="O110" s="41">
        <f>SUM(O72:O109)</f>
        <v>52217</v>
      </c>
      <c r="P110" s="51"/>
      <c r="Q110" s="51"/>
      <c r="R110" s="54">
        <f t="shared" si="40"/>
        <v>1.4528165704718484E-2</v>
      </c>
      <c r="S110" s="54" t="e">
        <f t="shared" si="41"/>
        <v>#DIV/0!</v>
      </c>
      <c r="T110" s="54">
        <f t="shared" si="42"/>
        <v>4.5980991958136132E-3</v>
      </c>
      <c r="U110" s="55">
        <f t="shared" si="43"/>
        <v>0</v>
      </c>
      <c r="V110" s="56">
        <f t="shared" si="44"/>
        <v>0</v>
      </c>
    </row>
    <row r="111" spans="1:22" ht="3.75" customHeight="1">
      <c r="A111" s="34"/>
      <c r="B111" s="179"/>
      <c r="C111" s="179"/>
      <c r="D111" s="179"/>
      <c r="E111" s="179"/>
      <c r="F111" s="179"/>
      <c r="G111" s="179"/>
      <c r="H111" s="179"/>
      <c r="I111" s="179"/>
      <c r="J111" s="179"/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</row>
    <row r="112" spans="1:22" ht="15" customHeight="1">
      <c r="A112" s="183" t="s">
        <v>154</v>
      </c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</row>
    <row r="113" spans="1:28">
      <c r="A113" s="182" t="s">
        <v>155</v>
      </c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Z113" s="63"/>
      <c r="AB113" s="66"/>
    </row>
    <row r="114" spans="1:28" ht="16.5" customHeight="1">
      <c r="A114" s="141">
        <v>99</v>
      </c>
      <c r="B114" s="142" t="s">
        <v>156</v>
      </c>
      <c r="C114" s="143" t="s">
        <v>19</v>
      </c>
      <c r="D114" s="27">
        <v>2940160491.5025692</v>
      </c>
      <c r="E114" s="28">
        <f t="shared" ref="E114:E119" si="63">(D114/$D$150)</f>
        <v>1.5074815573081564E-3</v>
      </c>
      <c r="F114" s="27">
        <v>172158.36525293998</v>
      </c>
      <c r="G114" s="27">
        <v>172158.36525293998</v>
      </c>
      <c r="H114" s="30">
        <v>192</v>
      </c>
      <c r="I114" s="48">
        <v>1.1000000000000001E-3</v>
      </c>
      <c r="J114" s="48">
        <v>3.4500000000000003E-2</v>
      </c>
      <c r="K114" s="27">
        <f>1915463.52*W133</f>
        <v>2937831255.6579361</v>
      </c>
      <c r="L114" s="28">
        <f t="shared" ref="L114:L130" si="64">(K114/$K$150)</f>
        <v>1.4939213309592566E-3</v>
      </c>
      <c r="M114" s="27">
        <f>112.2755*W133</f>
        <v>172201.90815465001</v>
      </c>
      <c r="N114" s="27">
        <f>112.2755*W133</f>
        <v>172201.90815465001</v>
      </c>
      <c r="O114" s="30">
        <v>192</v>
      </c>
      <c r="P114" s="48">
        <v>8.9999999999999998E-4</v>
      </c>
      <c r="Q114" s="48">
        <v>3.7600000000000001E-2</v>
      </c>
      <c r="R114" s="55">
        <f>((K114-D114)/D114)</f>
        <v>-7.9221384389215651E-4</v>
      </c>
      <c r="S114" s="55">
        <f>((N114-G114)/G114)</f>
        <v>2.5292353145925009E-4</v>
      </c>
      <c r="T114" s="55">
        <f>((O114-H114)/H114)</f>
        <v>0</v>
      </c>
      <c r="U114" s="55">
        <f>P114-I114</f>
        <v>-2.0000000000000009E-4</v>
      </c>
      <c r="V114" s="56">
        <f>Q114-J114</f>
        <v>3.0999999999999986E-3</v>
      </c>
      <c r="X114" s="63"/>
      <c r="Y114" s="67"/>
      <c r="Z114" s="63"/>
      <c r="AA114" s="68"/>
    </row>
    <row r="115" spans="1:28" ht="16.5" customHeight="1">
      <c r="A115" s="141">
        <v>100</v>
      </c>
      <c r="B115" s="142" t="s">
        <v>157</v>
      </c>
      <c r="C115" s="143" t="s">
        <v>57</v>
      </c>
      <c r="D115" s="27">
        <v>5435066838.4417677</v>
      </c>
      <c r="E115" s="28">
        <f t="shared" si="63"/>
        <v>2.7866720355462452E-3</v>
      </c>
      <c r="F115" s="27">
        <v>153471.93</v>
      </c>
      <c r="G115" s="27">
        <v>153471.93</v>
      </c>
      <c r="H115" s="30">
        <v>76</v>
      </c>
      <c r="I115" s="48">
        <v>6.0130000000000001E-3</v>
      </c>
      <c r="J115" s="48">
        <v>7.6814999999999994E-2</v>
      </c>
      <c r="K115" s="27">
        <f>3674815.67*W133</f>
        <v>5636227587.4131813</v>
      </c>
      <c r="L115" s="28">
        <f t="shared" si="64"/>
        <v>2.8660872208917517E-3</v>
      </c>
      <c r="M115" s="27">
        <f>100*W133</f>
        <v>153374.43</v>
      </c>
      <c r="N115" s="27">
        <f>100*W133</f>
        <v>153374.43</v>
      </c>
      <c r="O115" s="30">
        <v>78</v>
      </c>
      <c r="P115" s="48">
        <v>-1.524E-3</v>
      </c>
      <c r="Q115" s="48">
        <v>7.5290999999999997E-2</v>
      </c>
      <c r="R115" s="55">
        <f>((K115-D115)/D115)</f>
        <v>3.7011642165763387E-2</v>
      </c>
      <c r="S115" s="55">
        <f>((N115-G115)/G115)</f>
        <v>-6.352953272953562E-4</v>
      </c>
      <c r="T115" s="55">
        <f>((O115-H115)/H115)</f>
        <v>2.6315789473684209E-2</v>
      </c>
      <c r="U115" s="55">
        <f>P115-I115</f>
        <v>-7.5370000000000003E-3</v>
      </c>
      <c r="V115" s="56">
        <f>Q115-J115</f>
        <v>-1.5239999999999976E-3</v>
      </c>
      <c r="X115" s="63"/>
      <c r="Y115" s="67"/>
      <c r="Z115" s="63"/>
      <c r="AA115" s="68"/>
    </row>
    <row r="116" spans="1:28">
      <c r="A116" s="141">
        <v>101</v>
      </c>
      <c r="B116" s="142" t="s">
        <v>158</v>
      </c>
      <c r="C116" s="143" t="s">
        <v>23</v>
      </c>
      <c r="D116" s="27">
        <v>16867407831.404621</v>
      </c>
      <c r="E116" s="28">
        <f t="shared" si="63"/>
        <v>8.6482715140638478E-3</v>
      </c>
      <c r="F116" s="27">
        <v>1819.1065828599999</v>
      </c>
      <c r="G116" s="27">
        <v>1819.1065828599999</v>
      </c>
      <c r="H116" s="30">
        <v>315</v>
      </c>
      <c r="I116" s="48">
        <v>0.14530000000000001</v>
      </c>
      <c r="J116" s="48">
        <v>8.1100000000000005E-2</v>
      </c>
      <c r="K116" s="27">
        <f>10987859.87*1532.0928</f>
        <v>16834420994.235933</v>
      </c>
      <c r="L116" s="28">
        <f t="shared" si="64"/>
        <v>8.5604986907272633E-3</v>
      </c>
      <c r="M116" s="27">
        <f>1.191*1532.0928</f>
        <v>1824.7225248</v>
      </c>
      <c r="N116" s="27">
        <f>1.191*1532.0928</f>
        <v>1824.7225248</v>
      </c>
      <c r="O116" s="30">
        <v>314</v>
      </c>
      <c r="P116" s="48">
        <v>0.1361</v>
      </c>
      <c r="Q116" s="48">
        <v>8.3099999999999993E-2</v>
      </c>
      <c r="R116" s="55">
        <f t="shared" ref="R116:R128" si="65">((K116-D116)/D116)</f>
        <v>-1.9556553975810798E-3</v>
      </c>
      <c r="S116" s="55">
        <f t="shared" ref="S116:S128" si="66">((N116-G116)/G116)</f>
        <v>3.0871978546582459E-3</v>
      </c>
      <c r="T116" s="55">
        <f t="shared" ref="T116:T128" si="67">((O116-H116)/H116)</f>
        <v>-3.1746031746031746E-3</v>
      </c>
      <c r="U116" s="55">
        <f t="shared" ref="U116:U128" si="68">P116-I116</f>
        <v>-9.2000000000000137E-3</v>
      </c>
      <c r="V116" s="56">
        <f t="shared" ref="V116:V128" si="69">Q116-J116</f>
        <v>1.9999999999999879E-3</v>
      </c>
    </row>
    <row r="117" spans="1:28">
      <c r="A117" s="141">
        <v>102</v>
      </c>
      <c r="B117" s="142" t="s">
        <v>288</v>
      </c>
      <c r="C117" s="143" t="s">
        <v>23</v>
      </c>
      <c r="D117" s="27">
        <v>3314835830.3418961</v>
      </c>
      <c r="E117" s="28">
        <f t="shared" si="63"/>
        <v>1.6995854118123097E-3</v>
      </c>
      <c r="F117" s="27">
        <v>1573.0164844799997</v>
      </c>
      <c r="G117" s="27">
        <v>1573.0164844799997</v>
      </c>
      <c r="H117" s="30">
        <v>84</v>
      </c>
      <c r="I117" s="48">
        <v>0.20899999999999999</v>
      </c>
      <c r="J117" s="48">
        <v>4.82E-2</v>
      </c>
      <c r="K117" s="27">
        <f>2166838.18*1532.0928</f>
        <v>3319797174.3431039</v>
      </c>
      <c r="L117" s="28">
        <f t="shared" si="64"/>
        <v>1.6881554390361778E-3</v>
      </c>
      <c r="M117" s="27">
        <f>1.0282*1532.0928</f>
        <v>1575.2978169599999</v>
      </c>
      <c r="N117" s="27">
        <f>1.0282*1532.0928</f>
        <v>1575.2978169599999</v>
      </c>
      <c r="O117" s="30">
        <v>84</v>
      </c>
      <c r="P117" s="48">
        <v>5.0799999999999998E-2</v>
      </c>
      <c r="Q117" s="48">
        <v>4.8300000000000003E-2</v>
      </c>
      <c r="R117" s="55">
        <f t="shared" si="65"/>
        <v>1.4967088130865623E-3</v>
      </c>
      <c r="S117" s="55">
        <f t="shared" ref="S117" si="70">((N117-G117)/G117)</f>
        <v>1.4502915274624893E-3</v>
      </c>
      <c r="T117" s="55">
        <f t="shared" ref="T117" si="71">((O117-H117)/H117)</f>
        <v>0</v>
      </c>
      <c r="U117" s="55">
        <f t="shared" ref="U117" si="72">P117-I117</f>
        <v>-0.15820000000000001</v>
      </c>
      <c r="V117" s="56">
        <f t="shared" ref="V117" si="73">Q117-J117</f>
        <v>1.0000000000000286E-4</v>
      </c>
    </row>
    <row r="118" spans="1:28">
      <c r="A118" s="141">
        <v>103</v>
      </c>
      <c r="B118" s="142" t="s">
        <v>159</v>
      </c>
      <c r="C118" s="143" t="s">
        <v>27</v>
      </c>
      <c r="D118" s="27">
        <v>20334606605.321445</v>
      </c>
      <c r="E118" s="28">
        <f t="shared" si="63"/>
        <v>1.0425976582309949E-2</v>
      </c>
      <c r="F118" s="27">
        <v>1673.61139665</v>
      </c>
      <c r="G118" s="27">
        <v>1673.61139665</v>
      </c>
      <c r="H118" s="30">
        <v>947</v>
      </c>
      <c r="I118" s="48">
        <v>3.0000000000000001E-3</v>
      </c>
      <c r="J118" s="48">
        <v>9.2200000000000004E-2</v>
      </c>
      <c r="K118" s="27">
        <f>14384473.17*W133</f>
        <v>22062103732.990433</v>
      </c>
      <c r="L118" s="28">
        <f t="shared" si="64"/>
        <v>1.1218836108804682E-2</v>
      </c>
      <c r="M118" s="27">
        <f>1.1046*W133</f>
        <v>1694.1739537800001</v>
      </c>
      <c r="N118" s="27">
        <f>1.1046*W133</f>
        <v>1694.1739537800001</v>
      </c>
      <c r="O118" s="30">
        <v>491</v>
      </c>
      <c r="P118" s="48">
        <v>1.29E-2</v>
      </c>
      <c r="Q118" s="48">
        <v>6.1899999999999997E-2</v>
      </c>
      <c r="R118" s="55">
        <f t="shared" si="65"/>
        <v>8.4953555345246345E-2</v>
      </c>
      <c r="S118" s="55">
        <f t="shared" ref="S118:T121" si="74">((N118-G118)/G118)</f>
        <v>1.2286339093507265E-2</v>
      </c>
      <c r="T118" s="55">
        <f t="shared" si="74"/>
        <v>-0.48152059134107711</v>
      </c>
      <c r="U118" s="55">
        <f t="shared" si="68"/>
        <v>9.8999999999999991E-3</v>
      </c>
      <c r="V118" s="56">
        <f t="shared" si="69"/>
        <v>-3.0300000000000007E-2</v>
      </c>
    </row>
    <row r="119" spans="1:28">
      <c r="A119" s="141">
        <v>104</v>
      </c>
      <c r="B119" s="142" t="s">
        <v>160</v>
      </c>
      <c r="C119" s="143" t="s">
        <v>63</v>
      </c>
      <c r="D119" s="27">
        <v>862114831.03726506</v>
      </c>
      <c r="E119" s="28">
        <f t="shared" si="63"/>
        <v>4.4202424045441903E-4</v>
      </c>
      <c r="F119" s="27">
        <v>1657.496844</v>
      </c>
      <c r="G119" s="27">
        <v>1657.496844</v>
      </c>
      <c r="H119" s="30">
        <v>31</v>
      </c>
      <c r="I119" s="48">
        <v>0.27400000000000002</v>
      </c>
      <c r="J119" s="48">
        <v>0.14299999999999999</v>
      </c>
      <c r="K119" s="27">
        <f>613318.32*W133</f>
        <v>940673477.38557601</v>
      </c>
      <c r="L119" s="28">
        <f t="shared" si="64"/>
        <v>4.783433938309069E-4</v>
      </c>
      <c r="M119" s="27">
        <f>1.09*W133</f>
        <v>1671.7812870000002</v>
      </c>
      <c r="N119" s="27">
        <f>1.09*W133</f>
        <v>1671.7812870000002</v>
      </c>
      <c r="O119" s="30">
        <v>37</v>
      </c>
      <c r="P119" s="48">
        <v>0.23899999999999999</v>
      </c>
      <c r="Q119" s="48">
        <v>0.14499999999999999</v>
      </c>
      <c r="R119" s="55">
        <f t="shared" si="65"/>
        <v>9.1123181645990314E-2</v>
      </c>
      <c r="S119" s="55">
        <f t="shared" si="74"/>
        <v>8.6180815678224224E-3</v>
      </c>
      <c r="T119" s="55">
        <f t="shared" si="74"/>
        <v>0.19354838709677419</v>
      </c>
      <c r="U119" s="55">
        <f t="shared" si="68"/>
        <v>-3.5000000000000031E-2</v>
      </c>
      <c r="V119" s="56">
        <f t="shared" si="69"/>
        <v>2.0000000000000018E-3</v>
      </c>
    </row>
    <row r="120" spans="1:28">
      <c r="A120" s="141">
        <v>105</v>
      </c>
      <c r="B120" s="142" t="s">
        <v>161</v>
      </c>
      <c r="C120" s="143" t="s">
        <v>29</v>
      </c>
      <c r="D120" s="27">
        <v>430835825.07250202</v>
      </c>
      <c r="E120" s="28">
        <v>0</v>
      </c>
      <c r="F120" s="27">
        <v>2024.9086444199997</v>
      </c>
      <c r="G120" s="27">
        <v>2024.9086444199997</v>
      </c>
      <c r="H120" s="30">
        <v>49</v>
      </c>
      <c r="I120" s="48">
        <v>4.5600000000000003E-4</v>
      </c>
      <c r="J120" s="48">
        <v>9.4799999999999995E-2</v>
      </c>
      <c r="K120" s="27">
        <f>378736.45*W133</f>
        <v>580884871.38973498</v>
      </c>
      <c r="L120" s="28">
        <f t="shared" si="64"/>
        <v>2.9538670695580978E-4</v>
      </c>
      <c r="M120" s="27">
        <f>1.3229*W133</f>
        <v>2028.9903344700001</v>
      </c>
      <c r="N120" s="27">
        <f>1.3229*W133</f>
        <v>2028.9903344700001</v>
      </c>
      <c r="O120" s="30">
        <v>52</v>
      </c>
      <c r="P120" s="48">
        <v>4.5600000000000003E-4</v>
      </c>
      <c r="Q120" s="48">
        <v>0.1013</v>
      </c>
      <c r="R120" s="55">
        <f t="shared" si="65"/>
        <v>0.34827430214741861</v>
      </c>
      <c r="S120" s="55">
        <f t="shared" si="74"/>
        <v>2.015740345248756E-3</v>
      </c>
      <c r="T120" s="55">
        <f t="shared" si="74"/>
        <v>6.1224489795918366E-2</v>
      </c>
      <c r="U120" s="55">
        <f t="shared" si="68"/>
        <v>0</v>
      </c>
      <c r="V120" s="56">
        <f t="shared" si="69"/>
        <v>6.5000000000000058E-3</v>
      </c>
    </row>
    <row r="121" spans="1:28">
      <c r="A121" s="141">
        <v>106</v>
      </c>
      <c r="B121" s="142" t="s">
        <v>162</v>
      </c>
      <c r="C121" s="143" t="s">
        <v>70</v>
      </c>
      <c r="D121" s="27">
        <v>830110285.86524093</v>
      </c>
      <c r="E121" s="28">
        <f t="shared" ref="E121:E130" si="75">(D121/$D$150)</f>
        <v>4.2561484316597172E-4</v>
      </c>
      <c r="F121" s="27">
        <v>162051.01088700001</v>
      </c>
      <c r="G121" s="27">
        <v>162219.83001000001</v>
      </c>
      <c r="H121" s="30">
        <v>52</v>
      </c>
      <c r="I121" s="48">
        <v>0</v>
      </c>
      <c r="J121" s="48">
        <v>1.9400000000000001E-2</v>
      </c>
      <c r="K121" s="27">
        <f>540887.37*W133</f>
        <v>829582920.67949104</v>
      </c>
      <c r="L121" s="28">
        <f t="shared" si="64"/>
        <v>4.218525548789631E-4</v>
      </c>
      <c r="M121" s="27">
        <f>105.59*W133</f>
        <v>161948.06063700002</v>
      </c>
      <c r="N121" s="27">
        <f>105.7*W133</f>
        <v>162116.77251000001</v>
      </c>
      <c r="O121" s="30">
        <v>52</v>
      </c>
      <c r="P121" s="48">
        <v>0</v>
      </c>
      <c r="Q121" s="48">
        <v>1.9400000000000001E-2</v>
      </c>
      <c r="R121" s="55">
        <f t="shared" si="65"/>
        <v>-6.3529532729522187E-4</v>
      </c>
      <c r="S121" s="55">
        <f t="shared" si="74"/>
        <v>-6.3529532729532747E-4</v>
      </c>
      <c r="T121" s="55">
        <f t="shared" si="74"/>
        <v>0</v>
      </c>
      <c r="U121" s="55">
        <f t="shared" si="68"/>
        <v>0</v>
      </c>
      <c r="V121" s="56">
        <f t="shared" si="69"/>
        <v>0</v>
      </c>
    </row>
    <row r="122" spans="1:28">
      <c r="A122" s="141">
        <v>107</v>
      </c>
      <c r="B122" s="142" t="s">
        <v>163</v>
      </c>
      <c r="C122" s="143" t="s">
        <v>73</v>
      </c>
      <c r="D122" s="27">
        <v>5365148357.4746494</v>
      </c>
      <c r="E122" s="28">
        <f t="shared" si="75"/>
        <v>2.7508233732444582E-3</v>
      </c>
      <c r="F122" s="27">
        <v>170828.68445142001</v>
      </c>
      <c r="G122" s="27">
        <v>170828.68445142001</v>
      </c>
      <c r="H122" s="30">
        <v>61</v>
      </c>
      <c r="I122" s="48">
        <v>8.9999999999999993E-3</v>
      </c>
      <c r="J122" s="48">
        <v>6.6400000000000001E-2</v>
      </c>
      <c r="K122" s="27">
        <v>5369391892.1425867</v>
      </c>
      <c r="L122" s="28">
        <f t="shared" si="64"/>
        <v>2.7303981692287723E-3</v>
      </c>
      <c r="M122" s="27">
        <v>170901.59973711002</v>
      </c>
      <c r="N122" s="27">
        <v>170901.59973711002</v>
      </c>
      <c r="O122" s="30">
        <v>60</v>
      </c>
      <c r="P122" s="48">
        <v>8.9999999999999993E-3</v>
      </c>
      <c r="Q122" s="48">
        <v>6.6000000000000003E-2</v>
      </c>
      <c r="R122" s="55">
        <f t="shared" si="65"/>
        <v>7.9094451545319263E-4</v>
      </c>
      <c r="S122" s="55">
        <f t="shared" si="66"/>
        <v>4.2683279991396144E-4</v>
      </c>
      <c r="T122" s="55">
        <f t="shared" si="67"/>
        <v>-1.6393442622950821E-2</v>
      </c>
      <c r="U122" s="55">
        <f t="shared" si="68"/>
        <v>0</v>
      </c>
      <c r="V122" s="56">
        <f t="shared" si="69"/>
        <v>-3.9999999999999758E-4</v>
      </c>
      <c r="X122" s="64"/>
    </row>
    <row r="123" spans="1:28">
      <c r="A123" s="141">
        <v>108</v>
      </c>
      <c r="B123" s="142" t="s">
        <v>164</v>
      </c>
      <c r="C123" s="143" t="s">
        <v>31</v>
      </c>
      <c r="D123" s="27">
        <v>56707673450.284996</v>
      </c>
      <c r="E123" s="28">
        <f t="shared" si="75"/>
        <v>2.9075205973014932E-2</v>
      </c>
      <c r="F123" s="27">
        <v>202378.96250000002</v>
      </c>
      <c r="G123" s="27">
        <v>202378.96250000002</v>
      </c>
      <c r="H123" s="30">
        <v>2457</v>
      </c>
      <c r="I123" s="48">
        <v>1.6000000000000001E-3</v>
      </c>
      <c r="J123" s="48">
        <v>4.1599999999999998E-2</v>
      </c>
      <c r="K123" s="27">
        <f>37062818.03*1534.83</f>
        <v>56885124996.984901</v>
      </c>
      <c r="L123" s="28">
        <f t="shared" si="64"/>
        <v>2.892674706336985E-2</v>
      </c>
      <c r="M123" s="27">
        <f>131.82*1534.83</f>
        <v>202321.29059999998</v>
      </c>
      <c r="N123" s="27">
        <f>131.82*1534.83</f>
        <v>202321.29059999998</v>
      </c>
      <c r="O123" s="30">
        <v>2463</v>
      </c>
      <c r="P123" s="48">
        <v>1.2999999999999999E-3</v>
      </c>
      <c r="Q123" s="48">
        <v>4.2999999999999997E-2</v>
      </c>
      <c r="R123" s="55">
        <f t="shared" si="65"/>
        <v>3.1292334159234241E-3</v>
      </c>
      <c r="S123" s="55">
        <f t="shared" si="66"/>
        <v>-2.8496983721835632E-4</v>
      </c>
      <c r="T123" s="55">
        <f t="shared" si="67"/>
        <v>2.442002442002442E-3</v>
      </c>
      <c r="U123" s="55">
        <f t="shared" si="68"/>
        <v>-3.0000000000000014E-4</v>
      </c>
      <c r="V123" s="56">
        <f t="shared" si="69"/>
        <v>1.3999999999999985E-3</v>
      </c>
    </row>
    <row r="124" spans="1:28">
      <c r="A124" s="141">
        <v>109</v>
      </c>
      <c r="B124" s="172" t="s">
        <v>165</v>
      </c>
      <c r="C124" s="172" t="s">
        <v>31</v>
      </c>
      <c r="D124" s="27">
        <v>160845226587.04498</v>
      </c>
      <c r="E124" s="28">
        <f t="shared" si="75"/>
        <v>8.2468699705949361E-2</v>
      </c>
      <c r="F124" s="27">
        <v>191049.43</v>
      </c>
      <c r="G124" s="27">
        <v>191049.43</v>
      </c>
      <c r="H124" s="30">
        <v>916</v>
      </c>
      <c r="I124" s="48">
        <v>1.6000000000000001E-3</v>
      </c>
      <c r="J124" s="48">
        <v>4.6699999999999998E-2</v>
      </c>
      <c r="K124" s="27">
        <f>106065526.92*1534.83</f>
        <v>162792552682.6236</v>
      </c>
      <c r="L124" s="28">
        <f t="shared" si="64"/>
        <v>8.2781904680707993E-2</v>
      </c>
      <c r="M124" s="27">
        <f>124.44*1534.83</f>
        <v>190994.24519999998</v>
      </c>
      <c r="N124" s="27">
        <f>124.44*1534.83</f>
        <v>190994.24519999998</v>
      </c>
      <c r="O124" s="30">
        <v>926</v>
      </c>
      <c r="P124" s="48">
        <v>1.2999999999999999E-3</v>
      </c>
      <c r="Q124" s="48">
        <v>4.8099999999999997E-2</v>
      </c>
      <c r="R124" s="55">
        <f t="shared" si="65"/>
        <v>1.2106831746882922E-2</v>
      </c>
      <c r="S124" s="55">
        <f t="shared" si="66"/>
        <v>-2.88850901047008E-4</v>
      </c>
      <c r="T124" s="55">
        <f t="shared" si="67"/>
        <v>1.0917030567685589E-2</v>
      </c>
      <c r="U124" s="55">
        <f t="shared" si="68"/>
        <v>-3.0000000000000014E-4</v>
      </c>
      <c r="V124" s="56">
        <f t="shared" si="69"/>
        <v>1.3999999999999985E-3</v>
      </c>
      <c r="X124" s="63"/>
    </row>
    <row r="125" spans="1:28">
      <c r="A125" s="141">
        <v>110</v>
      </c>
      <c r="B125" s="142" t="s">
        <v>300</v>
      </c>
      <c r="C125" s="143" t="s">
        <v>299</v>
      </c>
      <c r="D125" s="27">
        <v>1151199438.792639</v>
      </c>
      <c r="E125" s="28">
        <f t="shared" si="75"/>
        <v>5.902439434102186E-4</v>
      </c>
      <c r="F125" s="27">
        <v>1534.7193</v>
      </c>
      <c r="G125" s="27">
        <v>1534.7193</v>
      </c>
      <c r="H125" s="30">
        <v>8</v>
      </c>
      <c r="I125" s="48">
        <v>9.3299999999999994E-2</v>
      </c>
      <c r="J125" s="48">
        <v>8.7599999999999997E-2</v>
      </c>
      <c r="K125" s="27">
        <f>750866.19*W133</f>
        <v>1151636738.9752169</v>
      </c>
      <c r="L125" s="28">
        <f t="shared" si="64"/>
        <v>5.856206637321424E-4</v>
      </c>
      <c r="M125" s="27">
        <f>1*W133</f>
        <v>1533.7443000000001</v>
      </c>
      <c r="N125" s="27">
        <f>1*W133</f>
        <v>1533.7443000000001</v>
      </c>
      <c r="O125" s="30">
        <v>9</v>
      </c>
      <c r="P125" s="48">
        <v>9.2499999999999999E-2</v>
      </c>
      <c r="Q125" s="48">
        <v>8.7599999999999997E-2</v>
      </c>
      <c r="R125" s="55">
        <f t="shared" ref="R125" si="76">((K125-D125)/D125)</f>
        <v>3.7986483300971936E-4</v>
      </c>
      <c r="S125" s="55">
        <f t="shared" ref="S125" si="77">((N125-G125)/G125)</f>
        <v>-6.3529532729529701E-4</v>
      </c>
      <c r="T125" s="55">
        <f t="shared" si="67"/>
        <v>0.125</v>
      </c>
      <c r="U125" s="55">
        <f t="shared" si="68"/>
        <v>-7.9999999999999516E-4</v>
      </c>
      <c r="V125" s="56">
        <f t="shared" si="69"/>
        <v>0</v>
      </c>
    </row>
    <row r="126" spans="1:28">
      <c r="A126" s="141">
        <v>111</v>
      </c>
      <c r="B126" s="142" t="s">
        <v>166</v>
      </c>
      <c r="C126" s="143" t="s">
        <v>35</v>
      </c>
      <c r="D126" s="27">
        <v>253129434.20286897</v>
      </c>
      <c r="E126" s="28">
        <f t="shared" si="75"/>
        <v>1.2978473616508698E-4</v>
      </c>
      <c r="F126" s="27">
        <v>198255.03917400001</v>
      </c>
      <c r="G126" s="27">
        <v>198255.03917400001</v>
      </c>
      <c r="H126" s="30">
        <v>9</v>
      </c>
      <c r="I126" s="48">
        <v>2E-3</v>
      </c>
      <c r="J126" s="48">
        <v>0.1394</v>
      </c>
      <c r="K126" s="27">
        <f>164935.33*W133</f>
        <v>252968622.25611898</v>
      </c>
      <c r="L126" s="28">
        <f t="shared" si="64"/>
        <v>1.2863748390040035E-4</v>
      </c>
      <c r="M126" s="27">
        <f>129.18*W133</f>
        <v>198129.08867400003</v>
      </c>
      <c r="N126" s="27">
        <f>129.18*W133</f>
        <v>198129.08867400003</v>
      </c>
      <c r="O126" s="30">
        <v>9</v>
      </c>
      <c r="P126" s="48">
        <v>2E-3</v>
      </c>
      <c r="Q126" s="48">
        <v>0.1394</v>
      </c>
      <c r="R126" s="55">
        <f t="shared" si="65"/>
        <v>-6.3529532729529787E-4</v>
      </c>
      <c r="S126" s="55">
        <f t="shared" si="66"/>
        <v>-6.3529532729524117E-4</v>
      </c>
      <c r="T126" s="55">
        <f t="shared" si="67"/>
        <v>0</v>
      </c>
      <c r="U126" s="55">
        <f t="shared" si="68"/>
        <v>0</v>
      </c>
      <c r="V126" s="56">
        <f t="shared" si="69"/>
        <v>0</v>
      </c>
    </row>
    <row r="127" spans="1:28">
      <c r="A127" s="141">
        <v>112</v>
      </c>
      <c r="B127" s="142" t="s">
        <v>167</v>
      </c>
      <c r="C127" s="143" t="s">
        <v>41</v>
      </c>
      <c r="D127" s="27">
        <v>16481788586.935413</v>
      </c>
      <c r="E127" s="28">
        <f t="shared" si="75"/>
        <v>8.4505564910708833E-3</v>
      </c>
      <c r="F127" s="27">
        <v>2179.301406</v>
      </c>
      <c r="G127" s="27">
        <v>2179.301406</v>
      </c>
      <c r="H127" s="44">
        <v>117</v>
      </c>
      <c r="I127" s="51">
        <v>8.0000000000000004E-4</v>
      </c>
      <c r="J127" s="51">
        <v>4.9500000000000002E-2</v>
      </c>
      <c r="K127" s="27">
        <f>10803697.04*W133</f>
        <v>16570108754.026871</v>
      </c>
      <c r="L127" s="28">
        <f t="shared" si="64"/>
        <v>8.4260928452854992E-3</v>
      </c>
      <c r="M127" s="27">
        <f>1.43*W133</f>
        <v>2193.2543489999998</v>
      </c>
      <c r="N127" s="27">
        <f>1.43*W133</f>
        <v>2193.2543489999998</v>
      </c>
      <c r="O127" s="44">
        <v>117</v>
      </c>
      <c r="P127" s="51">
        <v>1E-3</v>
      </c>
      <c r="Q127" s="51">
        <v>4.9599999999999998E-2</v>
      </c>
      <c r="R127" s="55">
        <f t="shared" si="65"/>
        <v>5.3586518614530667E-3</v>
      </c>
      <c r="S127" s="55">
        <f t="shared" si="66"/>
        <v>6.4024842830757009E-3</v>
      </c>
      <c r="T127" s="55">
        <f t="shared" si="67"/>
        <v>0</v>
      </c>
      <c r="U127" s="55">
        <f t="shared" si="68"/>
        <v>1.9999999999999998E-4</v>
      </c>
      <c r="V127" s="56">
        <f t="shared" si="69"/>
        <v>9.9999999999995925E-5</v>
      </c>
    </row>
    <row r="128" spans="1:28">
      <c r="A128" s="141">
        <v>113</v>
      </c>
      <c r="B128" s="142" t="s">
        <v>168</v>
      </c>
      <c r="C128" s="143" t="s">
        <v>87</v>
      </c>
      <c r="D128" s="27">
        <v>32271534149.767799</v>
      </c>
      <c r="E128" s="28">
        <f t="shared" si="75"/>
        <v>1.6546288101420399E-2</v>
      </c>
      <c r="F128" s="27">
        <v>159472.682463</v>
      </c>
      <c r="G128" s="27">
        <v>159472.682463</v>
      </c>
      <c r="H128" s="30">
        <v>707</v>
      </c>
      <c r="I128" s="51">
        <v>1.6000000000000001E-3</v>
      </c>
      <c r="J128" s="48">
        <v>9.6500000000000002E-2</v>
      </c>
      <c r="K128" s="27">
        <f>21192327*W133</f>
        <v>32503610739.986103</v>
      </c>
      <c r="L128" s="28">
        <f t="shared" si="64"/>
        <v>1.6528463751668731E-2</v>
      </c>
      <c r="M128" s="27">
        <f>104.03*W133</f>
        <v>159555.41952900001</v>
      </c>
      <c r="N128" s="27">
        <f>104.03*W133</f>
        <v>159555.41952900001</v>
      </c>
      <c r="O128" s="30">
        <v>713</v>
      </c>
      <c r="P128" s="51">
        <v>1.1000000000000001E-3</v>
      </c>
      <c r="Q128" s="48">
        <v>9.5299999999999996E-2</v>
      </c>
      <c r="R128" s="55">
        <f t="shared" si="65"/>
        <v>7.1913714774534052E-3</v>
      </c>
      <c r="S128" s="55">
        <f t="shared" si="66"/>
        <v>5.1881654413882272E-4</v>
      </c>
      <c r="T128" s="55">
        <f t="shared" si="67"/>
        <v>8.4865629420084864E-3</v>
      </c>
      <c r="U128" s="55">
        <f t="shared" si="68"/>
        <v>-5.0000000000000001E-4</v>
      </c>
      <c r="V128" s="56">
        <f t="shared" si="69"/>
        <v>-1.2000000000000066E-3</v>
      </c>
    </row>
    <row r="129" spans="1:24">
      <c r="A129" s="141">
        <v>114</v>
      </c>
      <c r="B129" s="142" t="s">
        <v>169</v>
      </c>
      <c r="C129" s="143" t="s">
        <v>45</v>
      </c>
      <c r="D129" s="27">
        <v>2661343247.9473529</v>
      </c>
      <c r="E129" s="28">
        <f t="shared" si="75"/>
        <v>1.3645261459509402E-3</v>
      </c>
      <c r="F129" s="27">
        <v>214357.54581221432</v>
      </c>
      <c r="G129" s="27">
        <v>222468.56800710029</v>
      </c>
      <c r="H129" s="30">
        <v>52</v>
      </c>
      <c r="I129" s="48">
        <v>-6.8999999999999999E-3</v>
      </c>
      <c r="J129" s="48">
        <v>2.0400000000000001E-2</v>
      </c>
      <c r="K129" s="27">
        <f>1730887.59*W133</f>
        <v>2654738975.1032372</v>
      </c>
      <c r="L129" s="28">
        <f t="shared" si="64"/>
        <v>1.3499656167785749E-3</v>
      </c>
      <c r="M129" s="27">
        <f>139.414116*W133</f>
        <v>213825.60575453882</v>
      </c>
      <c r="N129" s="27">
        <f>144.735161*W133</f>
        <v>221986.72819333232</v>
      </c>
      <c r="O129" s="30">
        <v>52</v>
      </c>
      <c r="P129" s="48">
        <v>-2.5000000000000001E-3</v>
      </c>
      <c r="Q129" s="48">
        <v>1.8700000000000001E-2</v>
      </c>
      <c r="R129" s="55">
        <f t="shared" ref="R129:R130" si="78">((K129-D129)/D129)</f>
        <v>-2.4815562025715747E-3</v>
      </c>
      <c r="S129" s="55">
        <f t="shared" ref="S129:S130" si="79">((N129-G129)/G129)</f>
        <v>-2.1658781646519301E-3</v>
      </c>
      <c r="T129" s="55">
        <f t="shared" ref="T129:T130" si="80">((O129-H129)/H129)</f>
        <v>0</v>
      </c>
      <c r="U129" s="55">
        <f t="shared" ref="U129:U130" si="81">P129-I129</f>
        <v>4.3999999999999994E-3</v>
      </c>
      <c r="V129" s="56">
        <f t="shared" ref="V129:V130" si="82">Q129-J129</f>
        <v>-1.7000000000000001E-3</v>
      </c>
    </row>
    <row r="130" spans="1:24">
      <c r="A130" s="141">
        <v>115</v>
      </c>
      <c r="B130" s="142" t="s">
        <v>170</v>
      </c>
      <c r="C130" s="143" t="s">
        <v>52</v>
      </c>
      <c r="D130" s="31">
        <v>175583425723.41998</v>
      </c>
      <c r="E130" s="28">
        <f t="shared" si="75"/>
        <v>9.0025281549094255E-2</v>
      </c>
      <c r="F130" s="27">
        <v>187187.396825</v>
      </c>
      <c r="G130" s="27">
        <v>187187.396825</v>
      </c>
      <c r="H130" s="30">
        <v>3852</v>
      </c>
      <c r="I130" s="48">
        <v>0.1168</v>
      </c>
      <c r="J130" s="48">
        <v>9.5000000000000001E-2</v>
      </c>
      <c r="K130" s="31">
        <f>119730018.88*1534.8</f>
        <v>183761632977.02399</v>
      </c>
      <c r="L130" s="28">
        <f t="shared" si="64"/>
        <v>9.3444925670110104E-2</v>
      </c>
      <c r="M130" s="27">
        <f>121.881*1534.8</f>
        <v>187062.95879999999</v>
      </c>
      <c r="N130" s="27">
        <f>121.881*1534.8</f>
        <v>187062.95879999999</v>
      </c>
      <c r="O130" s="30">
        <v>3864</v>
      </c>
      <c r="P130" s="48">
        <v>4.9599999999999998E-2</v>
      </c>
      <c r="Q130" s="48">
        <v>9.3299999999999994E-2</v>
      </c>
      <c r="R130" s="55">
        <f t="shared" si="78"/>
        <v>4.6577330519147989E-2</v>
      </c>
      <c r="S130" s="55">
        <f t="shared" si="79"/>
        <v>-6.6477779546422397E-4</v>
      </c>
      <c r="T130" s="55">
        <f t="shared" si="80"/>
        <v>3.1152647975077881E-3</v>
      </c>
      <c r="U130" s="55">
        <f t="shared" si="81"/>
        <v>-6.720000000000001E-2</v>
      </c>
      <c r="V130" s="56">
        <f t="shared" si="82"/>
        <v>-1.7000000000000071E-3</v>
      </c>
    </row>
    <row r="131" spans="1:24" ht="6" customHeight="1">
      <c r="A131" s="34"/>
      <c r="B131" s="179"/>
      <c r="C131" s="179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</row>
    <row r="132" spans="1:24">
      <c r="A132" s="182" t="s">
        <v>171</v>
      </c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</row>
    <row r="133" spans="1:24">
      <c r="A133" s="141">
        <v>116</v>
      </c>
      <c r="B133" s="142" t="s">
        <v>172</v>
      </c>
      <c r="C133" s="143" t="s">
        <v>115</v>
      </c>
      <c r="D133" s="31">
        <v>1879513128.6946709</v>
      </c>
      <c r="E133" s="28">
        <f t="shared" ref="E133:E146" si="83">(D133/$D$150)</f>
        <v>9.6366555037197775E-4</v>
      </c>
      <c r="F133" s="27">
        <v>170937.035634</v>
      </c>
      <c r="G133" s="27">
        <v>170937.035634</v>
      </c>
      <c r="H133" s="30">
        <v>23</v>
      </c>
      <c r="I133" s="48">
        <v>2.4E-2</v>
      </c>
      <c r="J133" s="48">
        <v>0.13900000000000001</v>
      </c>
      <c r="K133" s="31">
        <f>1230596.67*W133</f>
        <v>1887420628.2114809</v>
      </c>
      <c r="L133" s="28">
        <f t="shared" ref="L133:L149" si="84">(K133/$K$150)</f>
        <v>9.5977532118201279E-4</v>
      </c>
      <c r="M133" s="27">
        <f>111.72*W133</f>
        <v>171349.91319600001</v>
      </c>
      <c r="N133" s="27">
        <f>111.72*W133</f>
        <v>171349.91319600001</v>
      </c>
      <c r="O133" s="30">
        <v>23</v>
      </c>
      <c r="P133" s="48">
        <v>4.7999999999999996E-3</v>
      </c>
      <c r="Q133" s="48">
        <v>0.14180000000000001</v>
      </c>
      <c r="R133" s="55">
        <f>((K133-D133)/D133)</f>
        <v>4.2072063217253129E-3</v>
      </c>
      <c r="S133" s="55">
        <f>((N133-G133)/G133)</f>
        <v>2.4153780394556338E-3</v>
      </c>
      <c r="T133" s="55">
        <f>((O133-H133)/H133)</f>
        <v>0</v>
      </c>
      <c r="U133" s="55">
        <f>P133-I133</f>
        <v>-1.9200000000000002E-2</v>
      </c>
      <c r="V133" s="56">
        <f>Q133-J133</f>
        <v>2.7999999999999969E-3</v>
      </c>
      <c r="W133" s="135">
        <v>1533.7443000000001</v>
      </c>
    </row>
    <row r="134" spans="1:24">
      <c r="A134" s="141">
        <v>117</v>
      </c>
      <c r="B134" s="143" t="s">
        <v>173</v>
      </c>
      <c r="C134" s="143" t="s">
        <v>25</v>
      </c>
      <c r="D134" s="27">
        <v>20030980624.281727</v>
      </c>
      <c r="E134" s="28">
        <f t="shared" si="83"/>
        <v>1.0270301214227215E-2</v>
      </c>
      <c r="F134" s="31">
        <v>211914.04094400001</v>
      </c>
      <c r="G134" s="31">
        <v>211914.04094400001</v>
      </c>
      <c r="H134" s="30">
        <v>604</v>
      </c>
      <c r="I134" s="48">
        <v>5.0000000000000001E-4</v>
      </c>
      <c r="J134" s="48">
        <v>3.2399999999999998E-2</v>
      </c>
      <c r="K134" s="27">
        <f>12575925.49*W133</f>
        <v>19288254037.512207</v>
      </c>
      <c r="L134" s="28">
        <f t="shared" si="84"/>
        <v>9.8083013066546099E-3</v>
      </c>
      <c r="M134" s="31">
        <f>138.21*W133</f>
        <v>211978.79970300003</v>
      </c>
      <c r="N134" s="31">
        <f>138.21*W133</f>
        <v>211978.79970300003</v>
      </c>
      <c r="O134" s="30">
        <v>609</v>
      </c>
      <c r="P134" s="48">
        <v>5.0000000000000001E-4</v>
      </c>
      <c r="Q134" s="48">
        <v>3.3399999999999999E-2</v>
      </c>
      <c r="R134" s="55">
        <f t="shared" ref="R134:R150" si="85">((K134-D134)/D134)</f>
        <v>-3.70788929758726E-2</v>
      </c>
      <c r="S134" s="55">
        <f t="shared" ref="S134:S150" si="86">((N134-G134)/G134)</f>
        <v>3.0558975097422399E-4</v>
      </c>
      <c r="T134" s="55">
        <f t="shared" ref="T134:T150" si="87">((O134-H134)/H134)</f>
        <v>8.2781456953642391E-3</v>
      </c>
      <c r="U134" s="55">
        <f t="shared" ref="U134:U150" si="88">P134-I134</f>
        <v>0</v>
      </c>
      <c r="V134" s="56">
        <f t="shared" ref="V134:V150" si="89">Q134-J134</f>
        <v>1.0000000000000009E-3</v>
      </c>
    </row>
    <row r="135" spans="1:24">
      <c r="A135" s="141">
        <v>118</v>
      </c>
      <c r="B135" s="142" t="s">
        <v>174</v>
      </c>
      <c r="C135" s="143" t="s">
        <v>67</v>
      </c>
      <c r="D135" s="31">
        <v>18059533905.700001</v>
      </c>
      <c r="E135" s="28">
        <f t="shared" si="83"/>
        <v>9.2594993964125582E-3</v>
      </c>
      <c r="F135" s="31">
        <v>176161.44</v>
      </c>
      <c r="G135" s="31">
        <v>176161.44</v>
      </c>
      <c r="H135" s="30">
        <v>433</v>
      </c>
      <c r="I135" s="48">
        <v>1.5E-3</v>
      </c>
      <c r="J135" s="48">
        <v>6.3200000000000006E-2</v>
      </c>
      <c r="K135" s="31">
        <v>18063370923.200001</v>
      </c>
      <c r="L135" s="28">
        <f t="shared" si="84"/>
        <v>9.1854340099442686E-3</v>
      </c>
      <c r="M135" s="31">
        <v>175666.4</v>
      </c>
      <c r="N135" s="31">
        <v>175666.4</v>
      </c>
      <c r="O135" s="30">
        <v>437</v>
      </c>
      <c r="P135" s="48">
        <v>1.1000000000000001E-3</v>
      </c>
      <c r="Q135" s="48">
        <v>6.6199999999999995E-2</v>
      </c>
      <c r="R135" s="55">
        <f t="shared" si="85"/>
        <v>2.1246492406921697E-4</v>
      </c>
      <c r="S135" s="55">
        <f t="shared" si="86"/>
        <v>-2.8101495991404712E-3</v>
      </c>
      <c r="T135" s="55">
        <f t="shared" si="87"/>
        <v>9.2378752886836026E-3</v>
      </c>
      <c r="U135" s="55">
        <f t="shared" si="88"/>
        <v>-3.9999999999999996E-4</v>
      </c>
      <c r="V135" s="56">
        <f t="shared" si="89"/>
        <v>2.9999999999999888E-3</v>
      </c>
    </row>
    <row r="136" spans="1:24">
      <c r="A136" s="141">
        <v>119</v>
      </c>
      <c r="B136" s="142" t="s">
        <v>295</v>
      </c>
      <c r="C136" s="143" t="s">
        <v>296</v>
      </c>
      <c r="D136" s="27">
        <v>192846519.541677</v>
      </c>
      <c r="E136" s="28">
        <f t="shared" ref="E136" si="90">(D136/$D$110)</f>
        <v>8.8587951413938927E-4</v>
      </c>
      <c r="F136" s="33">
        <v>1525.97139999</v>
      </c>
      <c r="G136" s="33">
        <v>1525.97139999</v>
      </c>
      <c r="H136" s="30">
        <v>3</v>
      </c>
      <c r="I136" s="48">
        <v>6.4561027837259033E-2</v>
      </c>
      <c r="J136" s="48">
        <v>5.0798572768168015E-2</v>
      </c>
      <c r="K136" s="27">
        <f>125950.43*W133</f>
        <v>193175754.09504899</v>
      </c>
      <c r="L136" s="28">
        <f t="shared" ref="L136" si="91">(K136/$K$110)</f>
        <v>8.7468436036131395E-4</v>
      </c>
      <c r="M136" s="33">
        <f>0.9946*W133</f>
        <v>1525.4620807800002</v>
      </c>
      <c r="N136" s="33">
        <f>0.9946*W133</f>
        <v>1525.4620807800002</v>
      </c>
      <c r="O136" s="30">
        <v>3</v>
      </c>
      <c r="P136" s="48">
        <v>3.0171980287652111E-4</v>
      </c>
      <c r="Q136" s="48">
        <v>5.1098993356992417E-2</v>
      </c>
      <c r="R136" s="54">
        <f t="shared" si="85"/>
        <v>1.7072361697502308E-3</v>
      </c>
      <c r="S136" s="54">
        <f t="shared" si="86"/>
        <v>-3.3376720559976953E-4</v>
      </c>
      <c r="T136" s="54">
        <f t="shared" si="87"/>
        <v>0</v>
      </c>
      <c r="U136" s="55">
        <f t="shared" si="88"/>
        <v>-6.4259308034382512E-2</v>
      </c>
      <c r="V136" s="56">
        <f t="shared" si="89"/>
        <v>3.0042058882440159E-4</v>
      </c>
    </row>
    <row r="137" spans="1:24">
      <c r="A137" s="141">
        <v>120</v>
      </c>
      <c r="B137" s="142" t="s">
        <v>175</v>
      </c>
      <c r="C137" s="143" t="s">
        <v>65</v>
      </c>
      <c r="D137" s="31">
        <v>9810936658.6892071</v>
      </c>
      <c r="E137" s="28">
        <f t="shared" si="83"/>
        <v>5.0302716860650539E-3</v>
      </c>
      <c r="F137" s="31">
        <v>2012.1134335831568</v>
      </c>
      <c r="G137" s="31">
        <v>2012.1134335831568</v>
      </c>
      <c r="H137" s="30">
        <v>276</v>
      </c>
      <c r="I137" s="48">
        <v>6.620022206601929E-2</v>
      </c>
      <c r="J137" s="48">
        <v>6.6573955363582224E-2</v>
      </c>
      <c r="K137" s="31">
        <v>9949232231.4425983</v>
      </c>
      <c r="L137" s="28">
        <f t="shared" si="84"/>
        <v>5.0593001992862126E-3</v>
      </c>
      <c r="M137" s="31">
        <v>2011.1351499307773</v>
      </c>
      <c r="N137" s="31">
        <v>2011.1351499307773</v>
      </c>
      <c r="O137" s="30">
        <v>278</v>
      </c>
      <c r="P137" s="48">
        <v>5.6823105420527903E-2</v>
      </c>
      <c r="Q137" s="48">
        <v>6.6323670152521094E-2</v>
      </c>
      <c r="R137" s="55">
        <f t="shared" si="85"/>
        <v>1.4096062136015082E-2</v>
      </c>
      <c r="S137" s="55">
        <f t="shared" si="86"/>
        <v>-4.8619706824253896E-4</v>
      </c>
      <c r="T137" s="54">
        <f t="shared" si="87"/>
        <v>7.246376811594203E-3</v>
      </c>
      <c r="U137" s="55">
        <f t="shared" si="88"/>
        <v>-9.3771166454913873E-3</v>
      </c>
      <c r="V137" s="56">
        <f t="shared" si="89"/>
        <v>-2.5028521106112978E-4</v>
      </c>
    </row>
    <row r="138" spans="1:24">
      <c r="A138" s="141">
        <v>121</v>
      </c>
      <c r="B138" s="142" t="s">
        <v>302</v>
      </c>
      <c r="C138" s="143" t="s">
        <v>37</v>
      </c>
      <c r="D138" s="31">
        <v>95775592773.551605</v>
      </c>
      <c r="E138" s="28">
        <f t="shared" si="83"/>
        <v>4.9106142390410806E-2</v>
      </c>
      <c r="F138" s="31">
        <v>152971</v>
      </c>
      <c r="G138" s="31">
        <v>152971</v>
      </c>
      <c r="H138" s="30">
        <v>1896</v>
      </c>
      <c r="I138" s="48">
        <v>5.1400000000000001E-2</v>
      </c>
      <c r="J138" s="48">
        <v>5.0830899999999998E-2</v>
      </c>
      <c r="K138" s="31">
        <v>97026679104.5625</v>
      </c>
      <c r="L138" s="28">
        <f t="shared" si="84"/>
        <v>4.9339193769991622E-2</v>
      </c>
      <c r="M138" s="31">
        <f>100*1533.55</f>
        <v>153355</v>
      </c>
      <c r="N138" s="31">
        <f>100*1533.55</f>
        <v>153355</v>
      </c>
      <c r="O138" s="30">
        <v>1893</v>
      </c>
      <c r="P138" s="48">
        <v>4.2999999999999997E-2</v>
      </c>
      <c r="Q138" s="48">
        <v>5.0574599999999997E-2</v>
      </c>
      <c r="R138" s="55">
        <f t="shared" si="85"/>
        <v>1.3062684289189613E-2</v>
      </c>
      <c r="S138" s="55">
        <f t="shared" si="86"/>
        <v>2.5102797262226174E-3</v>
      </c>
      <c r="T138" s="55">
        <f t="shared" si="87"/>
        <v>-1.5822784810126582E-3</v>
      </c>
      <c r="U138" s="55">
        <f t="shared" si="88"/>
        <v>-8.4000000000000047E-3</v>
      </c>
      <c r="V138" s="56">
        <f t="shared" si="89"/>
        <v>-2.5630000000000097E-4</v>
      </c>
    </row>
    <row r="139" spans="1:24" ht="15.6">
      <c r="A139" s="141">
        <v>122</v>
      </c>
      <c r="B139" s="142" t="s">
        <v>176</v>
      </c>
      <c r="C139" s="143" t="s">
        <v>132</v>
      </c>
      <c r="D139" s="31">
        <v>1524677017.7323799</v>
      </c>
      <c r="E139" s="28">
        <f t="shared" si="83"/>
        <v>7.817336814523872E-4</v>
      </c>
      <c r="F139" s="31">
        <v>1734.2328089999999</v>
      </c>
      <c r="G139" s="31">
        <v>1810.9687739999999</v>
      </c>
      <c r="H139" s="30">
        <v>53</v>
      </c>
      <c r="I139" s="48">
        <v>1.9E-3</v>
      </c>
      <c r="J139" s="48">
        <v>9.2299999999999993E-2</v>
      </c>
      <c r="K139" s="31">
        <f>1031540.61*W133</f>
        <v>1582119530.8060231</v>
      </c>
      <c r="L139" s="28">
        <f t="shared" si="84"/>
        <v>8.0452616556734192E-4</v>
      </c>
      <c r="M139" s="31">
        <f>1.1*W133</f>
        <v>1687.1187300000001</v>
      </c>
      <c r="N139" s="31">
        <f>1.14*W133</f>
        <v>1748.4685019999999</v>
      </c>
      <c r="O139" s="30">
        <v>53</v>
      </c>
      <c r="P139" s="48">
        <v>1.9E-3</v>
      </c>
      <c r="Q139" s="48">
        <v>9.2299999999999993E-2</v>
      </c>
      <c r="R139" s="55">
        <f t="shared" si="85"/>
        <v>3.7675200980648513E-2</v>
      </c>
      <c r="S139" s="55">
        <f t="shared" si="86"/>
        <v>-3.4512064977217545E-2</v>
      </c>
      <c r="T139" s="55">
        <f t="shared" si="87"/>
        <v>0</v>
      </c>
      <c r="U139" s="55">
        <f t="shared" si="88"/>
        <v>0</v>
      </c>
      <c r="V139" s="56">
        <f t="shared" si="89"/>
        <v>0</v>
      </c>
      <c r="X139" s="65"/>
    </row>
    <row r="140" spans="1:24" ht="15.6">
      <c r="A140" s="141">
        <v>123</v>
      </c>
      <c r="B140" s="142" t="s">
        <v>177</v>
      </c>
      <c r="C140" s="143" t="s">
        <v>43</v>
      </c>
      <c r="D140" s="27">
        <v>5930121534.6394348</v>
      </c>
      <c r="E140" s="28">
        <f t="shared" si="83"/>
        <v>3.040496895288982E-3</v>
      </c>
      <c r="F140" s="31">
        <v>16667.051597999998</v>
      </c>
      <c r="G140" s="31">
        <v>16667.051597999998</v>
      </c>
      <c r="H140" s="30">
        <v>141</v>
      </c>
      <c r="I140" s="48">
        <v>7.5200000000000003E-2</v>
      </c>
      <c r="J140" s="48">
        <v>9.5299999999999996E-2</v>
      </c>
      <c r="K140" s="27">
        <f>3861456.19*W133</f>
        <v>5922486421.1122169</v>
      </c>
      <c r="L140" s="28">
        <f t="shared" si="84"/>
        <v>3.0116531641415233E-3</v>
      </c>
      <c r="M140" s="31">
        <f>10.87*W133</f>
        <v>16671.800541000001</v>
      </c>
      <c r="N140" s="31">
        <f>10.87*W133</f>
        <v>16671.800541000001</v>
      </c>
      <c r="O140" s="30">
        <v>139</v>
      </c>
      <c r="P140" s="48">
        <v>7.5399999999999995E-2</v>
      </c>
      <c r="Q140" s="48">
        <v>9.5500000000000002E-2</v>
      </c>
      <c r="R140" s="55">
        <f t="shared" si="85"/>
        <v>-1.287513836372343E-3</v>
      </c>
      <c r="S140" s="55">
        <f t="shared" si="86"/>
        <v>2.8492999929106765E-4</v>
      </c>
      <c r="T140" s="55">
        <f t="shared" si="87"/>
        <v>-1.4184397163120567E-2</v>
      </c>
      <c r="U140" s="55">
        <f t="shared" si="88"/>
        <v>1.9999999999999185E-4</v>
      </c>
      <c r="V140" s="56">
        <f t="shared" si="89"/>
        <v>2.0000000000000573E-4</v>
      </c>
      <c r="X140" s="65"/>
    </row>
    <row r="141" spans="1:24" ht="15.6">
      <c r="A141" s="141">
        <v>124</v>
      </c>
      <c r="B141" s="143" t="s">
        <v>178</v>
      </c>
      <c r="C141" s="173" t="s">
        <v>47</v>
      </c>
      <c r="D141" s="31">
        <v>25918662445.209999</v>
      </c>
      <c r="E141" s="28">
        <f t="shared" si="83"/>
        <v>1.3289038383847509E-2</v>
      </c>
      <c r="F141" s="31">
        <v>1611.4552650000001</v>
      </c>
      <c r="G141" s="31">
        <v>1611.4552650000001</v>
      </c>
      <c r="H141" s="30">
        <v>460</v>
      </c>
      <c r="I141" s="48">
        <v>6.0299999999999999E-2</v>
      </c>
      <c r="J141" s="48">
        <v>5.3499999999999999E-2</v>
      </c>
      <c r="K141" s="31">
        <v>26373399022.799999</v>
      </c>
      <c r="L141" s="28">
        <f t="shared" si="84"/>
        <v>1.3411179860715735E-2</v>
      </c>
      <c r="M141" s="31">
        <f>1.06*W133</f>
        <v>1625.7689580000001</v>
      </c>
      <c r="N141" s="31">
        <f>1.06*W133</f>
        <v>1625.7689580000001</v>
      </c>
      <c r="O141" s="30">
        <v>460</v>
      </c>
      <c r="P141" s="48">
        <v>5.96E-2</v>
      </c>
      <c r="Q141" s="48">
        <v>6.5100000000000005E-2</v>
      </c>
      <c r="R141" s="55">
        <f t="shared" si="85"/>
        <v>1.7544754809445791E-2</v>
      </c>
      <c r="S141" s="55">
        <f t="shared" si="86"/>
        <v>8.8824637648256752E-3</v>
      </c>
      <c r="T141" s="55">
        <f t="shared" si="87"/>
        <v>0</v>
      </c>
      <c r="U141" s="55">
        <f t="shared" si="88"/>
        <v>-6.9999999999999923E-4</v>
      </c>
      <c r="V141" s="56">
        <f t="shared" si="89"/>
        <v>1.1600000000000006E-2</v>
      </c>
      <c r="X141" s="65"/>
    </row>
    <row r="142" spans="1:24">
      <c r="A142" s="141">
        <v>125</v>
      </c>
      <c r="B142" s="142" t="s">
        <v>179</v>
      </c>
      <c r="C142" s="143" t="s">
        <v>89</v>
      </c>
      <c r="D142" s="27">
        <v>448762428.75749993</v>
      </c>
      <c r="E142" s="28">
        <f t="shared" si="83"/>
        <v>2.3008984948948166E-4</v>
      </c>
      <c r="F142" s="31">
        <v>1875.4449999999999</v>
      </c>
      <c r="G142" s="31">
        <v>1875.4449999999999</v>
      </c>
      <c r="H142" s="30">
        <v>2</v>
      </c>
      <c r="I142" s="48">
        <v>1.2916E-2</v>
      </c>
      <c r="J142" s="48">
        <v>9.5555000000000001E-2</v>
      </c>
      <c r="K142" s="27">
        <f>292251.31*1534.83</f>
        <v>448556078.12729996</v>
      </c>
      <c r="L142" s="28">
        <f t="shared" si="84"/>
        <v>2.2809597792767974E-4</v>
      </c>
      <c r="M142" s="31">
        <f>1.22*1534.83</f>
        <v>1872.4925999999998</v>
      </c>
      <c r="N142" s="31">
        <f>1.22*1534.83</f>
        <v>1872.4925999999998</v>
      </c>
      <c r="O142" s="30">
        <v>2</v>
      </c>
      <c r="P142" s="48">
        <v>1.116E-3</v>
      </c>
      <c r="Q142" s="48">
        <v>9.6778000000000003E-2</v>
      </c>
      <c r="R142" s="55">
        <f t="shared" si="85"/>
        <v>-4.5982153802691795E-4</v>
      </c>
      <c r="S142" s="55">
        <f t="shared" si="86"/>
        <v>-1.5742397137746642E-3</v>
      </c>
      <c r="T142" s="55">
        <f t="shared" si="87"/>
        <v>0</v>
      </c>
      <c r="U142" s="55">
        <f t="shared" ref="U142" si="92">P142-I142</f>
        <v>-1.18E-2</v>
      </c>
      <c r="V142" s="56">
        <f t="shared" ref="V142" si="93">Q142-J142</f>
        <v>1.2230000000000019E-3</v>
      </c>
    </row>
    <row r="143" spans="1:24">
      <c r="A143" s="141">
        <v>126</v>
      </c>
      <c r="B143" s="142" t="s">
        <v>305</v>
      </c>
      <c r="C143" s="143" t="s">
        <v>303</v>
      </c>
      <c r="D143" s="27">
        <v>658037720.16907096</v>
      </c>
      <c r="E143" s="28">
        <f t="shared" si="83"/>
        <v>3.373896527196135E-4</v>
      </c>
      <c r="F143" s="31">
        <v>1573.2474622572645</v>
      </c>
      <c r="G143" s="31">
        <v>1573.2474622572645</v>
      </c>
      <c r="H143" s="30">
        <v>6</v>
      </c>
      <c r="I143" s="48">
        <v>7.9899999999999999E-2</v>
      </c>
      <c r="J143" s="48">
        <v>6.7400000000000002E-2</v>
      </c>
      <c r="K143" s="27">
        <f>429348.7748*W133</f>
        <v>658511236.06148374</v>
      </c>
      <c r="L143" s="28">
        <f t="shared" si="84"/>
        <v>3.3486061540599957E-4</v>
      </c>
      <c r="M143" s="31">
        <f>1.02649415021955*W133</f>
        <v>1574.3795518825784</v>
      </c>
      <c r="N143" s="31">
        <f>1.02649415021955*W133</f>
        <v>1574.3795518825784</v>
      </c>
      <c r="O143" s="30">
        <v>6</v>
      </c>
      <c r="P143" s="48">
        <v>7.2499999999999995E-2</v>
      </c>
      <c r="Q143" s="48">
        <v>6.7599999999999993E-2</v>
      </c>
      <c r="R143" s="55">
        <f t="shared" ref="R143" si="94">((K143-D143)/D143)</f>
        <v>7.1958776510732596E-4</v>
      </c>
      <c r="S143" s="55">
        <f t="shared" ref="S143" si="95">((N143-G143)/G143)</f>
        <v>7.1958776509935577E-4</v>
      </c>
      <c r="T143" s="55">
        <f t="shared" si="87"/>
        <v>0</v>
      </c>
      <c r="U143" s="55">
        <f t="shared" si="88"/>
        <v>-7.4000000000000038E-3</v>
      </c>
      <c r="V143" s="56">
        <f t="shared" si="89"/>
        <v>1.9999999999999185E-4</v>
      </c>
    </row>
    <row r="144" spans="1:24">
      <c r="A144" s="141">
        <v>127</v>
      </c>
      <c r="B144" s="142" t="s">
        <v>180</v>
      </c>
      <c r="C144" s="143" t="s">
        <v>49</v>
      </c>
      <c r="D144" s="27">
        <v>1082544131543.87</v>
      </c>
      <c r="E144" s="28">
        <f t="shared" si="83"/>
        <v>0.55504293659852844</v>
      </c>
      <c r="F144" s="31">
        <v>2515.4</v>
      </c>
      <c r="G144" s="31">
        <v>2515.4</v>
      </c>
      <c r="H144" s="30">
        <v>11538</v>
      </c>
      <c r="I144" s="48">
        <v>1.2999999999999999E-3</v>
      </c>
      <c r="J144" s="48">
        <v>3.9199999999999999E-2</v>
      </c>
      <c r="K144" s="27">
        <v>1081731886776</v>
      </c>
      <c r="L144" s="28">
        <f t="shared" si="84"/>
        <v>0.55007323409783682</v>
      </c>
      <c r="M144" s="31">
        <v>2514.67</v>
      </c>
      <c r="N144" s="31">
        <v>2514.67</v>
      </c>
      <c r="O144" s="30">
        <v>11595</v>
      </c>
      <c r="P144" s="48">
        <v>1.2999999999999999E-3</v>
      </c>
      <c r="Q144" s="48">
        <v>4.0500000000000001E-2</v>
      </c>
      <c r="R144" s="55">
        <f t="shared" si="85"/>
        <v>-7.5031099814066009E-4</v>
      </c>
      <c r="S144" s="55">
        <f t="shared" si="86"/>
        <v>-2.9021229227956517E-4</v>
      </c>
      <c r="T144" s="55">
        <f t="shared" si="87"/>
        <v>4.9401976079043158E-3</v>
      </c>
      <c r="U144" s="55">
        <f t="shared" si="88"/>
        <v>0</v>
      </c>
      <c r="V144" s="56">
        <f t="shared" si="89"/>
        <v>1.3000000000000025E-3</v>
      </c>
    </row>
    <row r="145" spans="1:22">
      <c r="A145" s="141">
        <v>128</v>
      </c>
      <c r="B145" s="142" t="s">
        <v>287</v>
      </c>
      <c r="C145" s="142" t="s">
        <v>99</v>
      </c>
      <c r="D145" s="27">
        <v>548722402.82971799</v>
      </c>
      <c r="E145" s="28">
        <f t="shared" si="83"/>
        <v>2.8134141137475181E-4</v>
      </c>
      <c r="F145" s="31">
        <v>159503.37684900002</v>
      </c>
      <c r="G145" s="31">
        <v>159503.37684900002</v>
      </c>
      <c r="H145" s="30">
        <v>26</v>
      </c>
      <c r="I145" s="48">
        <v>0</v>
      </c>
      <c r="J145" s="48">
        <v>7.4499999999999997E-2</v>
      </c>
      <c r="K145" s="27">
        <f>366722.16*W133</f>
        <v>562458022.58368802</v>
      </c>
      <c r="L145" s="28">
        <f t="shared" si="84"/>
        <v>2.8601644021884238E-4</v>
      </c>
      <c r="M145" s="31">
        <f>104.07*W133</f>
        <v>159616.76930099999</v>
      </c>
      <c r="N145" s="31">
        <f>104.07*W133</f>
        <v>159616.76930099999</v>
      </c>
      <c r="O145" s="30">
        <v>27</v>
      </c>
      <c r="P145" s="48">
        <v>0</v>
      </c>
      <c r="Q145" s="48">
        <v>7.4499999999999997E-2</v>
      </c>
      <c r="R145" s="55">
        <f t="shared" ref="R145" si="96">((K145-D145)/D145)</f>
        <v>2.5032001032100244E-2</v>
      </c>
      <c r="S145" s="55">
        <f t="shared" ref="S145" si="97">((N145-G145)/G145)</f>
        <v>7.1090941295442447E-4</v>
      </c>
      <c r="T145" s="55">
        <f t="shared" ref="T145" si="98">((O145-H145)/H145)</f>
        <v>3.8461538461538464E-2</v>
      </c>
      <c r="U145" s="55">
        <f t="shared" ref="U145" si="99">P145-I145</f>
        <v>0</v>
      </c>
      <c r="V145" s="56">
        <f t="shared" ref="V145" si="100">Q145-J145</f>
        <v>0</v>
      </c>
    </row>
    <row r="146" spans="1:22" ht="16.5" customHeight="1">
      <c r="A146" s="141">
        <v>129</v>
      </c>
      <c r="B146" s="142" t="s">
        <v>181</v>
      </c>
      <c r="C146" s="143" t="s">
        <v>52</v>
      </c>
      <c r="D146" s="27">
        <v>180501663543.27249</v>
      </c>
      <c r="E146" s="28">
        <f t="shared" si="83"/>
        <v>9.2546964576027985E-2</v>
      </c>
      <c r="F146" s="31">
        <v>1847.0058750000001</v>
      </c>
      <c r="G146" s="31">
        <v>1847.0058750000001</v>
      </c>
      <c r="H146" s="30">
        <v>771</v>
      </c>
      <c r="I146" s="48">
        <v>8.5999999999999993E-2</v>
      </c>
      <c r="J146" s="48">
        <v>8.7400000000000005E-2</v>
      </c>
      <c r="K146" s="27">
        <f>119396350.73*1534.8</f>
        <v>183249519100.40399</v>
      </c>
      <c r="L146" s="28">
        <f t="shared" si="84"/>
        <v>9.3184509813110342E-2</v>
      </c>
      <c r="M146" s="31">
        <f>1.2028*1534.8</f>
        <v>1846.05744</v>
      </c>
      <c r="N146" s="31">
        <f>1.2028*1534.8</f>
        <v>1846.05744</v>
      </c>
      <c r="O146" s="30">
        <v>781</v>
      </c>
      <c r="P146" s="48">
        <v>5.8000000000000003E-2</v>
      </c>
      <c r="Q146" s="48">
        <v>8.6300000000000002E-2</v>
      </c>
      <c r="R146" s="55">
        <f t="shared" si="85"/>
        <v>1.5223436189953697E-2</v>
      </c>
      <c r="S146" s="55">
        <f t="shared" si="86"/>
        <v>-5.1349863735545382E-4</v>
      </c>
      <c r="T146" s="55">
        <f t="shared" si="87"/>
        <v>1.2970168612191959E-2</v>
      </c>
      <c r="U146" s="55">
        <f t="shared" si="88"/>
        <v>-2.799999999999999E-2</v>
      </c>
      <c r="V146" s="56">
        <f t="shared" si="89"/>
        <v>-1.1000000000000038E-3</v>
      </c>
    </row>
    <row r="147" spans="1:22" ht="16.5" customHeight="1">
      <c r="A147" s="141">
        <v>130</v>
      </c>
      <c r="B147" s="142" t="s">
        <v>182</v>
      </c>
      <c r="C147" s="143" t="s">
        <v>94</v>
      </c>
      <c r="D147" s="31">
        <v>1146232637.2227585</v>
      </c>
      <c r="E147" s="28">
        <v>0</v>
      </c>
      <c r="F147" s="31">
        <v>164193.67250000002</v>
      </c>
      <c r="G147" s="31">
        <v>164193.67250000002</v>
      </c>
      <c r="H147" s="30">
        <v>28</v>
      </c>
      <c r="I147" s="48">
        <v>1.5E-3</v>
      </c>
      <c r="J147" s="48">
        <v>6.5699999999999995E-2</v>
      </c>
      <c r="K147" s="31">
        <v>1145916141.7637999</v>
      </c>
      <c r="L147" s="28">
        <f t="shared" si="84"/>
        <v>5.8271167357707375E-4</v>
      </c>
      <c r="M147" s="31">
        <v>164150.06849999999</v>
      </c>
      <c r="N147" s="31">
        <v>164150.06849999999</v>
      </c>
      <c r="O147" s="30">
        <v>28</v>
      </c>
      <c r="P147" s="48">
        <v>1.2999999999999999E-3</v>
      </c>
      <c r="Q147" s="48">
        <v>7.5200000000000003E-2</v>
      </c>
      <c r="R147" s="55">
        <f t="shared" si="85"/>
        <v>-2.7611799619095838E-4</v>
      </c>
      <c r="S147" s="55">
        <f t="shared" si="86"/>
        <v>-2.6556443580382904E-4</v>
      </c>
      <c r="T147" s="55">
        <f t="shared" si="87"/>
        <v>0</v>
      </c>
      <c r="U147" s="55">
        <f t="shared" si="88"/>
        <v>-2.0000000000000009E-4</v>
      </c>
      <c r="V147" s="56">
        <f t="shared" si="89"/>
        <v>9.5000000000000084E-3</v>
      </c>
    </row>
    <row r="148" spans="1:22" ht="16.5" customHeight="1">
      <c r="A148" s="141">
        <v>131</v>
      </c>
      <c r="B148" s="142" t="s">
        <v>307</v>
      </c>
      <c r="C148" s="143" t="s">
        <v>105</v>
      </c>
      <c r="D148" s="31">
        <v>1103096332.7457209</v>
      </c>
      <c r="E148" s="28"/>
      <c r="F148" s="31">
        <v>1626.8024580000001</v>
      </c>
      <c r="G148" s="31">
        <v>1626.8024580000001</v>
      </c>
      <c r="H148" s="30">
        <v>27</v>
      </c>
      <c r="I148" s="48">
        <v>6.6199999999999995E-2</v>
      </c>
      <c r="J148" s="48">
        <v>0</v>
      </c>
      <c r="K148" s="31">
        <f>923567.17*W133</f>
        <v>1416515882.6546311</v>
      </c>
      <c r="L148" s="28">
        <f t="shared" si="84"/>
        <v>7.2031478617597166E-4</v>
      </c>
      <c r="M148" s="31">
        <f>1.07*W133</f>
        <v>1641.1064010000002</v>
      </c>
      <c r="N148" s="31">
        <f>1.07*W133</f>
        <v>1641.1064010000002</v>
      </c>
      <c r="O148" s="30">
        <v>27</v>
      </c>
      <c r="P148" s="48">
        <v>5.96E-2</v>
      </c>
      <c r="Q148" s="48">
        <v>6.7799999999999999E-2</v>
      </c>
      <c r="R148" s="55">
        <f t="shared" ref="R148" si="101">((K148-D148)/D148)</f>
        <v>0.28412708899935929</v>
      </c>
      <c r="S148" s="55">
        <f t="shared" ref="S148" si="102">((N148-G148)/G148)</f>
        <v>8.7926735847113635E-3</v>
      </c>
      <c r="T148" s="55">
        <f t="shared" si="87"/>
        <v>0</v>
      </c>
      <c r="U148" s="55">
        <f t="shared" si="88"/>
        <v>-6.5999999999999948E-3</v>
      </c>
      <c r="V148" s="56">
        <f t="shared" si="89"/>
        <v>6.7799999999999999E-2</v>
      </c>
    </row>
    <row r="149" spans="1:22">
      <c r="A149" s="141">
        <v>132</v>
      </c>
      <c r="B149" s="142" t="s">
        <v>183</v>
      </c>
      <c r="C149" s="143" t="s">
        <v>107</v>
      </c>
      <c r="D149" s="31">
        <v>1969960368.004029</v>
      </c>
      <c r="E149" s="28">
        <f>(D149/$D$150)</f>
        <v>1.0100397348977396E-3</v>
      </c>
      <c r="F149" s="31">
        <v>2041.1766690000002</v>
      </c>
      <c r="G149" s="31">
        <v>2041.1766690000002</v>
      </c>
      <c r="H149" s="30">
        <v>100</v>
      </c>
      <c r="I149" s="48">
        <v>8.2629999999999995E-3</v>
      </c>
      <c r="J149" s="48">
        <v>7.2267999999999999E-2</v>
      </c>
      <c r="K149" s="31">
        <f>1265276.81*W133</f>
        <v>1940611095.2596831</v>
      </c>
      <c r="L149" s="28">
        <f t="shared" si="84"/>
        <v>9.8682329174667994E-4</v>
      </c>
      <c r="M149" s="31">
        <f>1.34*W133</f>
        <v>2055.2173620000003</v>
      </c>
      <c r="N149" s="31">
        <f>1.34*W133</f>
        <v>2055.2173620000003</v>
      </c>
      <c r="O149" s="30">
        <v>101</v>
      </c>
      <c r="P149" s="48">
        <v>6.2350000000000001E-3</v>
      </c>
      <c r="Q149" s="48">
        <v>7.9336000000000004E-2</v>
      </c>
      <c r="R149" s="55">
        <f t="shared" si="85"/>
        <v>-1.4898407714710876E-2</v>
      </c>
      <c r="S149" s="55">
        <f t="shared" si="86"/>
        <v>6.8787250085897127E-3</v>
      </c>
      <c r="T149" s="55">
        <f t="shared" si="87"/>
        <v>0.01</v>
      </c>
      <c r="U149" s="55">
        <f t="shared" si="88"/>
        <v>-2.0279999999999994E-3</v>
      </c>
      <c r="V149" s="56">
        <f t="shared" si="89"/>
        <v>7.0680000000000048E-3</v>
      </c>
    </row>
    <row r="150" spans="1:22">
      <c r="A150" s="34"/>
      <c r="B150" s="35"/>
      <c r="C150" s="69" t="s">
        <v>53</v>
      </c>
      <c r="D150" s="46">
        <f>SUM(D114:D149)</f>
        <v>1950379079099.77</v>
      </c>
      <c r="E150" s="38">
        <f>(D150/$D$222)</f>
        <v>0.3166116960952497</v>
      </c>
      <c r="F150" s="39"/>
      <c r="G150" s="43"/>
      <c r="H150" s="41">
        <f>SUM(H114:H149)</f>
        <v>26312</v>
      </c>
      <c r="I150" s="78"/>
      <c r="J150" s="78"/>
      <c r="K150" s="46">
        <f>SUM(K114:K149)</f>
        <v>1966523400379.8149</v>
      </c>
      <c r="L150" s="38">
        <f>(K150/$K$222)</f>
        <v>0.31312527855967215</v>
      </c>
      <c r="M150" s="39"/>
      <c r="N150" s="43"/>
      <c r="O150" s="41">
        <f>SUM(O114:O149)</f>
        <v>25975</v>
      </c>
      <c r="P150" s="78"/>
      <c r="Q150" s="78"/>
      <c r="R150" s="55">
        <f t="shared" si="85"/>
        <v>8.2775299699669683E-3</v>
      </c>
      <c r="S150" s="55" t="e">
        <f t="shared" si="86"/>
        <v>#DIV/0!</v>
      </c>
      <c r="T150" s="55">
        <f t="shared" si="87"/>
        <v>-1.280784432958346E-2</v>
      </c>
      <c r="U150" s="55">
        <f t="shared" si="88"/>
        <v>0</v>
      </c>
      <c r="V150" s="56">
        <f t="shared" si="89"/>
        <v>0</v>
      </c>
    </row>
    <row r="151" spans="1:22" ht="6" customHeight="1">
      <c r="A151" s="34"/>
      <c r="B151" s="179"/>
      <c r="C151" s="179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</row>
    <row r="152" spans="1:22">
      <c r="A152" s="181" t="s">
        <v>184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181"/>
      <c r="S152" s="181"/>
      <c r="T152" s="181"/>
      <c r="U152" s="181"/>
      <c r="V152" s="181"/>
    </row>
    <row r="153" spans="1:22">
      <c r="A153" s="141">
        <v>133</v>
      </c>
      <c r="B153" s="142" t="s">
        <v>185</v>
      </c>
      <c r="C153" s="143" t="s">
        <v>186</v>
      </c>
      <c r="D153" s="70">
        <v>2459299528.1535368</v>
      </c>
      <c r="E153" s="28">
        <f>(D153/$D$159)</f>
        <v>6.8448926136978607E-3</v>
      </c>
      <c r="F153" s="58">
        <v>115.89535947943152</v>
      </c>
      <c r="G153" s="58">
        <v>115.89535947943152</v>
      </c>
      <c r="H153" s="30">
        <v>8</v>
      </c>
      <c r="I153" s="48">
        <v>2.3E-3</v>
      </c>
      <c r="J153" s="48">
        <v>9.9180894246766682E-2</v>
      </c>
      <c r="K153" s="70">
        <v>2465693706.9267359</v>
      </c>
      <c r="L153" s="28">
        <f>(K153/$K$159)</f>
        <v>6.8392436331607799E-3</v>
      </c>
      <c r="M153" s="58">
        <v>116.19668741407803</v>
      </c>
      <c r="N153" s="58">
        <v>116.19668741407803</v>
      </c>
      <c r="O153" s="30">
        <v>8</v>
      </c>
      <c r="P153" s="48">
        <v>2.5999999999999999E-3</v>
      </c>
      <c r="Q153" s="48">
        <v>0.10203876457180816</v>
      </c>
      <c r="R153" s="55">
        <f t="shared" ref="R153:R159" si="103">((K153-D153)/D153)</f>
        <v>2.5999999999999535E-3</v>
      </c>
      <c r="S153" s="55">
        <f t="shared" ref="S153:T159" si="104">((N153-G153)/G153)</f>
        <v>2.5999999999998824E-3</v>
      </c>
      <c r="T153" s="55">
        <f t="shared" si="104"/>
        <v>0</v>
      </c>
      <c r="U153" s="55">
        <f t="shared" ref="U153:V159" si="105">P153-I153</f>
        <v>2.9999999999999992E-4</v>
      </c>
      <c r="V153" s="56">
        <f t="shared" si="105"/>
        <v>2.8578703250414783E-3</v>
      </c>
    </row>
    <row r="154" spans="1:22">
      <c r="A154" s="141">
        <v>134</v>
      </c>
      <c r="B154" s="142" t="s">
        <v>314</v>
      </c>
      <c r="C154" s="143" t="s">
        <v>23</v>
      </c>
      <c r="D154" s="70">
        <v>253729983286.56</v>
      </c>
      <c r="E154" s="28">
        <v>0</v>
      </c>
      <c r="F154" s="58">
        <v>101.492</v>
      </c>
      <c r="G154" s="58">
        <v>101.492</v>
      </c>
      <c r="H154" s="30">
        <v>45</v>
      </c>
      <c r="I154" s="48">
        <v>-1.3704000000000001</v>
      </c>
      <c r="J154" s="48">
        <v>4.19E-2</v>
      </c>
      <c r="K154" s="70">
        <v>254923180299.95001</v>
      </c>
      <c r="L154" s="28">
        <f t="shared" ref="L154:L155" si="106">(K154/$K$159)</f>
        <v>0.70709582983225561</v>
      </c>
      <c r="M154" s="58">
        <v>101.9693</v>
      </c>
      <c r="N154" s="58">
        <v>101.9693</v>
      </c>
      <c r="O154" s="30">
        <v>45</v>
      </c>
      <c r="P154" s="48">
        <v>0.2452</v>
      </c>
      <c r="Q154" s="48">
        <v>5.2499999999999998E-2</v>
      </c>
      <c r="R154" s="55">
        <f t="shared" ref="R154" si="107">((K154-D154)/D154)</f>
        <v>4.7026251999647611E-3</v>
      </c>
      <c r="S154" s="55">
        <f t="shared" ref="S154" si="108">((N154-G154)/G154)</f>
        <v>4.7028337208844008E-3</v>
      </c>
      <c r="T154" s="55">
        <f t="shared" ref="T154" si="109">((O154-H154)/H154)</f>
        <v>0</v>
      </c>
      <c r="U154" s="55">
        <f t="shared" ref="U154" si="110">P154-I154</f>
        <v>1.6156000000000001</v>
      </c>
      <c r="V154" s="56">
        <f t="shared" ref="V154" si="111">Q154-J154</f>
        <v>1.0599999999999998E-2</v>
      </c>
    </row>
    <row r="155" spans="1:22">
      <c r="A155" s="141">
        <v>135</v>
      </c>
      <c r="B155" s="142" t="s">
        <v>187</v>
      </c>
      <c r="C155" s="143" t="s">
        <v>47</v>
      </c>
      <c r="D155" s="27">
        <v>57062508820</v>
      </c>
      <c r="E155" s="28">
        <f>(D155/$D$159)</f>
        <v>0.15882032288858403</v>
      </c>
      <c r="F155" s="58">
        <v>102.5</v>
      </c>
      <c r="G155" s="58">
        <v>102.5</v>
      </c>
      <c r="H155" s="30">
        <v>645</v>
      </c>
      <c r="I155" s="48">
        <v>8.3900000000000002E-2</v>
      </c>
      <c r="J155" s="48">
        <v>8.3900000000000002E-2</v>
      </c>
      <c r="K155" s="27">
        <v>57062508820</v>
      </c>
      <c r="L155" s="28">
        <f t="shared" si="106"/>
        <v>0.15827772891783673</v>
      </c>
      <c r="M155" s="58">
        <v>102.5</v>
      </c>
      <c r="N155" s="58">
        <v>102.5</v>
      </c>
      <c r="O155" s="30">
        <v>645</v>
      </c>
      <c r="P155" s="48">
        <v>8.3900000000000002E-2</v>
      </c>
      <c r="Q155" s="48">
        <v>8.3900000000000002E-2</v>
      </c>
      <c r="R155" s="55">
        <f t="shared" si="103"/>
        <v>0</v>
      </c>
      <c r="S155" s="55">
        <f t="shared" si="104"/>
        <v>0</v>
      </c>
      <c r="T155" s="55">
        <f t="shared" si="104"/>
        <v>0</v>
      </c>
      <c r="U155" s="55">
        <f t="shared" si="105"/>
        <v>0</v>
      </c>
      <c r="V155" s="56">
        <f t="shared" si="105"/>
        <v>0</v>
      </c>
    </row>
    <row r="156" spans="1:22" ht="15.75" customHeight="1">
      <c r="A156" s="141">
        <v>136</v>
      </c>
      <c r="B156" s="142" t="s">
        <v>188</v>
      </c>
      <c r="C156" s="143" t="s">
        <v>142</v>
      </c>
      <c r="D156" s="27">
        <v>2534035038.491405</v>
      </c>
      <c r="E156" s="28">
        <f>(D156/$D$159)</f>
        <v>7.052901657263487E-3</v>
      </c>
      <c r="F156" s="58">
        <v>249.25</v>
      </c>
      <c r="G156" s="58">
        <v>249.25</v>
      </c>
      <c r="H156" s="30">
        <v>3552</v>
      </c>
      <c r="I156" s="48">
        <v>0.14312757758095748</v>
      </c>
      <c r="J156" s="48">
        <v>6.5932478088563062E-2</v>
      </c>
      <c r="K156" s="27">
        <v>2546147495.1100001</v>
      </c>
      <c r="L156" s="28">
        <f>(K156/$K$159)</f>
        <v>7.0624031671492433E-3</v>
      </c>
      <c r="M156" s="58">
        <v>249.25</v>
      </c>
      <c r="N156" s="58">
        <v>249.25</v>
      </c>
      <c r="O156" s="30">
        <v>3552</v>
      </c>
      <c r="P156" s="48">
        <v>0.30047233468286777</v>
      </c>
      <c r="Q156" s="48">
        <v>7.0319919462612068E-2</v>
      </c>
      <c r="R156" s="55">
        <f t="shared" si="103"/>
        <v>4.779908894158808E-3</v>
      </c>
      <c r="S156" s="55">
        <f t="shared" si="104"/>
        <v>0</v>
      </c>
      <c r="T156" s="55">
        <f t="shared" si="104"/>
        <v>0</v>
      </c>
      <c r="U156" s="55">
        <f t="shared" si="105"/>
        <v>0.15734475710191029</v>
      </c>
      <c r="V156" s="56">
        <f t="shared" si="105"/>
        <v>4.3874413740490059E-3</v>
      </c>
    </row>
    <row r="157" spans="1:22">
      <c r="A157" s="141">
        <v>137</v>
      </c>
      <c r="B157" s="142" t="s">
        <v>189</v>
      </c>
      <c r="C157" s="143" t="s">
        <v>142</v>
      </c>
      <c r="D157" s="27">
        <v>10220537408.99</v>
      </c>
      <c r="E157" s="28">
        <f>(D157/$D$159)</f>
        <v>2.8446506908958644E-2</v>
      </c>
      <c r="F157" s="58">
        <v>50.25</v>
      </c>
      <c r="G157" s="58">
        <v>50.25</v>
      </c>
      <c r="H157" s="30">
        <v>5482</v>
      </c>
      <c r="I157" s="48">
        <v>5.2740583758785854E-2</v>
      </c>
      <c r="J157" s="48">
        <v>0.15886503176118966</v>
      </c>
      <c r="K157" s="27">
        <v>10223092060.76</v>
      </c>
      <c r="L157" s="28">
        <f>(K157/$K$159)</f>
        <v>2.8356408215404857E-2</v>
      </c>
      <c r="M157" s="58">
        <v>50.25</v>
      </c>
      <c r="N157" s="58">
        <v>50.25</v>
      </c>
      <c r="O157" s="30">
        <v>5482</v>
      </c>
      <c r="P157" s="48">
        <v>8.7812154164506259E-3</v>
      </c>
      <c r="Q157" s="48">
        <v>0.15424428754953254</v>
      </c>
      <c r="R157" s="55">
        <f t="shared" si="103"/>
        <v>2.4995278308490731E-4</v>
      </c>
      <c r="S157" s="55">
        <f t="shared" si="104"/>
        <v>0</v>
      </c>
      <c r="T157" s="55">
        <f t="shared" si="104"/>
        <v>0</v>
      </c>
      <c r="U157" s="55">
        <f t="shared" si="105"/>
        <v>-4.3959368342335228E-2</v>
      </c>
      <c r="V157" s="56">
        <f t="shared" si="105"/>
        <v>-4.6207442116571185E-3</v>
      </c>
    </row>
    <row r="158" spans="1:22">
      <c r="A158" s="141">
        <v>138</v>
      </c>
      <c r="B158" s="142" t="s">
        <v>190</v>
      </c>
      <c r="C158" s="143" t="s">
        <v>49</v>
      </c>
      <c r="D158" s="27">
        <v>33283352637.689999</v>
      </c>
      <c r="E158" s="28">
        <f>(D158/$D$159)</f>
        <v>9.2636530044746285E-2</v>
      </c>
      <c r="F158" s="58">
        <v>8.6</v>
      </c>
      <c r="G158" s="58">
        <v>8.6</v>
      </c>
      <c r="H158" s="30">
        <v>208483</v>
      </c>
      <c r="I158" s="48">
        <v>0.16220000000000001</v>
      </c>
      <c r="J158" s="48">
        <v>0.72</v>
      </c>
      <c r="K158" s="27">
        <v>33300780155.330002</v>
      </c>
      <c r="L158" s="28">
        <f>(K158/$K$159)</f>
        <v>9.2368386234192898E-2</v>
      </c>
      <c r="M158" s="58">
        <v>9.35</v>
      </c>
      <c r="N158" s="58">
        <v>9.35</v>
      </c>
      <c r="O158" s="30">
        <v>208483</v>
      </c>
      <c r="P158" s="48">
        <v>8.72E-2</v>
      </c>
      <c r="Q158" s="48">
        <v>0.87</v>
      </c>
      <c r="R158" s="55">
        <f t="shared" si="103"/>
        <v>5.2361064192398455E-4</v>
      </c>
      <c r="S158" s="55">
        <f t="shared" si="104"/>
        <v>8.7209302325581398E-2</v>
      </c>
      <c r="T158" s="55">
        <f t="shared" si="104"/>
        <v>0</v>
      </c>
      <c r="U158" s="55">
        <f t="shared" si="105"/>
        <v>-7.5000000000000011E-2</v>
      </c>
      <c r="V158" s="56">
        <f t="shared" si="105"/>
        <v>0.15000000000000002</v>
      </c>
    </row>
    <row r="159" spans="1:22">
      <c r="A159" s="34"/>
      <c r="B159" s="71"/>
      <c r="C159" s="36" t="s">
        <v>53</v>
      </c>
      <c r="D159" s="37">
        <f>SUM(D153:D158)</f>
        <v>359289716719.88489</v>
      </c>
      <c r="E159" s="38">
        <f>(D159/$D$222)</f>
        <v>5.8324726623283009E-2</v>
      </c>
      <c r="F159" s="39"/>
      <c r="G159" s="72"/>
      <c r="H159" s="41">
        <f>SUM(H153:H158)</f>
        <v>218215</v>
      </c>
      <c r="I159" s="79"/>
      <c r="J159" s="79"/>
      <c r="K159" s="37">
        <f>SUM(K153:K158)</f>
        <v>360521402538.07672</v>
      </c>
      <c r="L159" s="38">
        <f>(K159/$K$222)</f>
        <v>5.740504515463974E-2</v>
      </c>
      <c r="M159" s="39"/>
      <c r="N159" s="72"/>
      <c r="O159" s="41">
        <f>SUM(O153:O158)</f>
        <v>218215</v>
      </c>
      <c r="P159" s="79"/>
      <c r="Q159" s="79"/>
      <c r="R159" s="55">
        <f t="shared" si="103"/>
        <v>3.4281131935431923E-3</v>
      </c>
      <c r="S159" s="55" t="e">
        <f t="shared" si="104"/>
        <v>#DIV/0!</v>
      </c>
      <c r="T159" s="55">
        <f t="shared" si="104"/>
        <v>0</v>
      </c>
      <c r="U159" s="55">
        <f t="shared" si="105"/>
        <v>0</v>
      </c>
      <c r="V159" s="56">
        <f t="shared" si="105"/>
        <v>0</v>
      </c>
    </row>
    <row r="160" spans="1:22" ht="5.25" customHeight="1">
      <c r="A160" s="34"/>
      <c r="B160" s="179"/>
      <c r="C160" s="179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  <c r="T160" s="179"/>
      <c r="U160" s="179"/>
      <c r="V160" s="179"/>
    </row>
    <row r="161" spans="1:22" ht="15" customHeight="1">
      <c r="A161" s="181" t="s">
        <v>191</v>
      </c>
      <c r="B161" s="181"/>
      <c r="C161" s="181"/>
      <c r="D161" s="181"/>
      <c r="E161" s="181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</row>
    <row r="162" spans="1:22">
      <c r="A162" s="170">
        <v>139</v>
      </c>
      <c r="B162" s="142" t="s">
        <v>192</v>
      </c>
      <c r="C162" s="143" t="s">
        <v>57</v>
      </c>
      <c r="D162" s="31">
        <v>356390426.99000001</v>
      </c>
      <c r="E162" s="28">
        <f t="shared" ref="E162:E189" si="112">(D162/$D$190)</f>
        <v>4.8720456151222754E-3</v>
      </c>
      <c r="F162" s="31">
        <v>7.2671000000000001</v>
      </c>
      <c r="G162" s="31">
        <v>7.3761999999999999</v>
      </c>
      <c r="H162" s="32">
        <v>11854</v>
      </c>
      <c r="I162" s="49">
        <v>3.0349999999999999E-2</v>
      </c>
      <c r="J162" s="49">
        <v>0.27177600000000002</v>
      </c>
      <c r="K162" s="31">
        <v>414289292.97000003</v>
      </c>
      <c r="L162" s="52">
        <f t="shared" ref="L162:L189" si="113">(K162/$K$190)</f>
        <v>5.4707027490615611E-3</v>
      </c>
      <c r="M162" s="31">
        <v>7.4387999999999996</v>
      </c>
      <c r="N162" s="31">
        <v>7.5488999999999997</v>
      </c>
      <c r="O162" s="32">
        <v>11864</v>
      </c>
      <c r="P162" s="49">
        <v>3.0053E-2</v>
      </c>
      <c r="Q162" s="49">
        <v>0.30182799999999999</v>
      </c>
      <c r="R162" s="55">
        <f>((K162-D162)/D162)</f>
        <v>0.16245909428320476</v>
      </c>
      <c r="S162" s="55">
        <f>((N162-G162)/G162)</f>
        <v>2.3413139556953424E-2</v>
      </c>
      <c r="T162" s="55">
        <f>((O162-H162)/H162)</f>
        <v>8.4359709802598281E-4</v>
      </c>
      <c r="U162" s="55">
        <f>P162-I162</f>
        <v>-2.9699999999999865E-4</v>
      </c>
      <c r="V162" s="56">
        <f>Q162-J162</f>
        <v>3.0051999999999968E-2</v>
      </c>
    </row>
    <row r="163" spans="1:22">
      <c r="A163" s="170">
        <v>140</v>
      </c>
      <c r="B163" s="142" t="s">
        <v>193</v>
      </c>
      <c r="C163" s="142" t="s">
        <v>194</v>
      </c>
      <c r="D163" s="31">
        <v>910124868.4295522</v>
      </c>
      <c r="E163" s="28">
        <f t="shared" si="112"/>
        <v>1.2441888273756457E-2</v>
      </c>
      <c r="F163" s="31">
        <v>2077.6812379041276</v>
      </c>
      <c r="G163" s="31">
        <v>2104.5240257606333</v>
      </c>
      <c r="H163" s="32">
        <v>155</v>
      </c>
      <c r="I163" s="49">
        <v>-7.6930874330764067E-3</v>
      </c>
      <c r="J163" s="49">
        <v>0.85847171405024103</v>
      </c>
      <c r="K163" s="31">
        <v>1084588499.0079074</v>
      </c>
      <c r="L163" s="52">
        <f t="shared" si="113"/>
        <v>1.4322024208221019E-2</v>
      </c>
      <c r="M163" s="31">
        <v>2243.853640062232</v>
      </c>
      <c r="N163" s="31">
        <v>2270.7024481282097</v>
      </c>
      <c r="O163" s="32">
        <v>157</v>
      </c>
      <c r="P163" s="49">
        <v>7.9361153549185381E-2</v>
      </c>
      <c r="Q163" s="49">
        <v>0.49049317895694222</v>
      </c>
      <c r="R163" s="55">
        <f>((K163-D163)/D163)</f>
        <v>0.19169197176141053</v>
      </c>
      <c r="S163" s="55">
        <f>((N163-G163)/G163)</f>
        <v>7.8962473382794884E-2</v>
      </c>
      <c r="T163" s="55">
        <f>((O163-H163)/H163)</f>
        <v>1.2903225806451613E-2</v>
      </c>
      <c r="U163" s="55">
        <f>P163-I163</f>
        <v>8.7054240982261791E-2</v>
      </c>
      <c r="V163" s="56">
        <f>Q163-J163</f>
        <v>-0.36797853509329881</v>
      </c>
    </row>
    <row r="164" spans="1:22">
      <c r="A164" s="170">
        <v>141</v>
      </c>
      <c r="B164" s="142" t="s">
        <v>195</v>
      </c>
      <c r="C164" s="143" t="s">
        <v>23</v>
      </c>
      <c r="D164" s="31">
        <v>8514678266.8800001</v>
      </c>
      <c r="E164" s="28">
        <f t="shared" si="112"/>
        <v>0.11640015492193241</v>
      </c>
      <c r="F164" s="31">
        <v>961.01689999999996</v>
      </c>
      <c r="G164" s="31">
        <v>989.9923</v>
      </c>
      <c r="H164" s="32">
        <v>21567</v>
      </c>
      <c r="I164" s="49">
        <v>0.88280000000000003</v>
      </c>
      <c r="J164" s="49">
        <v>0.37030000000000002</v>
      </c>
      <c r="K164" s="31">
        <v>8697787677.7800007</v>
      </c>
      <c r="L164" s="52">
        <f t="shared" si="113"/>
        <v>0.11485455155856623</v>
      </c>
      <c r="M164" s="31">
        <v>980.39800000000002</v>
      </c>
      <c r="N164" s="31">
        <v>1009.9577</v>
      </c>
      <c r="O164" s="32">
        <v>21613</v>
      </c>
      <c r="P164" s="49">
        <v>1.0516000000000001</v>
      </c>
      <c r="Q164" s="49">
        <v>0.39989999999999998</v>
      </c>
      <c r="R164" s="55">
        <f t="shared" ref="R164:R189" si="114">((K164-D164)/D164)</f>
        <v>2.1505147365608757E-2</v>
      </c>
      <c r="S164" s="55">
        <f t="shared" ref="S164:T189" si="115">((N164-G164)/G164)</f>
        <v>2.0167227563285133E-2</v>
      </c>
      <c r="T164" s="55">
        <f t="shared" si="115"/>
        <v>2.132888208837576E-3</v>
      </c>
      <c r="U164" s="55">
        <f t="shared" ref="U164:V189" si="116">P164-I164</f>
        <v>0.16880000000000006</v>
      </c>
      <c r="V164" s="56">
        <f t="shared" si="116"/>
        <v>2.959999999999996E-2</v>
      </c>
    </row>
    <row r="165" spans="1:22">
      <c r="A165" s="170">
        <v>142</v>
      </c>
      <c r="B165" s="142" t="s">
        <v>196</v>
      </c>
      <c r="C165" s="143" t="s">
        <v>109</v>
      </c>
      <c r="D165" s="31">
        <v>5620654641.46</v>
      </c>
      <c r="E165" s="28">
        <f t="shared" si="112"/>
        <v>7.6837321449181997E-2</v>
      </c>
      <c r="F165" s="31">
        <v>31.902799999999999</v>
      </c>
      <c r="G165" s="31">
        <v>32.348399999999998</v>
      </c>
      <c r="H165" s="30">
        <v>6160</v>
      </c>
      <c r="I165" s="48">
        <v>5.3999999999999999E-2</v>
      </c>
      <c r="J165" s="48">
        <v>0.52229999999999999</v>
      </c>
      <c r="K165" s="31">
        <v>5620654641.46</v>
      </c>
      <c r="L165" s="52">
        <f t="shared" si="113"/>
        <v>7.422091596460223E-2</v>
      </c>
      <c r="M165" s="31">
        <v>34.248100000000001</v>
      </c>
      <c r="N165" s="31">
        <v>34.718600000000002</v>
      </c>
      <c r="O165" s="30">
        <v>6190</v>
      </c>
      <c r="P165" s="48">
        <v>4.7699999999999999E-2</v>
      </c>
      <c r="Q165" s="48">
        <v>0.61180000000000001</v>
      </c>
      <c r="R165" s="55">
        <f t="shared" si="114"/>
        <v>0</v>
      </c>
      <c r="S165" s="55">
        <f t="shared" si="115"/>
        <v>7.3271011858391896E-2</v>
      </c>
      <c r="T165" s="55">
        <f t="shared" si="115"/>
        <v>4.87012987012987E-3</v>
      </c>
      <c r="U165" s="55">
        <f t="shared" si="116"/>
        <v>-6.3E-3</v>
      </c>
      <c r="V165" s="56">
        <f t="shared" si="116"/>
        <v>8.9500000000000024E-2</v>
      </c>
    </row>
    <row r="166" spans="1:22">
      <c r="A166" s="170">
        <v>143</v>
      </c>
      <c r="B166" s="142" t="s">
        <v>197</v>
      </c>
      <c r="C166" s="143" t="s">
        <v>118</v>
      </c>
      <c r="D166" s="27">
        <v>2422564849.6033845</v>
      </c>
      <c r="E166" s="28">
        <f t="shared" si="112"/>
        <v>3.3117742674919556E-2</v>
      </c>
      <c r="F166" s="31">
        <v>5.7797000000000001</v>
      </c>
      <c r="G166" s="31">
        <v>5.9222000000000001</v>
      </c>
      <c r="H166" s="30">
        <v>2739</v>
      </c>
      <c r="I166" s="48">
        <v>-0.35420000000000001</v>
      </c>
      <c r="J166" s="48">
        <v>0.47760000000000002</v>
      </c>
      <c r="K166" s="27">
        <v>2530140254.1541991</v>
      </c>
      <c r="L166" s="52">
        <f t="shared" si="113"/>
        <v>3.3410579222753437E-2</v>
      </c>
      <c r="M166" s="31">
        <v>6.0343</v>
      </c>
      <c r="N166" s="31">
        <v>6.1871999999999998</v>
      </c>
      <c r="O166" s="30">
        <v>2739</v>
      </c>
      <c r="P166" s="48">
        <v>2.3332000000000002</v>
      </c>
      <c r="Q166" s="48">
        <v>0.55093000000000003</v>
      </c>
      <c r="R166" s="55">
        <f t="shared" si="114"/>
        <v>4.4405583020172432E-2</v>
      </c>
      <c r="S166" s="55">
        <f t="shared" si="115"/>
        <v>4.4746884603694519E-2</v>
      </c>
      <c r="T166" s="55">
        <f t="shared" si="115"/>
        <v>0</v>
      </c>
      <c r="U166" s="55">
        <f t="shared" si="116"/>
        <v>2.6874000000000002</v>
      </c>
      <c r="V166" s="56">
        <f t="shared" si="116"/>
        <v>7.3330000000000006E-2</v>
      </c>
    </row>
    <row r="167" spans="1:22">
      <c r="A167" s="170">
        <v>144</v>
      </c>
      <c r="B167" s="142" t="s">
        <v>306</v>
      </c>
      <c r="C167" s="143" t="s">
        <v>27</v>
      </c>
      <c r="D167" s="27">
        <v>895787289.37</v>
      </c>
      <c r="E167" s="28">
        <f t="shared" si="112"/>
        <v>1.2245885985539775E-2</v>
      </c>
      <c r="F167" s="31">
        <v>1.109</v>
      </c>
      <c r="G167" s="31">
        <v>1.1136999999999999</v>
      </c>
      <c r="H167" s="30">
        <v>202</v>
      </c>
      <c r="I167" s="48">
        <v>7.4000000000000003E-3</v>
      </c>
      <c r="J167" s="48">
        <v>0.1114</v>
      </c>
      <c r="K167" s="27">
        <v>923773642.10000002</v>
      </c>
      <c r="L167" s="52">
        <f t="shared" si="113"/>
        <v>1.2198459118066163E-2</v>
      </c>
      <c r="M167" s="31">
        <v>1.1388</v>
      </c>
      <c r="N167" s="31">
        <v>1.1444000000000001</v>
      </c>
      <c r="O167" s="30">
        <v>205</v>
      </c>
      <c r="P167" s="48">
        <v>2.7199999999999998E-2</v>
      </c>
      <c r="Q167" s="48">
        <v>0.1416</v>
      </c>
      <c r="R167" s="55">
        <f t="shared" ref="R167" si="117">((K167-D167)/D167)</f>
        <v>3.1242185574750225E-2</v>
      </c>
      <c r="S167" s="55">
        <f t="shared" ref="S167" si="118">((N167-G167)/G167)</f>
        <v>2.7565771751818419E-2</v>
      </c>
      <c r="T167" s="55">
        <f t="shared" ref="T167" si="119">((O167-H167)/H167)</f>
        <v>1.4851485148514851E-2</v>
      </c>
      <c r="U167" s="55">
        <f t="shared" ref="U167" si="120">P167-I167</f>
        <v>1.9799999999999998E-2</v>
      </c>
      <c r="V167" s="56">
        <f t="shared" ref="V167" si="121">Q167-J167</f>
        <v>3.0200000000000005E-2</v>
      </c>
    </row>
    <row r="168" spans="1:22">
      <c r="A168" s="170">
        <v>145</v>
      </c>
      <c r="B168" s="142" t="s">
        <v>198</v>
      </c>
      <c r="C168" s="143" t="s">
        <v>65</v>
      </c>
      <c r="D168" s="31">
        <v>5915278759.408</v>
      </c>
      <c r="E168" s="28">
        <f t="shared" si="112"/>
        <v>8.0864988954398406E-2</v>
      </c>
      <c r="F168" s="31">
        <v>11418.8585398544</v>
      </c>
      <c r="G168" s="31">
        <v>11512.2865919295</v>
      </c>
      <c r="H168" s="30">
        <v>1183</v>
      </c>
      <c r="I168" s="48">
        <v>2.6647836429386373</v>
      </c>
      <c r="J168" s="48">
        <v>0.87587169518795871</v>
      </c>
      <c r="K168" s="31">
        <v>6250824461.2518902</v>
      </c>
      <c r="L168" s="52">
        <f t="shared" si="113"/>
        <v>8.254232765447847E-2</v>
      </c>
      <c r="M168" s="31">
        <v>11664.261148629899</v>
      </c>
      <c r="N168" s="31">
        <v>11763.849254455199</v>
      </c>
      <c r="O168" s="30">
        <v>1222</v>
      </c>
      <c r="P168" s="48">
        <v>1.1206017770694332</v>
      </c>
      <c r="Q168" s="48">
        <v>0.90211921246167803</v>
      </c>
      <c r="R168" s="55">
        <f t="shared" si="114"/>
        <v>5.672525598395832E-2</v>
      </c>
      <c r="S168" s="55">
        <f t="shared" si="115"/>
        <v>2.1851667826099205E-2</v>
      </c>
      <c r="T168" s="55">
        <f t="shared" si="115"/>
        <v>3.2967032967032968E-2</v>
      </c>
      <c r="U168" s="55">
        <f t="shared" si="116"/>
        <v>-1.5441818658692041</v>
      </c>
      <c r="V168" s="56">
        <f t="shared" si="116"/>
        <v>2.6247517273719323E-2</v>
      </c>
    </row>
    <row r="169" spans="1:22">
      <c r="A169" s="170">
        <v>146</v>
      </c>
      <c r="B169" s="142" t="s">
        <v>199</v>
      </c>
      <c r="C169" s="143" t="s">
        <v>67</v>
      </c>
      <c r="D169" s="31">
        <v>1038499826.4</v>
      </c>
      <c r="E169" s="28">
        <f t="shared" si="112"/>
        <v>1.4196841840702227E-2</v>
      </c>
      <c r="F169" s="31">
        <v>228.66</v>
      </c>
      <c r="G169" s="31">
        <v>230.49</v>
      </c>
      <c r="H169" s="30">
        <v>497</v>
      </c>
      <c r="I169" s="48">
        <v>9.4999999999999998E-3</v>
      </c>
      <c r="J169" s="48">
        <v>0.24199999999999999</v>
      </c>
      <c r="K169" s="31">
        <v>1065419003</v>
      </c>
      <c r="L169" s="52">
        <f t="shared" si="113"/>
        <v>1.4068890428786904E-2</v>
      </c>
      <c r="M169" s="31">
        <v>234.57</v>
      </c>
      <c r="N169" s="31">
        <v>236.48</v>
      </c>
      <c r="O169" s="30">
        <v>496</v>
      </c>
      <c r="P169" s="48">
        <v>2.5899999999999999E-2</v>
      </c>
      <c r="Q169" s="48">
        <v>0.27100000000000002</v>
      </c>
      <c r="R169" s="55">
        <f t="shared" si="114"/>
        <v>2.5921214347542451E-2</v>
      </c>
      <c r="S169" s="55">
        <f t="shared" si="115"/>
        <v>2.5988112282528442E-2</v>
      </c>
      <c r="T169" s="55">
        <f t="shared" si="115"/>
        <v>-2.012072434607646E-3</v>
      </c>
      <c r="U169" s="55">
        <f t="shared" si="116"/>
        <v>1.6399999999999998E-2</v>
      </c>
      <c r="V169" s="56">
        <f t="shared" si="116"/>
        <v>2.9000000000000026E-2</v>
      </c>
    </row>
    <row r="170" spans="1:22">
      <c r="A170" s="170">
        <v>147</v>
      </c>
      <c r="B170" s="142" t="s">
        <v>200</v>
      </c>
      <c r="C170" s="143" t="s">
        <v>123</v>
      </c>
      <c r="D170" s="31">
        <v>363977043.06</v>
      </c>
      <c r="E170" s="28">
        <f t="shared" si="112"/>
        <v>4.9757586690043227E-3</v>
      </c>
      <c r="F170" s="31">
        <v>1.9429000000000001</v>
      </c>
      <c r="G170" s="31">
        <v>1.9617</v>
      </c>
      <c r="H170" s="30">
        <v>640</v>
      </c>
      <c r="I170" s="48">
        <v>2.3656480505795718E-2</v>
      </c>
      <c r="J170" s="48">
        <v>0.3272081426326936</v>
      </c>
      <c r="K170" s="31">
        <v>472069824.18000001</v>
      </c>
      <c r="L170" s="52">
        <f t="shared" si="113"/>
        <v>6.2336964259357393E-3</v>
      </c>
      <c r="M170" s="31">
        <v>2.0133999999999999</v>
      </c>
      <c r="N170" s="31">
        <v>2.0310000000000001</v>
      </c>
      <c r="O170" s="30">
        <v>794</v>
      </c>
      <c r="P170" s="48">
        <v>3.628596428019959E-2</v>
      </c>
      <c r="Q170" s="48">
        <v>0.37536716988865398</v>
      </c>
      <c r="R170" s="55">
        <f t="shared" si="114"/>
        <v>0.29697691978387053</v>
      </c>
      <c r="S170" s="55">
        <f t="shared" si="115"/>
        <v>3.532650252332168E-2</v>
      </c>
      <c r="T170" s="55">
        <f t="shared" si="115"/>
        <v>0.24062500000000001</v>
      </c>
      <c r="U170" s="55">
        <f t="shared" si="116"/>
        <v>1.2629483774403871E-2</v>
      </c>
      <c r="V170" s="56">
        <f t="shared" si="116"/>
        <v>4.8159027255960385E-2</v>
      </c>
    </row>
    <row r="171" spans="1:22">
      <c r="A171" s="170">
        <v>148</v>
      </c>
      <c r="B171" s="142" t="s">
        <v>201</v>
      </c>
      <c r="C171" s="143" t="s">
        <v>29</v>
      </c>
      <c r="D171" s="42">
        <v>155929941</v>
      </c>
      <c r="E171" s="28">
        <f t="shared" si="112"/>
        <v>2.1316447574969278E-3</v>
      </c>
      <c r="F171" s="31">
        <v>185.50370000000001</v>
      </c>
      <c r="G171" s="31">
        <v>186.57640000000001</v>
      </c>
      <c r="H171" s="30">
        <v>129</v>
      </c>
      <c r="I171" s="48">
        <v>3.3990000000000001E-3</v>
      </c>
      <c r="J171" s="48">
        <v>0.1605</v>
      </c>
      <c r="K171" s="42">
        <v>160877830.53</v>
      </c>
      <c r="L171" s="52">
        <f t="shared" si="113"/>
        <v>2.1243966587552211E-3</v>
      </c>
      <c r="M171" s="31">
        <v>192.71559999999999</v>
      </c>
      <c r="N171" s="31">
        <v>193.85429999999999</v>
      </c>
      <c r="O171" s="30">
        <v>132</v>
      </c>
      <c r="P171" s="48">
        <v>5.3990000000000002E-3</v>
      </c>
      <c r="Q171" s="48">
        <v>0.20569999999999999</v>
      </c>
      <c r="R171" s="55">
        <f t="shared" si="114"/>
        <v>3.1731491067517312E-2</v>
      </c>
      <c r="S171" s="55">
        <f t="shared" si="115"/>
        <v>3.9007612967127611E-2</v>
      </c>
      <c r="T171" s="55">
        <f t="shared" si="115"/>
        <v>2.3255813953488372E-2</v>
      </c>
      <c r="U171" s="55">
        <f t="shared" si="116"/>
        <v>2E-3</v>
      </c>
      <c r="V171" s="56">
        <f t="shared" si="116"/>
        <v>4.519999999999999E-2</v>
      </c>
    </row>
    <row r="172" spans="1:22">
      <c r="A172" s="170">
        <v>149</v>
      </c>
      <c r="B172" s="142" t="s">
        <v>202</v>
      </c>
      <c r="C172" s="143" t="s">
        <v>70</v>
      </c>
      <c r="D172" s="42">
        <v>332798854.36000001</v>
      </c>
      <c r="E172" s="28">
        <f t="shared" si="112"/>
        <v>4.5495363407947265E-3</v>
      </c>
      <c r="F172" s="31">
        <v>153.74</v>
      </c>
      <c r="G172" s="31">
        <v>154.05000000000001</v>
      </c>
      <c r="H172" s="30">
        <v>47</v>
      </c>
      <c r="I172" s="48">
        <v>0.10340000000000001</v>
      </c>
      <c r="J172" s="48">
        <v>0.3412</v>
      </c>
      <c r="K172" s="42">
        <v>341182691.54000002</v>
      </c>
      <c r="L172" s="52">
        <f t="shared" si="113"/>
        <v>4.5053278475030737E-3</v>
      </c>
      <c r="M172" s="31">
        <v>158.16</v>
      </c>
      <c r="N172" s="31">
        <v>158.52000000000001</v>
      </c>
      <c r="O172" s="30">
        <v>51</v>
      </c>
      <c r="P172" s="48">
        <v>3.7400000000000003E-2</v>
      </c>
      <c r="Q172" s="48">
        <v>0.37859999999999999</v>
      </c>
      <c r="R172" s="55">
        <f t="shared" si="114"/>
        <v>2.5191905170836078E-2</v>
      </c>
      <c r="S172" s="55">
        <f t="shared" si="115"/>
        <v>2.9016553067185969E-2</v>
      </c>
      <c r="T172" s="55">
        <f t="shared" si="115"/>
        <v>8.5106382978723402E-2</v>
      </c>
      <c r="U172" s="55">
        <f t="shared" si="116"/>
        <v>-6.6000000000000003E-2</v>
      </c>
      <c r="V172" s="56">
        <f t="shared" si="116"/>
        <v>3.7399999999999989E-2</v>
      </c>
    </row>
    <row r="173" spans="1:22" ht="15.75" customHeight="1">
      <c r="A173" s="170">
        <v>150</v>
      </c>
      <c r="B173" s="142" t="s">
        <v>203</v>
      </c>
      <c r="C173" s="143" t="s">
        <v>73</v>
      </c>
      <c r="D173" s="27">
        <v>429883357.52999997</v>
      </c>
      <c r="E173" s="28">
        <f t="shared" si="112"/>
        <v>5.8767328425655078E-3</v>
      </c>
      <c r="F173" s="31">
        <v>1.6282000000000001</v>
      </c>
      <c r="G173" s="31">
        <v>1.6475</v>
      </c>
      <c r="H173" s="30">
        <v>98</v>
      </c>
      <c r="I173" s="48">
        <v>3.6999999999999998E-2</v>
      </c>
      <c r="J173" s="48">
        <v>0.34695999999999999</v>
      </c>
      <c r="K173" s="27">
        <v>453705843.97000003</v>
      </c>
      <c r="L173" s="52">
        <f t="shared" si="113"/>
        <v>5.9911995071803862E-3</v>
      </c>
      <c r="M173" s="31">
        <v>1.7175</v>
      </c>
      <c r="N173" s="31">
        <v>1.7386999999999999</v>
      </c>
      <c r="O173" s="30">
        <v>100</v>
      </c>
      <c r="P173" s="48">
        <v>3.6999999999999998E-2</v>
      </c>
      <c r="Q173" s="48">
        <v>0.40699999999999997</v>
      </c>
      <c r="R173" s="55">
        <f t="shared" si="114"/>
        <v>5.5416163530679539E-2</v>
      </c>
      <c r="S173" s="55">
        <f t="shared" si="115"/>
        <v>5.5356600910470379E-2</v>
      </c>
      <c r="T173" s="55">
        <f t="shared" si="115"/>
        <v>2.0408163265306121E-2</v>
      </c>
      <c r="U173" s="55">
        <f t="shared" si="116"/>
        <v>0</v>
      </c>
      <c r="V173" s="56">
        <f t="shared" si="116"/>
        <v>6.0039999999999982E-2</v>
      </c>
    </row>
    <row r="174" spans="1:22">
      <c r="A174" s="170">
        <v>151</v>
      </c>
      <c r="B174" s="142" t="s">
        <v>204</v>
      </c>
      <c r="C174" s="143" t="s">
        <v>31</v>
      </c>
      <c r="D174" s="31">
        <v>12678074536.799999</v>
      </c>
      <c r="E174" s="28">
        <f t="shared" si="112"/>
        <v>0.17331598375660906</v>
      </c>
      <c r="F174" s="31">
        <v>433.92</v>
      </c>
      <c r="G174" s="31">
        <v>438.41</v>
      </c>
      <c r="H174" s="30">
        <v>5489</v>
      </c>
      <c r="I174" s="48">
        <v>3.3099999999999997E-2</v>
      </c>
      <c r="J174" s="48">
        <v>0.33879999999999999</v>
      </c>
      <c r="K174" s="31">
        <v>13231072100.690001</v>
      </c>
      <c r="L174" s="52">
        <f t="shared" si="113"/>
        <v>0.17471671062355454</v>
      </c>
      <c r="M174" s="31">
        <v>452.32</v>
      </c>
      <c r="N174" s="31">
        <v>456.88</v>
      </c>
      <c r="O174" s="30">
        <v>5494</v>
      </c>
      <c r="P174" s="48">
        <v>4.2299999999999997E-2</v>
      </c>
      <c r="Q174" s="48">
        <v>0.39560000000000001</v>
      </c>
      <c r="R174" s="55">
        <f t="shared" si="114"/>
        <v>4.3618418734236303E-2</v>
      </c>
      <c r="S174" s="55">
        <f t="shared" si="115"/>
        <v>4.2129513469127002E-2</v>
      </c>
      <c r="T174" s="55">
        <f t="shared" si="115"/>
        <v>9.1091273456002917E-4</v>
      </c>
      <c r="U174" s="55">
        <f t="shared" si="116"/>
        <v>9.1999999999999998E-3</v>
      </c>
      <c r="V174" s="56">
        <f t="shared" si="116"/>
        <v>5.6800000000000017E-2</v>
      </c>
    </row>
    <row r="175" spans="1:22">
      <c r="A175" s="170">
        <v>152</v>
      </c>
      <c r="B175" s="142" t="s">
        <v>205</v>
      </c>
      <c r="C175" s="143" t="s">
        <v>78</v>
      </c>
      <c r="D175" s="31">
        <v>4204102177.4699998</v>
      </c>
      <c r="E175" s="28">
        <f t="shared" si="112"/>
        <v>5.7472300118329066E-2</v>
      </c>
      <c r="F175" s="31">
        <v>2.9443999999999999</v>
      </c>
      <c r="G175" s="31">
        <v>3.0036</v>
      </c>
      <c r="H175" s="30">
        <v>10206</v>
      </c>
      <c r="I175" s="48">
        <v>2.1100000000000001E-2</v>
      </c>
      <c r="J175" s="48">
        <v>0.2717</v>
      </c>
      <c r="K175" s="31">
        <v>4296681754</v>
      </c>
      <c r="L175" s="52">
        <f t="shared" si="113"/>
        <v>5.6737813605896359E-2</v>
      </c>
      <c r="M175" s="31">
        <v>3.0085999999999999</v>
      </c>
      <c r="N175" s="31">
        <v>3.0703999999999998</v>
      </c>
      <c r="O175" s="30">
        <v>10206</v>
      </c>
      <c r="P175" s="48">
        <v>2.1999999999999999E-2</v>
      </c>
      <c r="Q175" s="48">
        <v>0.29970000000000002</v>
      </c>
      <c r="R175" s="55">
        <f t="shared" si="114"/>
        <v>2.2021247967316051E-2</v>
      </c>
      <c r="S175" s="55">
        <f t="shared" si="115"/>
        <v>2.2239978692235901E-2</v>
      </c>
      <c r="T175" s="55">
        <f t="shared" si="115"/>
        <v>0</v>
      </c>
      <c r="U175" s="55">
        <f t="shared" si="116"/>
        <v>8.9999999999999802E-4</v>
      </c>
      <c r="V175" s="56">
        <f t="shared" si="116"/>
        <v>2.8000000000000025E-2</v>
      </c>
    </row>
    <row r="176" spans="1:22">
      <c r="A176" s="170">
        <v>153</v>
      </c>
      <c r="B176" s="142" t="s">
        <v>206</v>
      </c>
      <c r="C176" s="143" t="s">
        <v>80</v>
      </c>
      <c r="D176" s="31">
        <v>302585831.20999998</v>
      </c>
      <c r="E176" s="28">
        <f t="shared" si="112"/>
        <v>4.1365083360843874E-3</v>
      </c>
      <c r="F176" s="31">
        <v>345.09309999999999</v>
      </c>
      <c r="G176" s="31">
        <v>347.59059999999999</v>
      </c>
      <c r="H176" s="30">
        <v>32</v>
      </c>
      <c r="I176" s="48">
        <v>1.5690000000000001E-3</v>
      </c>
      <c r="J176" s="48">
        <v>0.19541600000000001</v>
      </c>
      <c r="K176" s="31">
        <v>306043504.69999999</v>
      </c>
      <c r="L176" s="52">
        <f t="shared" si="113"/>
        <v>4.0413138135722082E-3</v>
      </c>
      <c r="M176" s="31">
        <v>349.03649999999999</v>
      </c>
      <c r="N176" s="31">
        <v>351.58920000000001</v>
      </c>
      <c r="O176" s="30">
        <v>32</v>
      </c>
      <c r="P176" s="48">
        <v>1.1025E-2</v>
      </c>
      <c r="Q176" s="48">
        <v>0.20746600000000001</v>
      </c>
      <c r="R176" s="55">
        <f t="shared" si="114"/>
        <v>1.1427083271458015E-2</v>
      </c>
      <c r="S176" s="55">
        <f t="shared" si="115"/>
        <v>1.1503763335372161E-2</v>
      </c>
      <c r="T176" s="55">
        <f t="shared" si="115"/>
        <v>0</v>
      </c>
      <c r="U176" s="55">
        <f t="shared" si="116"/>
        <v>9.4559999999999991E-3</v>
      </c>
      <c r="V176" s="56">
        <f t="shared" si="116"/>
        <v>1.2050000000000005E-2</v>
      </c>
    </row>
    <row r="177" spans="1:22">
      <c r="A177" s="170">
        <v>154</v>
      </c>
      <c r="B177" s="142" t="s">
        <v>207</v>
      </c>
      <c r="C177" s="142" t="s">
        <v>82</v>
      </c>
      <c r="D177" s="130">
        <v>67687714.844227955</v>
      </c>
      <c r="E177" s="28">
        <f t="shared" si="112"/>
        <v>9.2532685877592621E-4</v>
      </c>
      <c r="F177" s="31">
        <v>1.3081138525016822</v>
      </c>
      <c r="G177" s="31">
        <v>1.3323828755605676</v>
      </c>
      <c r="H177" s="30">
        <v>31</v>
      </c>
      <c r="I177" s="48">
        <v>2.3181873429007821E-2</v>
      </c>
      <c r="J177" s="48">
        <v>0.10780977016757234</v>
      </c>
      <c r="K177" s="130">
        <v>69129487.46558997</v>
      </c>
      <c r="L177" s="52">
        <f t="shared" si="113"/>
        <v>9.128569903606112E-4</v>
      </c>
      <c r="M177" s="31">
        <v>1.335454615890171</v>
      </c>
      <c r="N177" s="31">
        <v>1.3607631090427537</v>
      </c>
      <c r="O177" s="30">
        <v>30</v>
      </c>
      <c r="P177" s="48">
        <v>2.1300358930420624E-2</v>
      </c>
      <c r="Q177" s="48">
        <v>0.13140651589876842</v>
      </c>
      <c r="R177" s="55">
        <f t="shared" si="114"/>
        <v>2.1300358930420624E-2</v>
      </c>
      <c r="S177" s="55">
        <f t="shared" si="115"/>
        <v>2.1300358930420666E-2</v>
      </c>
      <c r="T177" s="55">
        <f t="shared" si="115"/>
        <v>-3.2258064516129031E-2</v>
      </c>
      <c r="U177" s="55">
        <f t="shared" si="116"/>
        <v>-1.8815144985871966E-3</v>
      </c>
      <c r="V177" s="56">
        <f t="shared" si="116"/>
        <v>2.3596745731196078E-2</v>
      </c>
    </row>
    <row r="178" spans="1:22" ht="13.5" customHeight="1">
      <c r="A178" s="170">
        <v>155</v>
      </c>
      <c r="B178" s="142" t="s">
        <v>208</v>
      </c>
      <c r="C178" s="143" t="s">
        <v>37</v>
      </c>
      <c r="D178" s="27">
        <v>4192461119.9200001</v>
      </c>
      <c r="E178" s="28">
        <f t="shared" si="112"/>
        <v>5.7313160705211627E-2</v>
      </c>
      <c r="F178" s="31">
        <v>5.8421669999999999</v>
      </c>
      <c r="G178" s="31">
        <v>5.9742689999999996</v>
      </c>
      <c r="H178" s="30">
        <v>2487</v>
      </c>
      <c r="I178" s="48">
        <v>3.4888491384029052E-2</v>
      </c>
      <c r="J178" s="48">
        <v>0.37810164258792645</v>
      </c>
      <c r="K178" s="27">
        <v>4382717163.6800003</v>
      </c>
      <c r="L178" s="52">
        <f t="shared" si="113"/>
        <v>5.7873913814711304E-2</v>
      </c>
      <c r="M178" s="31">
        <v>5.9438680000000002</v>
      </c>
      <c r="N178" s="31">
        <v>6.0753599999999999</v>
      </c>
      <c r="O178" s="30">
        <v>2520</v>
      </c>
      <c r="P178" s="48">
        <v>1.7408095318055761E-2</v>
      </c>
      <c r="Q178" s="48">
        <v>0.40209176734006635</v>
      </c>
      <c r="R178" s="55">
        <f t="shared" si="114"/>
        <v>4.53805147663792E-2</v>
      </c>
      <c r="S178" s="55">
        <f t="shared" si="115"/>
        <v>1.6921065991504614E-2</v>
      </c>
      <c r="T178" s="55">
        <f t="shared" si="115"/>
        <v>1.3268998793727383E-2</v>
      </c>
      <c r="U178" s="55">
        <f t="shared" si="116"/>
        <v>-1.7480396065973292E-2</v>
      </c>
      <c r="V178" s="56">
        <f t="shared" si="116"/>
        <v>2.3990124752139907E-2</v>
      </c>
    </row>
    <row r="179" spans="1:22" ht="13.5" customHeight="1">
      <c r="A179" s="170">
        <v>156</v>
      </c>
      <c r="B179" s="142" t="s">
        <v>209</v>
      </c>
      <c r="C179" s="143" t="s">
        <v>210</v>
      </c>
      <c r="D179" s="27">
        <v>91527131.019999996</v>
      </c>
      <c r="E179" s="28">
        <f t="shared" si="112"/>
        <v>1.2512242854469972E-3</v>
      </c>
      <c r="F179" s="31">
        <v>2.52</v>
      </c>
      <c r="G179" s="31">
        <v>2.5299999999999998</v>
      </c>
      <c r="H179" s="30">
        <v>101</v>
      </c>
      <c r="I179" s="48">
        <v>-6.0000000000000001E-3</v>
      </c>
      <c r="J179" s="48">
        <v>0.19900000000000001</v>
      </c>
      <c r="K179" s="27">
        <v>93792633.599999994</v>
      </c>
      <c r="L179" s="52">
        <f t="shared" si="113"/>
        <v>1.2385345872658112E-3</v>
      </c>
      <c r="M179" s="31">
        <v>2.5499999999999998</v>
      </c>
      <c r="N179" s="31">
        <v>2.56</v>
      </c>
      <c r="O179" s="30">
        <v>101</v>
      </c>
      <c r="P179" s="48">
        <v>2E-3</v>
      </c>
      <c r="Q179" s="48">
        <v>0.2</v>
      </c>
      <c r="R179" s="55">
        <f t="shared" si="114"/>
        <v>2.4752251652080663E-2</v>
      </c>
      <c r="S179" s="55">
        <f t="shared" si="115"/>
        <v>1.1857707509881523E-2</v>
      </c>
      <c r="T179" s="55">
        <f t="shared" si="115"/>
        <v>0</v>
      </c>
      <c r="U179" s="55">
        <f>P179-I179</f>
        <v>8.0000000000000002E-3</v>
      </c>
      <c r="V179" s="56">
        <f>Q179-J179</f>
        <v>1.0000000000000009E-3</v>
      </c>
    </row>
    <row r="180" spans="1:22">
      <c r="A180" s="170">
        <v>157</v>
      </c>
      <c r="B180" s="142" t="s">
        <v>211</v>
      </c>
      <c r="C180" s="143" t="s">
        <v>132</v>
      </c>
      <c r="D180" s="27">
        <v>651990918.83000004</v>
      </c>
      <c r="E180" s="28">
        <f t="shared" si="112"/>
        <v>8.9130606678006416E-3</v>
      </c>
      <c r="F180" s="31">
        <v>328.29</v>
      </c>
      <c r="G180" s="31">
        <v>332.12</v>
      </c>
      <c r="H180" s="30">
        <v>158</v>
      </c>
      <c r="I180" s="48">
        <v>1.37E-2</v>
      </c>
      <c r="J180" s="48">
        <v>0.31519999999999998</v>
      </c>
      <c r="K180" s="27">
        <v>673588824.38999999</v>
      </c>
      <c r="L180" s="52">
        <f t="shared" si="113"/>
        <v>8.8947609698287813E-3</v>
      </c>
      <c r="M180" s="31">
        <v>335.39</v>
      </c>
      <c r="N180" s="31">
        <v>339.33</v>
      </c>
      <c r="O180" s="30">
        <v>158</v>
      </c>
      <c r="P180" s="48">
        <v>1.37E-2</v>
      </c>
      <c r="Q180" s="48">
        <v>0.40179999999999999</v>
      </c>
      <c r="R180" s="55">
        <f t="shared" si="114"/>
        <v>3.312608341042151E-2</v>
      </c>
      <c r="S180" s="55">
        <f t="shared" si="115"/>
        <v>2.1709020835842405E-2</v>
      </c>
      <c r="T180" s="55">
        <f t="shared" si="115"/>
        <v>0</v>
      </c>
      <c r="U180" s="55">
        <f t="shared" si="116"/>
        <v>0</v>
      </c>
      <c r="V180" s="56">
        <f t="shared" si="116"/>
        <v>8.660000000000001E-2</v>
      </c>
    </row>
    <row r="181" spans="1:22">
      <c r="A181" s="170">
        <v>158</v>
      </c>
      <c r="B181" s="142" t="s">
        <v>212</v>
      </c>
      <c r="C181" s="143" t="s">
        <v>33</v>
      </c>
      <c r="D181" s="27">
        <v>2100810517.3099999</v>
      </c>
      <c r="E181" s="28">
        <f t="shared" si="112"/>
        <v>2.8719190791704784E-2</v>
      </c>
      <c r="F181" s="31">
        <v>552.22</v>
      </c>
      <c r="G181" s="31">
        <v>552.22</v>
      </c>
      <c r="H181" s="30">
        <v>823</v>
      </c>
      <c r="I181" s="48">
        <v>2.47E-2</v>
      </c>
      <c r="J181" s="48">
        <v>-3.9100000000000003E-2</v>
      </c>
      <c r="K181" s="27">
        <v>2062921605.3299999</v>
      </c>
      <c r="L181" s="52">
        <f t="shared" si="113"/>
        <v>2.7240942715346848E-2</v>
      </c>
      <c r="M181" s="31">
        <v>552.22</v>
      </c>
      <c r="N181" s="31">
        <v>552.22</v>
      </c>
      <c r="O181" s="30">
        <v>823</v>
      </c>
      <c r="P181" s="48">
        <v>-1.7999999999999999E-2</v>
      </c>
      <c r="Q181" s="48">
        <v>-5.6399999999999999E-2</v>
      </c>
      <c r="R181" s="55">
        <f t="shared" si="114"/>
        <v>-1.8035378092316097E-2</v>
      </c>
      <c r="S181" s="55">
        <f t="shared" si="115"/>
        <v>0</v>
      </c>
      <c r="T181" s="55">
        <f t="shared" si="115"/>
        <v>0</v>
      </c>
      <c r="U181" s="55">
        <f t="shared" si="116"/>
        <v>-4.2700000000000002E-2</v>
      </c>
      <c r="V181" s="56">
        <f t="shared" si="116"/>
        <v>-1.7299999999999996E-2</v>
      </c>
    </row>
    <row r="182" spans="1:22">
      <c r="A182" s="170">
        <v>159</v>
      </c>
      <c r="B182" s="142" t="s">
        <v>213</v>
      </c>
      <c r="C182" s="143" t="s">
        <v>89</v>
      </c>
      <c r="D182" s="31">
        <v>48384715.039999999</v>
      </c>
      <c r="E182" s="28">
        <f t="shared" si="112"/>
        <v>6.6144464300155648E-4</v>
      </c>
      <c r="F182" s="31">
        <v>2.65</v>
      </c>
      <c r="G182" s="31">
        <v>2.65</v>
      </c>
      <c r="H182" s="30">
        <v>9</v>
      </c>
      <c r="I182" s="48">
        <v>7.2554999999999994E-2</v>
      </c>
      <c r="J182" s="48">
        <v>0.41334500000000002</v>
      </c>
      <c r="K182" s="31">
        <v>50586497.939999998</v>
      </c>
      <c r="L182" s="52">
        <f t="shared" si="113"/>
        <v>6.6799624813329377E-4</v>
      </c>
      <c r="M182" s="31">
        <v>2.77</v>
      </c>
      <c r="N182" s="31">
        <v>2.77</v>
      </c>
      <c r="O182" s="30">
        <v>9</v>
      </c>
      <c r="P182" s="48">
        <v>4.5846999999999999E-2</v>
      </c>
      <c r="Q182" s="48">
        <v>0.47814299999999998</v>
      </c>
      <c r="R182" s="55">
        <f t="shared" si="114"/>
        <v>4.5505753173905608E-2</v>
      </c>
      <c r="S182" s="55">
        <f t="shared" si="115"/>
        <v>4.5283018867924567E-2</v>
      </c>
      <c r="T182" s="55">
        <f t="shared" si="115"/>
        <v>0</v>
      </c>
      <c r="U182" s="55">
        <f t="shared" si="116"/>
        <v>-2.6707999999999996E-2</v>
      </c>
      <c r="V182" s="56">
        <f t="shared" si="116"/>
        <v>6.4797999999999967E-2</v>
      </c>
    </row>
    <row r="183" spans="1:22">
      <c r="A183" s="170">
        <v>160</v>
      </c>
      <c r="B183" s="142" t="s">
        <v>214</v>
      </c>
      <c r="C183" s="143" t="s">
        <v>45</v>
      </c>
      <c r="D183" s="31">
        <v>359735657.41000003</v>
      </c>
      <c r="E183" s="28">
        <f t="shared" si="112"/>
        <v>4.9177766840990305E-3</v>
      </c>
      <c r="F183" s="31">
        <v>3.600597</v>
      </c>
      <c r="G183" s="31">
        <v>3.6791900000000002</v>
      </c>
      <c r="H183" s="30">
        <v>126</v>
      </c>
      <c r="I183" s="48">
        <v>2.3199999999999998E-2</v>
      </c>
      <c r="J183" s="48">
        <v>0.37759999999999999</v>
      </c>
      <c r="K183" s="31">
        <v>357818135.73000002</v>
      </c>
      <c r="L183" s="52">
        <f t="shared" si="113"/>
        <v>4.7249993953957766E-3</v>
      </c>
      <c r="M183" s="31">
        <v>3.590268</v>
      </c>
      <c r="N183" s="31">
        <v>3.6685050000000001</v>
      </c>
      <c r="O183" s="30">
        <v>125</v>
      </c>
      <c r="P183" s="48">
        <v>-3.3E-3</v>
      </c>
      <c r="Q183" s="48">
        <v>0.37359999999999999</v>
      </c>
      <c r="R183" s="55">
        <f t="shared" si="114"/>
        <v>-5.3303631166441703E-3</v>
      </c>
      <c r="S183" s="55">
        <f t="shared" si="115"/>
        <v>-2.9041718421717972E-3</v>
      </c>
      <c r="T183" s="55">
        <f t="shared" si="115"/>
        <v>-7.9365079365079361E-3</v>
      </c>
      <c r="U183" s="55">
        <f t="shared" si="116"/>
        <v>-2.6499999999999999E-2</v>
      </c>
      <c r="V183" s="56">
        <f t="shared" si="116"/>
        <v>-4.0000000000000036E-3</v>
      </c>
    </row>
    <row r="184" spans="1:22">
      <c r="A184" s="170">
        <v>161</v>
      </c>
      <c r="B184" s="142" t="s">
        <v>215</v>
      </c>
      <c r="C184" s="143" t="s">
        <v>49</v>
      </c>
      <c r="D184" s="27">
        <v>3676074823.6100001</v>
      </c>
      <c r="E184" s="28">
        <f t="shared" si="112"/>
        <v>5.0253886942179374E-2</v>
      </c>
      <c r="F184" s="31">
        <v>8975.43</v>
      </c>
      <c r="G184" s="31">
        <v>9062.2099999999991</v>
      </c>
      <c r="H184" s="30">
        <v>2577</v>
      </c>
      <c r="I184" s="48">
        <v>2.3099999999999999E-2</v>
      </c>
      <c r="J184" s="48">
        <v>0.40789999999999998</v>
      </c>
      <c r="K184" s="27">
        <v>3881044848.0999999</v>
      </c>
      <c r="L184" s="28">
        <f t="shared" si="113"/>
        <v>5.1249315586993353E-2</v>
      </c>
      <c r="M184" s="31">
        <v>9345.25</v>
      </c>
      <c r="N184" s="31">
        <v>9437.5400000000009</v>
      </c>
      <c r="O184" s="30">
        <v>2638</v>
      </c>
      <c r="P184" s="48">
        <v>4.1399999999999999E-2</v>
      </c>
      <c r="Q184" s="48">
        <v>0.4662</v>
      </c>
      <c r="R184" s="55">
        <f t="shared" si="114"/>
        <v>5.5757848880974063E-2</v>
      </c>
      <c r="S184" s="55">
        <f t="shared" si="115"/>
        <v>4.1417049483514705E-2</v>
      </c>
      <c r="T184" s="55">
        <f t="shared" si="115"/>
        <v>2.3670935195964301E-2</v>
      </c>
      <c r="U184" s="55">
        <f t="shared" si="116"/>
        <v>1.83E-2</v>
      </c>
      <c r="V184" s="56">
        <f t="shared" si="116"/>
        <v>5.8300000000000018E-2</v>
      </c>
    </row>
    <row r="185" spans="1:22">
      <c r="A185" s="170">
        <v>162</v>
      </c>
      <c r="B185" s="142" t="s">
        <v>216</v>
      </c>
      <c r="C185" s="142" t="s">
        <v>99</v>
      </c>
      <c r="D185" s="27">
        <v>133618212.89</v>
      </c>
      <c r="E185" s="28">
        <f t="shared" si="112"/>
        <v>1.8266316346074738E-3</v>
      </c>
      <c r="F185" s="31">
        <v>1352.16</v>
      </c>
      <c r="G185" s="31">
        <v>1372.94</v>
      </c>
      <c r="H185" s="30">
        <v>16</v>
      </c>
      <c r="I185" s="48">
        <v>4.9219668280705564E-2</v>
      </c>
      <c r="J185" s="48">
        <v>0.2243</v>
      </c>
      <c r="K185" s="27">
        <v>135969128.75</v>
      </c>
      <c r="L185" s="28">
        <f t="shared" si="113"/>
        <v>1.7954764920608136E-3</v>
      </c>
      <c r="M185" s="31">
        <v>1364.82</v>
      </c>
      <c r="N185" s="31">
        <v>1385.91</v>
      </c>
      <c r="O185" s="30">
        <v>18</v>
      </c>
      <c r="P185" s="48">
        <v>1.1550727418214723E-2</v>
      </c>
      <c r="Q185" s="48">
        <v>0.23580000000000001</v>
      </c>
      <c r="R185" s="55">
        <f t="shared" si="114"/>
        <v>1.759427707610017E-2</v>
      </c>
      <c r="S185" s="55">
        <f t="shared" si="115"/>
        <v>9.4468804172068901E-3</v>
      </c>
      <c r="T185" s="55">
        <f t="shared" si="115"/>
        <v>0.125</v>
      </c>
      <c r="U185" s="55">
        <f t="shared" si="116"/>
        <v>-3.7668940862490841E-2</v>
      </c>
      <c r="V185" s="56">
        <f t="shared" si="116"/>
        <v>1.150000000000001E-2</v>
      </c>
    </row>
    <row r="186" spans="1:22">
      <c r="A186" s="170">
        <v>163</v>
      </c>
      <c r="B186" s="142" t="s">
        <v>217</v>
      </c>
      <c r="C186" s="142" t="s">
        <v>82</v>
      </c>
      <c r="D186" s="27">
        <v>742344275.63877237</v>
      </c>
      <c r="E186" s="28">
        <f t="shared" si="112"/>
        <v>1.014823883902607E-2</v>
      </c>
      <c r="F186" s="31">
        <v>1.4139999999999999</v>
      </c>
      <c r="G186" s="31">
        <v>1.4139999999999999</v>
      </c>
      <c r="H186" s="30">
        <v>43</v>
      </c>
      <c r="I186" s="48">
        <v>4.2743735934780043E-3</v>
      </c>
      <c r="J186" s="48">
        <v>5.2983240139258467E-2</v>
      </c>
      <c r="K186" s="27">
        <v>744331492.20142937</v>
      </c>
      <c r="L186" s="28">
        <f t="shared" si="113"/>
        <v>9.8289200558565257E-3</v>
      </c>
      <c r="M186" s="31">
        <v>1.4177917731617358</v>
      </c>
      <c r="N186" s="31">
        <v>1.4177917731617358</v>
      </c>
      <c r="O186" s="30">
        <v>43</v>
      </c>
      <c r="P186" s="48">
        <v>2.676947378555642E-3</v>
      </c>
      <c r="Q186" s="48">
        <v>5.580202086361228E-2</v>
      </c>
      <c r="R186" s="55">
        <f t="shared" si="114"/>
        <v>2.676947378555642E-3</v>
      </c>
      <c r="S186" s="55">
        <f t="shared" si="115"/>
        <v>2.6815934665741482E-3</v>
      </c>
      <c r="T186" s="55">
        <f t="shared" si="115"/>
        <v>0</v>
      </c>
      <c r="U186" s="55">
        <f t="shared" si="116"/>
        <v>-1.5974262149223623E-3</v>
      </c>
      <c r="V186" s="56">
        <f t="shared" si="116"/>
        <v>2.8187807243538129E-3</v>
      </c>
    </row>
    <row r="187" spans="1:22">
      <c r="A187" s="170">
        <v>164</v>
      </c>
      <c r="B187" s="142" t="s">
        <v>218</v>
      </c>
      <c r="C187" s="143" t="s">
        <v>52</v>
      </c>
      <c r="D187" s="31">
        <v>2997105378.29</v>
      </c>
      <c r="E187" s="28">
        <f t="shared" si="112"/>
        <v>4.0972015549584059E-2</v>
      </c>
      <c r="F187" s="31">
        <v>2.1034000000000002</v>
      </c>
      <c r="G187" s="31">
        <v>2.1187999999999998</v>
      </c>
      <c r="H187" s="30">
        <v>2461</v>
      </c>
      <c r="I187" s="48">
        <v>3.73E-2</v>
      </c>
      <c r="J187" s="48">
        <v>0.26429999999999998</v>
      </c>
      <c r="K187" s="31">
        <v>3107877887.7199998</v>
      </c>
      <c r="L187" s="52">
        <f t="shared" si="113"/>
        <v>4.1039622294386999E-2</v>
      </c>
      <c r="M187" s="31">
        <v>2.1783000000000001</v>
      </c>
      <c r="N187" s="31">
        <v>2.1945999999999999</v>
      </c>
      <c r="O187" s="30">
        <v>2487</v>
      </c>
      <c r="P187" s="48">
        <v>3.56E-2</v>
      </c>
      <c r="Q187" s="48">
        <v>0.30209999999999998</v>
      </c>
      <c r="R187" s="55">
        <f t="shared" si="114"/>
        <v>3.6959831386776644E-2</v>
      </c>
      <c r="S187" s="55">
        <f t="shared" si="115"/>
        <v>3.5774966962431612E-2</v>
      </c>
      <c r="T187" s="55">
        <f t="shared" si="115"/>
        <v>1.0564811052417716E-2</v>
      </c>
      <c r="U187" s="55">
        <f t="shared" si="116"/>
        <v>-1.7000000000000001E-3</v>
      </c>
      <c r="V187" s="56">
        <f t="shared" si="116"/>
        <v>3.78E-2</v>
      </c>
    </row>
    <row r="188" spans="1:22">
      <c r="A188" s="170">
        <v>165</v>
      </c>
      <c r="B188" s="142" t="s">
        <v>219</v>
      </c>
      <c r="C188" s="143" t="s">
        <v>52</v>
      </c>
      <c r="D188" s="31">
        <v>1721706616.24</v>
      </c>
      <c r="E188" s="28">
        <f t="shared" si="112"/>
        <v>2.3536639973818569E-2</v>
      </c>
      <c r="F188" s="31">
        <v>1.637</v>
      </c>
      <c r="G188" s="31">
        <v>1.6476999999999999</v>
      </c>
      <c r="H188" s="30">
        <v>1003</v>
      </c>
      <c r="I188" s="48">
        <v>3.8199999999999998E-2</v>
      </c>
      <c r="J188" s="48">
        <v>0.2772</v>
      </c>
      <c r="K188" s="31">
        <v>1851998437.05</v>
      </c>
      <c r="L188" s="52">
        <f t="shared" si="113"/>
        <v>2.4455695845272109E-2</v>
      </c>
      <c r="M188" s="31">
        <v>1.6987000000000001</v>
      </c>
      <c r="N188" s="31">
        <v>1.7097</v>
      </c>
      <c r="O188" s="30">
        <v>1040</v>
      </c>
      <c r="P188" s="48">
        <v>3.7699999999999997E-2</v>
      </c>
      <c r="Q188" s="48">
        <v>0.31769999999999998</v>
      </c>
      <c r="R188" s="55">
        <f t="shared" si="114"/>
        <v>7.5675971493065181E-2</v>
      </c>
      <c r="S188" s="55">
        <f t="shared" si="115"/>
        <v>3.7628209018632064E-2</v>
      </c>
      <c r="T188" s="55">
        <f t="shared" si="115"/>
        <v>3.6889332003988036E-2</v>
      </c>
      <c r="U188" s="55">
        <f t="shared" si="116"/>
        <v>-5.0000000000000044E-4</v>
      </c>
      <c r="V188" s="56">
        <f t="shared" si="116"/>
        <v>4.049999999999998E-2</v>
      </c>
    </row>
    <row r="189" spans="1:22">
      <c r="A189" s="170">
        <v>166</v>
      </c>
      <c r="B189" s="142" t="s">
        <v>220</v>
      </c>
      <c r="C189" s="143" t="s">
        <v>103</v>
      </c>
      <c r="D189" s="27">
        <v>12225281822.280001</v>
      </c>
      <c r="E189" s="28">
        <f t="shared" si="112"/>
        <v>0.16712606788830667</v>
      </c>
      <c r="F189" s="31">
        <v>708.97</v>
      </c>
      <c r="G189" s="31">
        <v>718.45</v>
      </c>
      <c r="H189" s="30">
        <v>35</v>
      </c>
      <c r="I189" s="48">
        <v>4.085834793809151E-2</v>
      </c>
      <c r="J189" s="48">
        <v>0.37197694925606073</v>
      </c>
      <c r="K189" s="27">
        <v>12467828501.450001</v>
      </c>
      <c r="L189" s="52">
        <f t="shared" si="113"/>
        <v>0.16463805561745409</v>
      </c>
      <c r="M189" s="31">
        <v>722.99</v>
      </c>
      <c r="N189" s="31">
        <v>732.72</v>
      </c>
      <c r="O189" s="30">
        <v>35</v>
      </c>
      <c r="P189" s="48">
        <v>1.9839823991503858E-2</v>
      </c>
      <c r="Q189" s="48">
        <v>0.39919673044970128</v>
      </c>
      <c r="R189" s="55">
        <f t="shared" si="114"/>
        <v>1.9839761790028446E-2</v>
      </c>
      <c r="S189" s="55">
        <f t="shared" si="115"/>
        <v>1.9862203354443567E-2</v>
      </c>
      <c r="T189" s="55">
        <f t="shared" si="115"/>
        <v>0</v>
      </c>
      <c r="U189" s="55">
        <f t="shared" si="116"/>
        <v>-2.1018523946587653E-2</v>
      </c>
      <c r="V189" s="56">
        <f t="shared" si="116"/>
        <v>2.7219781193640546E-2</v>
      </c>
    </row>
    <row r="190" spans="1:22">
      <c r="A190" s="34"/>
      <c r="B190" s="35"/>
      <c r="C190" s="36" t="s">
        <v>53</v>
      </c>
      <c r="D190" s="73">
        <f>SUM(D162:D189)</f>
        <v>73150059573.293945</v>
      </c>
      <c r="E190" s="38">
        <f>(D190/$D$222)</f>
        <v>1.1874698964500333E-2</v>
      </c>
      <c r="F190" s="39"/>
      <c r="G190" s="74"/>
      <c r="H190" s="41">
        <f>SUM(H162:H189)</f>
        <v>70868</v>
      </c>
      <c r="I190" s="80"/>
      <c r="J190" s="80"/>
      <c r="K190" s="73">
        <f>SUM(K162:K189)</f>
        <v>75728715664.741028</v>
      </c>
      <c r="L190" s="38">
        <f>(K190/$K$222)</f>
        <v>1.2058120021815345E-2</v>
      </c>
      <c r="M190" s="39"/>
      <c r="N190" s="74"/>
      <c r="O190" s="41">
        <f>SUM(O162:O189)</f>
        <v>71322</v>
      </c>
      <c r="P190" s="80"/>
      <c r="Q190" s="80"/>
      <c r="R190" s="55">
        <f t="shared" ref="R190" si="122">((K190-D190)/D190)</f>
        <v>3.5251592500254281E-2</v>
      </c>
      <c r="S190" s="55" t="e">
        <f t="shared" ref="S190" si="123">((N190-G190)/G190)</f>
        <v>#DIV/0!</v>
      </c>
      <c r="T190" s="55">
        <f t="shared" ref="T190" si="124">((O190-H190)/H190)</f>
        <v>6.4062764576395554E-3</v>
      </c>
      <c r="U190" s="55">
        <f t="shared" ref="U190" si="125">P190-I190</f>
        <v>0</v>
      </c>
      <c r="V190" s="56">
        <f t="shared" ref="V190" si="126">Q190-J190</f>
        <v>0</v>
      </c>
    </row>
    <row r="191" spans="1:22" ht="5.25" customHeight="1">
      <c r="A191" s="34"/>
      <c r="B191" s="179"/>
      <c r="C191" s="179"/>
      <c r="D191" s="179"/>
      <c r="E191" s="179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</row>
    <row r="192" spans="1:22" ht="15" customHeight="1">
      <c r="A192" s="181" t="s">
        <v>221</v>
      </c>
      <c r="B192" s="181"/>
      <c r="C192" s="181"/>
      <c r="D192" s="181"/>
      <c r="E192" s="181"/>
      <c r="F192" s="181"/>
      <c r="G192" s="181"/>
      <c r="H192" s="181"/>
      <c r="I192" s="181"/>
      <c r="J192" s="181"/>
      <c r="K192" s="181"/>
      <c r="L192" s="181"/>
      <c r="M192" s="181"/>
      <c r="N192" s="181"/>
      <c r="O192" s="181"/>
      <c r="P192" s="181"/>
      <c r="Q192" s="181"/>
      <c r="R192" s="181"/>
      <c r="S192" s="181"/>
      <c r="T192" s="181"/>
      <c r="U192" s="181"/>
      <c r="V192" s="181"/>
    </row>
    <row r="193" spans="1:24">
      <c r="A193" s="141">
        <v>167</v>
      </c>
      <c r="B193" s="142" t="s">
        <v>222</v>
      </c>
      <c r="C193" s="143" t="s">
        <v>223</v>
      </c>
      <c r="D193" s="76">
        <v>1448427842.5599999</v>
      </c>
      <c r="E193" s="28">
        <f>(D193/$D$195)</f>
        <v>0.17997854560276966</v>
      </c>
      <c r="F193" s="75">
        <v>38.5627</v>
      </c>
      <c r="G193" s="75">
        <v>39.009500000000003</v>
      </c>
      <c r="H193" s="30">
        <v>1491</v>
      </c>
      <c r="I193" s="48">
        <v>6.1499999999999999E-2</v>
      </c>
      <c r="J193" s="48">
        <v>0.49149999999999999</v>
      </c>
      <c r="K193" s="76">
        <v>1482103374.3699999</v>
      </c>
      <c r="L193" s="52">
        <f>(K193/$K$195)</f>
        <v>0.17374857636871846</v>
      </c>
      <c r="M193" s="75">
        <v>41.378999999999998</v>
      </c>
      <c r="N193" s="75">
        <v>41.8842</v>
      </c>
      <c r="O193" s="30">
        <v>1492</v>
      </c>
      <c r="P193" s="48">
        <v>2.8199999999999999E-2</v>
      </c>
      <c r="Q193" s="48">
        <v>0.55630000000000002</v>
      </c>
      <c r="R193" s="55">
        <f>((K193-D193)/D193)</f>
        <v>2.3249713116865165E-2</v>
      </c>
      <c r="S193" s="55">
        <f t="shared" ref="S193:T195" si="127">((N193-G193)/G193)</f>
        <v>7.3692305720401363E-2</v>
      </c>
      <c r="T193" s="55">
        <f t="shared" si="127"/>
        <v>6.7069081153588194E-4</v>
      </c>
      <c r="U193" s="55">
        <f t="shared" ref="U193:V195" si="128">P193-I193</f>
        <v>-3.3299999999999996E-2</v>
      </c>
      <c r="V193" s="56">
        <f t="shared" si="128"/>
        <v>6.4800000000000024E-2</v>
      </c>
    </row>
    <row r="194" spans="1:24">
      <c r="A194" s="141">
        <v>168</v>
      </c>
      <c r="B194" s="142" t="s">
        <v>224</v>
      </c>
      <c r="C194" s="143" t="s">
        <v>49</v>
      </c>
      <c r="D194" s="42">
        <v>6599352728.7799997</v>
      </c>
      <c r="E194" s="28">
        <f>(D194/$D$195)</f>
        <v>0.82002145439723029</v>
      </c>
      <c r="F194" s="75">
        <v>4.3899999999999997</v>
      </c>
      <c r="G194" s="75">
        <v>4.45</v>
      </c>
      <c r="H194" s="30">
        <v>10716</v>
      </c>
      <c r="I194" s="48">
        <v>3.73E-2</v>
      </c>
      <c r="J194" s="48">
        <v>0.53449999999999998</v>
      </c>
      <c r="K194" s="42">
        <v>7048057881.3100004</v>
      </c>
      <c r="L194" s="52">
        <f>(K194/$K$195)</f>
        <v>0.82625142363128157</v>
      </c>
      <c r="M194" s="75">
        <v>4.59</v>
      </c>
      <c r="N194" s="75">
        <v>4.66</v>
      </c>
      <c r="O194" s="30">
        <v>10774</v>
      </c>
      <c r="P194" s="48">
        <v>4.7199999999999999E-2</v>
      </c>
      <c r="Q194" s="48">
        <v>0.6069</v>
      </c>
      <c r="R194" s="55">
        <f>((K194-D194)/D194)</f>
        <v>6.799229727078876E-2</v>
      </c>
      <c r="S194" s="55">
        <f t="shared" si="127"/>
        <v>4.7191011235955045E-2</v>
      </c>
      <c r="T194" s="55">
        <f t="shared" si="127"/>
        <v>5.412467338559164E-3</v>
      </c>
      <c r="U194" s="55">
        <f t="shared" si="128"/>
        <v>9.8999999999999991E-3</v>
      </c>
      <c r="V194" s="56">
        <f t="shared" si="128"/>
        <v>7.240000000000002E-2</v>
      </c>
    </row>
    <row r="195" spans="1:24">
      <c r="A195" s="34"/>
      <c r="B195" s="35"/>
      <c r="C195" s="69" t="s">
        <v>53</v>
      </c>
      <c r="D195" s="73">
        <f>SUM(D193:D194)</f>
        <v>8047780571.3400002</v>
      </c>
      <c r="E195" s="38">
        <f>(D195/$D$222)</f>
        <v>1.3064237018325878E-3</v>
      </c>
      <c r="F195" s="39"/>
      <c r="G195" s="74"/>
      <c r="H195" s="41">
        <f>SUM(H193:H194)</f>
        <v>12207</v>
      </c>
      <c r="I195" s="80"/>
      <c r="J195" s="80"/>
      <c r="K195" s="73">
        <f>SUM(K193:K194)</f>
        <v>8530161255.6800003</v>
      </c>
      <c r="L195" s="38">
        <f>(K195/$K$222)</f>
        <v>1.3582391741831514E-3</v>
      </c>
      <c r="M195" s="39"/>
      <c r="N195" s="74"/>
      <c r="O195" s="41">
        <f>SUM(O193:O194)</f>
        <v>12266</v>
      </c>
      <c r="P195" s="80"/>
      <c r="Q195" s="80"/>
      <c r="R195" s="55">
        <f>((K195-D195)/D195)</f>
        <v>5.9939592048255996E-2</v>
      </c>
      <c r="S195" s="55" t="e">
        <f t="shared" si="127"/>
        <v>#DIV/0!</v>
      </c>
      <c r="T195" s="55">
        <f t="shared" si="127"/>
        <v>4.8332923732284754E-3</v>
      </c>
      <c r="U195" s="55">
        <f t="shared" si="128"/>
        <v>0</v>
      </c>
      <c r="V195" s="56">
        <f t="shared" si="128"/>
        <v>0</v>
      </c>
    </row>
    <row r="196" spans="1:24" ht="6" customHeight="1">
      <c r="A196" s="34"/>
      <c r="B196" s="179"/>
      <c r="C196" s="179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</row>
    <row r="197" spans="1:24" ht="15" customHeight="1">
      <c r="A197" s="177" t="s">
        <v>225</v>
      </c>
      <c r="B197" s="177"/>
      <c r="C197" s="177"/>
      <c r="D197" s="177"/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</row>
    <row r="198" spans="1:24">
      <c r="A198" s="180" t="s">
        <v>226</v>
      </c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  <c r="S198" s="180"/>
      <c r="T198" s="180"/>
      <c r="U198" s="180"/>
      <c r="V198" s="180"/>
    </row>
    <row r="199" spans="1:24">
      <c r="A199" s="141">
        <v>169</v>
      </c>
      <c r="B199" s="142" t="s">
        <v>227</v>
      </c>
      <c r="C199" s="143" t="s">
        <v>228</v>
      </c>
      <c r="D199" s="45">
        <v>6675165531.3199997</v>
      </c>
      <c r="E199" s="28">
        <f>(D199/$D$221)</f>
        <v>0.10486971633125509</v>
      </c>
      <c r="F199" s="77">
        <v>2.76</v>
      </c>
      <c r="G199" s="77">
        <v>2.81</v>
      </c>
      <c r="H199" s="44">
        <v>15043</v>
      </c>
      <c r="I199" s="51">
        <v>1.4999999999999999E-2</v>
      </c>
      <c r="J199" s="51">
        <v>0.21429999999999999</v>
      </c>
      <c r="K199" s="45">
        <v>6893757023.6700001</v>
      </c>
      <c r="L199" s="28">
        <f>(K199/$K$221)</f>
        <v>0.10638587985524937</v>
      </c>
      <c r="M199" s="77">
        <v>2.8</v>
      </c>
      <c r="N199" s="77">
        <v>2.85</v>
      </c>
      <c r="O199" s="44">
        <v>15060</v>
      </c>
      <c r="P199" s="51">
        <v>1.5699999999999999E-2</v>
      </c>
      <c r="Q199" s="51">
        <v>0.2334</v>
      </c>
      <c r="R199" s="55">
        <f>((K199-D199)/D199)</f>
        <v>3.274697703365783E-2</v>
      </c>
      <c r="S199" s="55">
        <f>((N199-G199)/G199)</f>
        <v>1.4234875444839871E-2</v>
      </c>
      <c r="T199" s="55">
        <f>((O199-H199)/H199)</f>
        <v>1.1300937313035964E-3</v>
      </c>
      <c r="U199" s="55">
        <f>P199-I199</f>
        <v>6.9999999999999923E-4</v>
      </c>
      <c r="V199" s="56">
        <f>Q199-J199</f>
        <v>1.9100000000000006E-2</v>
      </c>
    </row>
    <row r="200" spans="1:24">
      <c r="A200" s="141">
        <v>170</v>
      </c>
      <c r="B200" s="142" t="s">
        <v>229</v>
      </c>
      <c r="C200" s="143" t="s">
        <v>49</v>
      </c>
      <c r="D200" s="45">
        <v>2500753490.6500001</v>
      </c>
      <c r="E200" s="28">
        <f>(D200/$D$221)</f>
        <v>3.928791098113809E-2</v>
      </c>
      <c r="F200" s="77">
        <v>809.95</v>
      </c>
      <c r="G200" s="77">
        <v>819.27</v>
      </c>
      <c r="H200" s="44">
        <v>1345</v>
      </c>
      <c r="I200" s="51">
        <v>4.2299999999999997E-2</v>
      </c>
      <c r="J200" s="51">
        <v>0.62329999999999997</v>
      </c>
      <c r="K200" s="45">
        <v>3039490459.1799998</v>
      </c>
      <c r="L200" s="28">
        <f>(K200/$K$221)</f>
        <v>4.6906043497215548E-2</v>
      </c>
      <c r="M200" s="77">
        <v>859.02</v>
      </c>
      <c r="N200" s="77">
        <v>868.51</v>
      </c>
      <c r="O200" s="44">
        <v>1440</v>
      </c>
      <c r="P200" s="51">
        <v>6.0100000000000001E-2</v>
      </c>
      <c r="Q200" s="51">
        <v>0.72089999999999999</v>
      </c>
      <c r="R200" s="55">
        <f>((K200-D200)/D200)</f>
        <v>0.21542985765860925</v>
      </c>
      <c r="S200" s="55">
        <f>((N200-G200)/G200)</f>
        <v>6.0102286181600705E-2</v>
      </c>
      <c r="T200" s="55">
        <f>((O200-H200)/H200)</f>
        <v>7.0631970260223054E-2</v>
      </c>
      <c r="U200" s="55">
        <f>P200-I200</f>
        <v>1.7800000000000003E-2</v>
      </c>
      <c r="V200" s="56">
        <f>Q200-J200</f>
        <v>9.760000000000002E-2</v>
      </c>
    </row>
    <row r="201" spans="1:24" ht="6" customHeight="1">
      <c r="A201" s="34"/>
      <c r="B201" s="179"/>
      <c r="C201" s="179"/>
      <c r="D201" s="179"/>
      <c r="E201" s="179"/>
      <c r="F201" s="179"/>
      <c r="G201" s="179"/>
      <c r="H201" s="179"/>
      <c r="I201" s="179"/>
      <c r="J201" s="179"/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</row>
    <row r="202" spans="1:24" ht="15" customHeight="1">
      <c r="A202" s="180" t="s">
        <v>171</v>
      </c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  <c r="S202" s="180"/>
      <c r="T202" s="180"/>
      <c r="U202" s="180"/>
      <c r="V202" s="180"/>
    </row>
    <row r="203" spans="1:24">
      <c r="A203" s="141">
        <v>171</v>
      </c>
      <c r="B203" s="142" t="s">
        <v>289</v>
      </c>
      <c r="C203" s="143" t="s">
        <v>23</v>
      </c>
      <c r="D203" s="27">
        <v>1236819897.4200001</v>
      </c>
      <c r="E203" s="28">
        <f>(D203/$D$221)</f>
        <v>1.9430971589649636E-2</v>
      </c>
      <c r="F203" s="75">
        <v>1.0818000000000001</v>
      </c>
      <c r="G203" s="75">
        <v>1.0818000000000001</v>
      </c>
      <c r="H203" s="30">
        <v>650</v>
      </c>
      <c r="I203" s="48">
        <v>0.14019999999999999</v>
      </c>
      <c r="J203" s="48">
        <v>0.1202</v>
      </c>
      <c r="K203" s="27">
        <v>1236321844.22</v>
      </c>
      <c r="L203" s="28">
        <f t="shared" ref="L203:L215" si="129">(K203/$K$221)</f>
        <v>1.9079173624774591E-2</v>
      </c>
      <c r="M203" s="75">
        <v>1.0844</v>
      </c>
      <c r="N203" s="75">
        <v>1.0844</v>
      </c>
      <c r="O203" s="30">
        <v>650</v>
      </c>
      <c r="P203" s="48">
        <v>0.12529999999999999</v>
      </c>
      <c r="Q203" s="48">
        <v>0.1206</v>
      </c>
      <c r="R203" s="55">
        <f>((K203-D203)/D203)</f>
        <v>-4.0268854102281509E-4</v>
      </c>
      <c r="S203" s="55">
        <f>((N203-G203)/G203)</f>
        <v>2.4034017378442738E-3</v>
      </c>
      <c r="T203" s="55">
        <f>((O203-H203)/H203)</f>
        <v>0</v>
      </c>
      <c r="U203" s="55">
        <f>P203-I203</f>
        <v>-1.4899999999999997E-2</v>
      </c>
      <c r="V203" s="56">
        <f>Q203-J203</f>
        <v>3.9999999999999758E-4</v>
      </c>
      <c r="X203" s="81"/>
    </row>
    <row r="204" spans="1:24">
      <c r="A204" s="141">
        <v>172</v>
      </c>
      <c r="B204" s="142" t="s">
        <v>230</v>
      </c>
      <c r="C204" s="143" t="s">
        <v>231</v>
      </c>
      <c r="D204" s="27">
        <v>374708974.73000002</v>
      </c>
      <c r="E204" s="28">
        <f>(D204/$D$221)</f>
        <v>5.8868388659928722E-3</v>
      </c>
      <c r="F204" s="75">
        <v>1141.6500000000001</v>
      </c>
      <c r="G204" s="75">
        <v>1141.6500000000001</v>
      </c>
      <c r="H204" s="30">
        <v>18</v>
      </c>
      <c r="I204" s="48">
        <v>1.1999999999999999E-3</v>
      </c>
      <c r="J204" s="48">
        <v>4.5600000000000002E-2</v>
      </c>
      <c r="K204" s="27">
        <v>444762038.79000002</v>
      </c>
      <c r="L204" s="28">
        <f t="shared" si="129"/>
        <v>6.8636594908155135E-3</v>
      </c>
      <c r="M204" s="75">
        <v>1355.09</v>
      </c>
      <c r="N204" s="75">
        <v>1355.09</v>
      </c>
      <c r="O204" s="30">
        <v>18</v>
      </c>
      <c r="P204" s="48">
        <v>-6.1999999999999998E-3</v>
      </c>
      <c r="Q204" s="48">
        <v>3.9399999999999998E-2</v>
      </c>
      <c r="R204" s="55">
        <f>((K204-D204)/D204)</f>
        <v>0.18695325915392708</v>
      </c>
      <c r="S204" s="55">
        <f>((N204-G204)/G204)</f>
        <v>0.18695747383173461</v>
      </c>
      <c r="T204" s="55">
        <f>((O204-H204)/H204)</f>
        <v>0</v>
      </c>
      <c r="U204" s="55">
        <f>P204-I204</f>
        <v>-7.3999999999999995E-3</v>
      </c>
      <c r="V204" s="56">
        <f>Q204-J204</f>
        <v>-6.2000000000000041E-3</v>
      </c>
      <c r="X204" s="81"/>
    </row>
    <row r="205" spans="1:24">
      <c r="A205" s="141">
        <v>173</v>
      </c>
      <c r="B205" s="142" t="s">
        <v>232</v>
      </c>
      <c r="C205" s="143" t="s">
        <v>67</v>
      </c>
      <c r="D205" s="27">
        <v>247047524.16999999</v>
      </c>
      <c r="E205" s="28">
        <f>(D205/$D$221)</f>
        <v>3.8812226690839191E-3</v>
      </c>
      <c r="F205" s="75">
        <v>119.08</v>
      </c>
      <c r="G205" s="75">
        <v>119.08</v>
      </c>
      <c r="H205" s="30">
        <v>68</v>
      </c>
      <c r="I205" s="48">
        <v>2.2000000000000001E-3</v>
      </c>
      <c r="J205" s="48">
        <v>0.1202</v>
      </c>
      <c r="K205" s="27">
        <v>247743044.22999999</v>
      </c>
      <c r="L205" s="28">
        <f t="shared" si="129"/>
        <v>3.8232217422126788E-3</v>
      </c>
      <c r="M205" s="75">
        <v>119.31</v>
      </c>
      <c r="N205" s="75">
        <v>119.31</v>
      </c>
      <c r="O205" s="30">
        <v>68</v>
      </c>
      <c r="P205" s="48">
        <v>1.9E-3</v>
      </c>
      <c r="Q205" s="48">
        <v>0.13420000000000001</v>
      </c>
      <c r="R205" s="55">
        <f t="shared" ref="R205:R222" si="130">((K205-D205)/D205)</f>
        <v>2.8153290033434883E-3</v>
      </c>
      <c r="S205" s="55">
        <f t="shared" ref="S205:S221" si="131">((N205-G205)/G205)</f>
        <v>1.9314746388982532E-3</v>
      </c>
      <c r="T205" s="55">
        <f t="shared" ref="T205:T221" si="132">((O205-H205)/H205)</f>
        <v>0</v>
      </c>
      <c r="U205" s="55">
        <f t="shared" ref="U205:U221" si="133">P205-I205</f>
        <v>-3.0000000000000014E-4</v>
      </c>
      <c r="V205" s="56">
        <f t="shared" ref="V205:V221" si="134">Q205-J205</f>
        <v>1.4000000000000012E-2</v>
      </c>
    </row>
    <row r="206" spans="1:24">
      <c r="A206" s="141">
        <v>174</v>
      </c>
      <c r="B206" s="171" t="s">
        <v>233</v>
      </c>
      <c r="C206" s="143" t="s">
        <v>70</v>
      </c>
      <c r="D206" s="42">
        <v>64195573.479999997</v>
      </c>
      <c r="E206" s="28">
        <f>(D206/$D$221)</f>
        <v>1.008540020315956E-3</v>
      </c>
      <c r="F206" s="75">
        <v>99.2</v>
      </c>
      <c r="G206" s="75">
        <v>99.2</v>
      </c>
      <c r="H206" s="30">
        <v>15</v>
      </c>
      <c r="I206" s="48">
        <v>-1.2800000000000001E-2</v>
      </c>
      <c r="J206" s="48">
        <v>6.1600000000000002E-2</v>
      </c>
      <c r="K206" s="42">
        <v>64344345.630000003</v>
      </c>
      <c r="L206" s="28">
        <f t="shared" si="129"/>
        <v>9.9297520931679144E-4</v>
      </c>
      <c r="M206" s="75">
        <v>99.34</v>
      </c>
      <c r="N206" s="75">
        <v>99.34</v>
      </c>
      <c r="O206" s="30">
        <v>16</v>
      </c>
      <c r="P206" s="48">
        <v>1.4E-3</v>
      </c>
      <c r="Q206" s="48">
        <v>6.3E-2</v>
      </c>
      <c r="R206" s="55">
        <f t="shared" si="130"/>
        <v>2.3174829966486027E-3</v>
      </c>
      <c r="S206" s="55">
        <f t="shared" si="131"/>
        <v>1.4112903225806509E-3</v>
      </c>
      <c r="T206" s="55">
        <f t="shared" si="132"/>
        <v>6.6666666666666666E-2</v>
      </c>
      <c r="U206" s="55">
        <f t="shared" si="133"/>
        <v>1.4200000000000001E-2</v>
      </c>
      <c r="V206" s="56">
        <f t="shared" si="134"/>
        <v>1.3999999999999985E-3</v>
      </c>
    </row>
    <row r="207" spans="1:24">
      <c r="A207" s="141">
        <v>175</v>
      </c>
      <c r="B207" s="142" t="s">
        <v>234</v>
      </c>
      <c r="C207" s="143" t="s">
        <v>73</v>
      </c>
      <c r="D207" s="42">
        <v>156876312.88999999</v>
      </c>
      <c r="E207" s="28">
        <v>0</v>
      </c>
      <c r="F207" s="75">
        <v>1.1073999999999999</v>
      </c>
      <c r="G207" s="75">
        <v>1.1073999999999999</v>
      </c>
      <c r="H207" s="30">
        <v>41</v>
      </c>
      <c r="I207" s="48">
        <v>1.8E-3</v>
      </c>
      <c r="J207" s="48">
        <v>0.11310000000000001</v>
      </c>
      <c r="K207" s="42">
        <v>167327369.38</v>
      </c>
      <c r="L207" s="28">
        <f t="shared" si="129"/>
        <v>2.5822304665270644E-3</v>
      </c>
      <c r="M207" s="75">
        <v>1.1099000000000001</v>
      </c>
      <c r="N207" s="75">
        <v>1.1099000000000001</v>
      </c>
      <c r="O207" s="30">
        <v>41</v>
      </c>
      <c r="P207" s="48">
        <v>1.8E-3</v>
      </c>
      <c r="Q207" s="48">
        <v>0.1135</v>
      </c>
      <c r="R207" s="55">
        <f t="shared" ref="R207:R208" si="135">((K207-D207)/D207)</f>
        <v>6.6619722872554896E-2</v>
      </c>
      <c r="S207" s="55">
        <f t="shared" ref="S207:S208" si="136">((N207-G207)/G207)</f>
        <v>2.2575401842154317E-3</v>
      </c>
      <c r="T207" s="55">
        <f t="shared" ref="T207" si="137">((O207-H207)/H207)</f>
        <v>0</v>
      </c>
      <c r="U207" s="55">
        <f t="shared" ref="U207" si="138">P207-I207</f>
        <v>0</v>
      </c>
      <c r="V207" s="56">
        <f t="shared" ref="V207" si="139">Q207-J207</f>
        <v>3.9999999999999758E-4</v>
      </c>
    </row>
    <row r="208" spans="1:24">
      <c r="A208" s="141">
        <v>176</v>
      </c>
      <c r="B208" s="142" t="s">
        <v>235</v>
      </c>
      <c r="C208" s="143" t="s">
        <v>31</v>
      </c>
      <c r="D208" s="27">
        <v>5864313925.2700005</v>
      </c>
      <c r="E208" s="28">
        <f t="shared" ref="E208:E215" si="140">(D208/$D$221)</f>
        <v>9.2130889479063047E-2</v>
      </c>
      <c r="F208" s="75">
        <v>156.21</v>
      </c>
      <c r="G208" s="75">
        <v>156.21</v>
      </c>
      <c r="H208" s="30">
        <v>717</v>
      </c>
      <c r="I208" s="48">
        <v>2.7000000000000001E-3</v>
      </c>
      <c r="J208" s="48">
        <v>8.8800000000000004E-2</v>
      </c>
      <c r="K208" s="27">
        <v>5824318667</v>
      </c>
      <c r="L208" s="28">
        <f t="shared" si="129"/>
        <v>8.9882086621074567E-2</v>
      </c>
      <c r="M208" s="75">
        <v>156.66999999999999</v>
      </c>
      <c r="N208" s="75">
        <v>156.66999999999999</v>
      </c>
      <c r="O208" s="30">
        <v>723</v>
      </c>
      <c r="P208" s="48">
        <v>2.8E-3</v>
      </c>
      <c r="Q208" s="48">
        <v>9.1999999999999998E-2</v>
      </c>
      <c r="R208" s="55">
        <f t="shared" si="135"/>
        <v>-6.8201086742059134E-3</v>
      </c>
      <c r="S208" s="55">
        <f t="shared" si="136"/>
        <v>2.9447538569872577E-3</v>
      </c>
      <c r="T208" s="55">
        <f t="shared" si="132"/>
        <v>8.368200836820083E-3</v>
      </c>
      <c r="U208" s="55">
        <f t="shared" si="133"/>
        <v>9.9999999999999829E-5</v>
      </c>
      <c r="V208" s="56">
        <f t="shared" si="134"/>
        <v>3.1999999999999945E-3</v>
      </c>
    </row>
    <row r="209" spans="1:22">
      <c r="A209" s="170">
        <v>177</v>
      </c>
      <c r="B209" s="142" t="s">
        <v>236</v>
      </c>
      <c r="C209" s="143" t="s">
        <v>65</v>
      </c>
      <c r="D209" s="27">
        <v>683629177.10729098</v>
      </c>
      <c r="E209" s="28">
        <f t="shared" si="140"/>
        <v>1.0740107873374942E-2</v>
      </c>
      <c r="F209" s="33">
        <v>1273.97153219196</v>
      </c>
      <c r="G209" s="33">
        <v>1273.97153219196</v>
      </c>
      <c r="H209" s="30">
        <v>233</v>
      </c>
      <c r="I209" s="48">
        <v>0.11588549228701962</v>
      </c>
      <c r="J209" s="48">
        <v>0.12982918722021208</v>
      </c>
      <c r="K209" s="27">
        <v>676904742.22036004</v>
      </c>
      <c r="L209" s="28">
        <f t="shared" si="129"/>
        <v>1.0446133557078352E-2</v>
      </c>
      <c r="M209" s="33">
        <v>1276.9578081014799</v>
      </c>
      <c r="N209" s="33">
        <v>1276.9578081014799</v>
      </c>
      <c r="O209" s="30">
        <v>236</v>
      </c>
      <c r="P209" s="48">
        <v>0.12222640318448677</v>
      </c>
      <c r="Q209" s="48">
        <v>0.1298736575076439</v>
      </c>
      <c r="R209" s="55">
        <f t="shared" si="130"/>
        <v>-9.8363778377405144E-3</v>
      </c>
      <c r="S209" s="55">
        <f t="shared" si="131"/>
        <v>2.3440680062778285E-3</v>
      </c>
      <c r="T209" s="55">
        <f t="shared" si="132"/>
        <v>1.2875536480686695E-2</v>
      </c>
      <c r="U209" s="55">
        <f t="shared" si="133"/>
        <v>6.3409108974671474E-3</v>
      </c>
      <c r="V209" s="56">
        <f t="shared" si="134"/>
        <v>4.4470287431819244E-5</v>
      </c>
    </row>
    <row r="210" spans="1:22">
      <c r="A210" s="141">
        <v>178</v>
      </c>
      <c r="B210" s="142" t="s">
        <v>237</v>
      </c>
      <c r="C210" s="143" t="s">
        <v>228</v>
      </c>
      <c r="D210" s="27">
        <v>32070888272.599998</v>
      </c>
      <c r="E210" s="28">
        <f t="shared" si="140"/>
        <v>0.50384742368686386</v>
      </c>
      <c r="F210" s="33">
        <v>1253.4100000000001</v>
      </c>
      <c r="G210" s="33">
        <v>1253.4100000000001</v>
      </c>
      <c r="H210" s="30">
        <v>10727</v>
      </c>
      <c r="I210" s="48">
        <v>2.8999999999999998E-3</v>
      </c>
      <c r="J210" s="48">
        <v>7.9200000000000007E-2</v>
      </c>
      <c r="K210" s="27">
        <v>32186868261.52</v>
      </c>
      <c r="L210" s="28">
        <f t="shared" si="129"/>
        <v>0.49671438781923649</v>
      </c>
      <c r="M210" s="33">
        <v>1263.93</v>
      </c>
      <c r="N210" s="33">
        <v>1263.93</v>
      </c>
      <c r="O210" s="30">
        <v>10704</v>
      </c>
      <c r="P210" s="48">
        <v>8.3999999999999995E-3</v>
      </c>
      <c r="Q210" s="48">
        <v>8.7499999999999994E-2</v>
      </c>
      <c r="R210" s="55">
        <f t="shared" si="130"/>
        <v>3.6163634737579236E-3</v>
      </c>
      <c r="S210" s="55">
        <f t="shared" si="131"/>
        <v>8.3931036133427853E-3</v>
      </c>
      <c r="T210" s="55">
        <f t="shared" si="132"/>
        <v>-2.1441223081942761E-3</v>
      </c>
      <c r="U210" s="55">
        <f t="shared" si="133"/>
        <v>5.4999999999999997E-3</v>
      </c>
      <c r="V210" s="56">
        <f t="shared" si="134"/>
        <v>8.2999999999999879E-3</v>
      </c>
    </row>
    <row r="211" spans="1:22">
      <c r="A211" s="141">
        <v>179</v>
      </c>
      <c r="B211" s="142" t="s">
        <v>238</v>
      </c>
      <c r="C211" s="143" t="s">
        <v>239</v>
      </c>
      <c r="D211" s="27">
        <v>461118704.29000002</v>
      </c>
      <c r="E211" s="28">
        <f t="shared" si="140"/>
        <v>7.2443728154806724E-3</v>
      </c>
      <c r="F211" s="77">
        <v>123.74</v>
      </c>
      <c r="G211" s="77">
        <v>123.74</v>
      </c>
      <c r="H211" s="44">
        <v>142</v>
      </c>
      <c r="I211" s="48">
        <v>-4.3900000000000002E-2</v>
      </c>
      <c r="J211" s="48">
        <v>-2.3E-3</v>
      </c>
      <c r="K211" s="27">
        <v>471635321.82999998</v>
      </c>
      <c r="L211" s="28">
        <f t="shared" si="129"/>
        <v>7.278373535855579E-3</v>
      </c>
      <c r="M211" s="77">
        <v>126.49</v>
      </c>
      <c r="N211" s="77">
        <v>126.49</v>
      </c>
      <c r="O211" s="44">
        <v>142</v>
      </c>
      <c r="P211" s="48">
        <v>2.23E-2</v>
      </c>
      <c r="Q211" s="48">
        <v>1.9900000000000001E-2</v>
      </c>
      <c r="R211" s="55">
        <f t="shared" si="130"/>
        <v>2.2806746814126207E-2</v>
      </c>
      <c r="S211" s="55">
        <f t="shared" si="131"/>
        <v>2.2224018102472928E-2</v>
      </c>
      <c r="T211" s="55">
        <f t="shared" si="132"/>
        <v>0</v>
      </c>
      <c r="U211" s="55">
        <f t="shared" si="133"/>
        <v>6.6200000000000009E-2</v>
      </c>
      <c r="V211" s="56">
        <f t="shared" si="134"/>
        <v>2.2200000000000001E-2</v>
      </c>
    </row>
    <row r="212" spans="1:22">
      <c r="A212" s="141">
        <v>180</v>
      </c>
      <c r="B212" s="142" t="s">
        <v>240</v>
      </c>
      <c r="C212" s="143" t="s">
        <v>239</v>
      </c>
      <c r="D212" s="27">
        <v>267685458.63999999</v>
      </c>
      <c r="E212" s="28">
        <f t="shared" si="140"/>
        <v>4.2054534800468864E-3</v>
      </c>
      <c r="F212" s="77">
        <v>125.9</v>
      </c>
      <c r="G212" s="77">
        <v>125.9</v>
      </c>
      <c r="H212" s="44">
        <v>88</v>
      </c>
      <c r="I212" s="48">
        <v>3.3E-3</v>
      </c>
      <c r="J212" s="48">
        <v>0.12720000000000001</v>
      </c>
      <c r="K212" s="27">
        <v>297964342.55000001</v>
      </c>
      <c r="L212" s="28">
        <f t="shared" si="129"/>
        <v>4.5982471733239452E-3</v>
      </c>
      <c r="M212" s="77">
        <v>126.36</v>
      </c>
      <c r="N212" s="77">
        <v>126.36</v>
      </c>
      <c r="O212" s="44">
        <v>90</v>
      </c>
      <c r="P212" s="48">
        <v>3.5999999999999999E-3</v>
      </c>
      <c r="Q212" s="48">
        <v>0.1313</v>
      </c>
      <c r="R212" s="55">
        <f t="shared" si="130"/>
        <v>0.11311366730129689</v>
      </c>
      <c r="S212" s="55">
        <f t="shared" si="131"/>
        <v>3.6536934074661931E-3</v>
      </c>
      <c r="T212" s="55">
        <f t="shared" si="132"/>
        <v>2.2727272727272728E-2</v>
      </c>
      <c r="U212" s="55">
        <f t="shared" si="133"/>
        <v>2.9999999999999992E-4</v>
      </c>
      <c r="V212" s="56">
        <f t="shared" si="134"/>
        <v>4.0999999999999925E-3</v>
      </c>
    </row>
    <row r="213" spans="1:22" ht="13.5" customHeight="1">
      <c r="A213" s="141">
        <v>181</v>
      </c>
      <c r="B213" s="142" t="s">
        <v>241</v>
      </c>
      <c r="C213" s="143" t="s">
        <v>87</v>
      </c>
      <c r="D213" s="27">
        <v>1956883440</v>
      </c>
      <c r="E213" s="28">
        <f t="shared" si="140"/>
        <v>3.0743478986887278E-2</v>
      </c>
      <c r="F213" s="58">
        <v>104.66</v>
      </c>
      <c r="G213" s="58">
        <v>104.66</v>
      </c>
      <c r="H213" s="30">
        <v>650</v>
      </c>
      <c r="I213" s="48">
        <v>3.3999999999999998E-3</v>
      </c>
      <c r="J213" s="48">
        <v>0.14710000000000001</v>
      </c>
      <c r="K213" s="27">
        <v>1968878857</v>
      </c>
      <c r="L213" s="28">
        <f t="shared" si="129"/>
        <v>3.0384144496411754E-2</v>
      </c>
      <c r="M213" s="58">
        <v>104.99</v>
      </c>
      <c r="N213" s="58">
        <v>104.99</v>
      </c>
      <c r="O213" s="30">
        <v>652</v>
      </c>
      <c r="P213" s="48">
        <v>3.2000000000000002E-3</v>
      </c>
      <c r="Q213" s="48">
        <v>0.1479</v>
      </c>
      <c r="R213" s="55">
        <f t="shared" si="130"/>
        <v>6.129857688406827E-3</v>
      </c>
      <c r="S213" s="55">
        <f t="shared" si="131"/>
        <v>3.1530670743359288E-3</v>
      </c>
      <c r="T213" s="55">
        <f t="shared" si="132"/>
        <v>3.0769230769230769E-3</v>
      </c>
      <c r="U213" s="55">
        <f t="shared" si="133"/>
        <v>-1.9999999999999966E-4</v>
      </c>
      <c r="V213" s="56">
        <f t="shared" si="134"/>
        <v>7.9999999999999516E-4</v>
      </c>
    </row>
    <row r="214" spans="1:22" ht="15.75" customHeight="1">
      <c r="A214" s="141">
        <v>182</v>
      </c>
      <c r="B214" s="142" t="s">
        <v>242</v>
      </c>
      <c r="C214" s="143" t="s">
        <v>49</v>
      </c>
      <c r="D214" s="27">
        <v>5098166361.6499996</v>
      </c>
      <c r="E214" s="28">
        <f t="shared" si="140"/>
        <v>8.0094382326135027E-2</v>
      </c>
      <c r="F214" s="58">
        <v>138.28</v>
      </c>
      <c r="G214" s="58">
        <v>138.28</v>
      </c>
      <c r="H214" s="30">
        <v>1388</v>
      </c>
      <c r="I214" s="48">
        <v>1.8E-3</v>
      </c>
      <c r="J214" s="48">
        <v>2.9600000000000001E-2</v>
      </c>
      <c r="K214" s="27">
        <v>5084354349.7299995</v>
      </c>
      <c r="L214" s="28">
        <f t="shared" si="129"/>
        <v>7.8462804699190244E-2</v>
      </c>
      <c r="M214" s="58">
        <v>138.53</v>
      </c>
      <c r="N214" s="58">
        <v>138.53</v>
      </c>
      <c r="O214" s="30">
        <v>1400</v>
      </c>
      <c r="P214" s="48">
        <v>1.8E-3</v>
      </c>
      <c r="Q214" s="48">
        <v>3.15E-2</v>
      </c>
      <c r="R214" s="55">
        <f t="shared" si="130"/>
        <v>-2.7092116930311151E-3</v>
      </c>
      <c r="S214" s="55">
        <f t="shared" si="131"/>
        <v>1.8079259473531965E-3</v>
      </c>
      <c r="T214" s="55">
        <f t="shared" si="132"/>
        <v>8.6455331412103754E-3</v>
      </c>
      <c r="U214" s="55">
        <f t="shared" si="133"/>
        <v>0</v>
      </c>
      <c r="V214" s="56">
        <f t="shared" si="134"/>
        <v>1.8999999999999989E-3</v>
      </c>
    </row>
    <row r="215" spans="1:22">
      <c r="A215" s="141">
        <v>183</v>
      </c>
      <c r="B215" s="142" t="s">
        <v>243</v>
      </c>
      <c r="C215" s="143" t="s">
        <v>52</v>
      </c>
      <c r="D215" s="27">
        <v>4116511823.9000001</v>
      </c>
      <c r="E215" s="28">
        <f t="shared" si="140"/>
        <v>6.4672168086486889E-2</v>
      </c>
      <c r="F215" s="58">
        <v>1.1664000000000001</v>
      </c>
      <c r="G215" s="58">
        <v>1.1664000000000001</v>
      </c>
      <c r="H215" s="30">
        <v>1750</v>
      </c>
      <c r="I215" s="48">
        <v>0.1134</v>
      </c>
      <c r="J215" s="48">
        <v>0.10920000000000001</v>
      </c>
      <c r="K215" s="27">
        <v>4125648538.4299998</v>
      </c>
      <c r="L215" s="28">
        <f t="shared" si="129"/>
        <v>6.3667858937786884E-2</v>
      </c>
      <c r="M215" s="58">
        <v>1.1684000000000001</v>
      </c>
      <c r="N215" s="58">
        <v>1.1684000000000001</v>
      </c>
      <c r="O215" s="30">
        <v>1760</v>
      </c>
      <c r="P215" s="48">
        <v>9.3399999999999997E-2</v>
      </c>
      <c r="Q215" s="48">
        <v>0.10829999999999999</v>
      </c>
      <c r="R215" s="55">
        <f t="shared" si="130"/>
        <v>2.2195283096122804E-3</v>
      </c>
      <c r="S215" s="55">
        <f t="shared" si="131"/>
        <v>1.714677640603568E-3</v>
      </c>
      <c r="T215" s="55">
        <f t="shared" si="132"/>
        <v>5.7142857142857143E-3</v>
      </c>
      <c r="U215" s="55">
        <f t="shared" si="133"/>
        <v>-2.0000000000000004E-2</v>
      </c>
      <c r="V215" s="56">
        <f t="shared" si="134"/>
        <v>-9.000000000000119E-4</v>
      </c>
    </row>
    <row r="216" spans="1:22" ht="6" customHeight="1">
      <c r="A216" s="34"/>
      <c r="B216" s="179"/>
      <c r="C216" s="179"/>
      <c r="D216" s="179"/>
      <c r="E216" s="179"/>
      <c r="F216" s="179"/>
      <c r="G216" s="179"/>
      <c r="H216" s="179"/>
      <c r="I216" s="179"/>
      <c r="J216" s="179"/>
      <c r="K216" s="179"/>
      <c r="L216" s="179"/>
      <c r="M216" s="179"/>
      <c r="N216" s="179"/>
      <c r="O216" s="179"/>
      <c r="P216" s="179"/>
      <c r="Q216" s="179"/>
      <c r="R216" s="179"/>
      <c r="S216" s="179"/>
      <c r="T216" s="179"/>
      <c r="U216" s="179"/>
      <c r="V216" s="179"/>
    </row>
    <row r="217" spans="1:22">
      <c r="A217" s="180" t="s">
        <v>244</v>
      </c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  <c r="S217" s="180"/>
      <c r="T217" s="180"/>
      <c r="U217" s="180"/>
      <c r="V217" s="180"/>
    </row>
    <row r="218" spans="1:22">
      <c r="A218" s="141">
        <v>184</v>
      </c>
      <c r="B218" s="142" t="s">
        <v>313</v>
      </c>
      <c r="C218" s="143" t="s">
        <v>23</v>
      </c>
      <c r="D218" s="76">
        <v>1561021202.8299999</v>
      </c>
      <c r="E218" s="28">
        <f>(D218/$D$195)</f>
        <v>0.19396915571842949</v>
      </c>
      <c r="F218" s="75">
        <v>88.716399999999993</v>
      </c>
      <c r="G218" s="75">
        <v>91.391300000000001</v>
      </c>
      <c r="H218" s="32">
        <v>1933</v>
      </c>
      <c r="I218" s="49">
        <v>1.3187</v>
      </c>
      <c r="J218" s="49">
        <v>0.52059999999999995</v>
      </c>
      <c r="K218" s="76">
        <v>1738378573.21</v>
      </c>
      <c r="L218" s="52">
        <f>(K218/$K$195)</f>
        <v>0.20379199420790098</v>
      </c>
      <c r="M218" s="75">
        <v>92.566999999999993</v>
      </c>
      <c r="N218" s="75">
        <v>95.358000000000004</v>
      </c>
      <c r="O218" s="32">
        <v>2042</v>
      </c>
      <c r="P218" s="49">
        <v>2.2631999999999999</v>
      </c>
      <c r="Q218" s="49">
        <v>0.59970000000000001</v>
      </c>
      <c r="R218" s="55">
        <f>((K218-D218)/D218)</f>
        <v>0.11361624688919417</v>
      </c>
      <c r="S218" s="55">
        <f t="shared" ref="S218" si="141">((N218-G218)/G218)</f>
        <v>4.3403474947834232E-2</v>
      </c>
      <c r="T218" s="55">
        <f t="shared" ref="T218" si="142">((O218-H218)/H218)</f>
        <v>5.6389032591826177E-2</v>
      </c>
      <c r="U218" s="55">
        <f t="shared" ref="U218" si="143">P218-I218</f>
        <v>0.9444999999999999</v>
      </c>
      <c r="V218" s="56">
        <f t="shared" ref="V218" si="144">Q218-J218</f>
        <v>7.9100000000000059E-2</v>
      </c>
    </row>
    <row r="219" spans="1:22">
      <c r="A219" s="174">
        <v>185</v>
      </c>
      <c r="B219" s="142" t="s">
        <v>245</v>
      </c>
      <c r="C219" s="143" t="s">
        <v>228</v>
      </c>
      <c r="D219" s="27">
        <v>230673139.68000001</v>
      </c>
      <c r="E219" s="28">
        <f t="shared" ref="E219" si="145">(D219/$D$221)</f>
        <v>3.6239740587673398E-3</v>
      </c>
      <c r="F219" s="33">
        <v>1119.17</v>
      </c>
      <c r="G219" s="33">
        <v>1119.17</v>
      </c>
      <c r="H219" s="30">
        <v>136</v>
      </c>
      <c r="I219" s="48">
        <v>-3.0000000000000001E-3</v>
      </c>
      <c r="J219" s="48">
        <v>2.29E-2</v>
      </c>
      <c r="K219" s="27">
        <v>244241341.38999999</v>
      </c>
      <c r="L219" s="28">
        <f t="shared" ref="L219" si="146">(K219/$K$221)</f>
        <v>3.7691827419482479E-3</v>
      </c>
      <c r="M219" s="33">
        <v>1185</v>
      </c>
      <c r="N219" s="33">
        <v>1185</v>
      </c>
      <c r="O219" s="30">
        <v>142</v>
      </c>
      <c r="P219" s="48">
        <v>5.8799999999999998E-2</v>
      </c>
      <c r="Q219" s="48">
        <v>7.4800000000000005E-2</v>
      </c>
      <c r="R219" s="55">
        <f t="shared" ref="R219" si="147">((K219-D219)/D219)</f>
        <v>5.8820033094544033E-2</v>
      </c>
      <c r="S219" s="55">
        <f t="shared" ref="S219" si="148">((N219-G219)/G219)</f>
        <v>5.8820375814219394E-2</v>
      </c>
      <c r="T219" s="55">
        <f t="shared" ref="T219" si="149">((O219-H219)/H219)</f>
        <v>4.4117647058823532E-2</v>
      </c>
      <c r="U219" s="55">
        <f t="shared" ref="U219" si="150">P219-I219</f>
        <v>6.1800000000000001E-2</v>
      </c>
      <c r="V219" s="56">
        <f t="shared" ref="V219" si="151">Q219-J219</f>
        <v>5.1900000000000002E-2</v>
      </c>
    </row>
    <row r="220" spans="1:22">
      <c r="A220" s="174">
        <v>186</v>
      </c>
      <c r="B220" s="142" t="s">
        <v>290</v>
      </c>
      <c r="C220" s="143" t="s">
        <v>291</v>
      </c>
      <c r="D220" s="27">
        <v>85525430.799999997</v>
      </c>
      <c r="E220" s="28">
        <f t="shared" ref="E220" si="152">(D220/$D$221)</f>
        <v>1.3436412363141475E-3</v>
      </c>
      <c r="F220" s="33">
        <v>106.02</v>
      </c>
      <c r="G220" s="33">
        <v>108.2</v>
      </c>
      <c r="H220" s="30">
        <v>222</v>
      </c>
      <c r="I220" s="48">
        <v>3.2000000000000002E-3</v>
      </c>
      <c r="J220" s="48">
        <v>4.0599999999999997E-2</v>
      </c>
      <c r="K220" s="27">
        <v>86609777.390000001</v>
      </c>
      <c r="L220" s="28">
        <f t="shared" ref="L220" si="153">(K220/$K$221)</f>
        <v>1.3365799432828263E-3</v>
      </c>
      <c r="M220" s="33">
        <v>106.32</v>
      </c>
      <c r="N220" s="33">
        <v>108.25</v>
      </c>
      <c r="O220" s="30">
        <v>227</v>
      </c>
      <c r="P220" s="48">
        <v>2.8900000000000002E-3</v>
      </c>
      <c r="Q220" s="48">
        <v>4.3099999999999999E-2</v>
      </c>
      <c r="R220" s="55">
        <f t="shared" ref="R220" si="154">((K220-D220)/D220)</f>
        <v>1.2678645168543291E-2</v>
      </c>
      <c r="S220" s="55">
        <f t="shared" ref="S220" si="155">((N220-G220)/G220)</f>
        <v>4.6210720887243211E-4</v>
      </c>
      <c r="T220" s="55">
        <f t="shared" ref="T220" si="156">((O220-H220)/H220)</f>
        <v>2.2522522522522521E-2</v>
      </c>
      <c r="U220" s="55">
        <f t="shared" ref="U220" si="157">P220-I220</f>
        <v>-3.0999999999999995E-4</v>
      </c>
      <c r="V220" s="56">
        <f t="shared" ref="V220" si="158">Q220-J220</f>
        <v>2.5000000000000022E-3</v>
      </c>
    </row>
    <row r="221" spans="1:22">
      <c r="A221" s="34"/>
      <c r="B221" s="35"/>
      <c r="C221" s="69" t="s">
        <v>53</v>
      </c>
      <c r="D221" s="46">
        <f>SUM(D199:D220)</f>
        <v>63651984241.427292</v>
      </c>
      <c r="E221" s="38">
        <f>(D221/$D$222)</f>
        <v>1.0332843961702223E-2</v>
      </c>
      <c r="F221" s="39"/>
      <c r="G221" s="72"/>
      <c r="H221" s="82">
        <f>SUM(H199:H220)</f>
        <v>35166</v>
      </c>
      <c r="I221" s="79"/>
      <c r="J221" s="79"/>
      <c r="K221" s="46">
        <f>SUM(K199:K220)</f>
        <v>64799548897.370361</v>
      </c>
      <c r="L221" s="38">
        <f>(K221/$K$222)</f>
        <v>1.0317892375504558E-2</v>
      </c>
      <c r="M221" s="39"/>
      <c r="N221" s="72"/>
      <c r="O221" s="41">
        <f>SUM(O199:O220)</f>
        <v>35411</v>
      </c>
      <c r="P221" s="79"/>
      <c r="Q221" s="79"/>
      <c r="R221" s="55">
        <f t="shared" si="130"/>
        <v>1.802873342628945E-2</v>
      </c>
      <c r="S221" s="55" t="e">
        <f t="shared" si="131"/>
        <v>#DIV/0!</v>
      </c>
      <c r="T221" s="55">
        <f t="shared" si="132"/>
        <v>6.9669567195586642E-3</v>
      </c>
      <c r="U221" s="55">
        <f t="shared" si="133"/>
        <v>0</v>
      </c>
      <c r="V221" s="56">
        <f t="shared" si="134"/>
        <v>0</v>
      </c>
    </row>
    <row r="222" spans="1:22">
      <c r="A222" s="83"/>
      <c r="B222" s="83"/>
      <c r="C222" s="84" t="s">
        <v>246</v>
      </c>
      <c r="D222" s="85">
        <f>SUM(D25,D69,D110,D150,D159,D190,D195,D221)</f>
        <v>6160161178988.8408</v>
      </c>
      <c r="E222" s="86"/>
      <c r="F222" s="86"/>
      <c r="G222" s="87"/>
      <c r="H222" s="85">
        <f>SUM(H25,H69,H110,H150,H159,H190,H195,H221)</f>
        <v>934515</v>
      </c>
      <c r="I222" s="109"/>
      <c r="J222" s="109"/>
      <c r="K222" s="85">
        <f>SUM(K25,K69,K110,K150,K159,K190,K195,K221)</f>
        <v>6280308665673.7471</v>
      </c>
      <c r="L222" s="86"/>
      <c r="M222" s="86"/>
      <c r="N222" s="87"/>
      <c r="O222" s="85">
        <f>SUM(O25,O69,O110,O150,O159,O190,O195,O221)</f>
        <v>941112</v>
      </c>
      <c r="P222" s="110"/>
      <c r="Q222" s="85"/>
      <c r="R222" s="116">
        <f t="shared" si="130"/>
        <v>1.950395179507752E-2</v>
      </c>
      <c r="S222" s="116"/>
      <c r="T222" s="116"/>
      <c r="U222" s="116"/>
      <c r="V222" s="116"/>
    </row>
    <row r="223" spans="1:22" ht="6.75" customHeight="1">
      <c r="A223" s="34"/>
      <c r="B223" s="179"/>
      <c r="C223" s="179"/>
      <c r="D223" s="179"/>
      <c r="E223" s="179"/>
      <c r="F223" s="179"/>
      <c r="G223" s="179"/>
      <c r="H223" s="179"/>
      <c r="I223" s="179"/>
      <c r="J223" s="179"/>
      <c r="K223" s="179"/>
      <c r="L223" s="179"/>
      <c r="M223" s="179"/>
      <c r="N223" s="179"/>
      <c r="O223" s="179"/>
      <c r="P223" s="179"/>
      <c r="Q223" s="179"/>
      <c r="R223" s="179"/>
      <c r="S223" s="179"/>
      <c r="T223" s="179"/>
      <c r="U223" s="179"/>
      <c r="V223" s="35"/>
    </row>
    <row r="224" spans="1:22" ht="14.4" customHeight="1">
      <c r="A224" s="177" t="s">
        <v>247</v>
      </c>
      <c r="B224" s="177"/>
      <c r="C224" s="177"/>
      <c r="D224" s="177"/>
      <c r="E224" s="177"/>
      <c r="F224" s="177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</row>
    <row r="225" spans="1:22" ht="14.4" customHeight="1">
      <c r="A225" s="141">
        <v>1</v>
      </c>
      <c r="B225" s="142" t="s">
        <v>312</v>
      </c>
      <c r="C225" s="143" t="s">
        <v>23</v>
      </c>
      <c r="D225" s="27">
        <f>1174841.22*1531.3634</f>
        <v>1799108845.1193478</v>
      </c>
      <c r="E225" s="28">
        <f t="shared" ref="E225:E228" si="159">(D225/$D$221)</f>
        <v>2.8264772364290487E-2</v>
      </c>
      <c r="F225" s="33">
        <f>1.01*1531.3634</f>
        <v>1546.677034</v>
      </c>
      <c r="G225" s="33">
        <f>1.01*1531.3634</f>
        <v>1546.677034</v>
      </c>
      <c r="H225" s="30">
        <v>46</v>
      </c>
      <c r="I225" s="48">
        <v>5.6899999999999999E-2</v>
      </c>
      <c r="J225" s="48">
        <v>3.6499999999999998E-2</v>
      </c>
      <c r="K225" s="27">
        <f>1179993.63*1532.0928</f>
        <v>1807859744.5688636</v>
      </c>
      <c r="L225" s="28">
        <f>(K225/$K$230)</f>
        <v>9.9199739956936372E-2</v>
      </c>
      <c r="M225" s="33">
        <f>1.011*1532.0928</f>
        <v>1548.9458207999996</v>
      </c>
      <c r="N225" s="33">
        <f>1.011*1532.0928</f>
        <v>1548.9458207999996</v>
      </c>
      <c r="O225" s="30">
        <v>47</v>
      </c>
      <c r="P225" s="48">
        <v>5.16E-2</v>
      </c>
      <c r="Q225" s="48">
        <v>3.7499999999999999E-2</v>
      </c>
      <c r="R225" s="55">
        <f t="shared" ref="R225" si="160">((K225-D225)/D225)</f>
        <v>4.8640189131721545E-3</v>
      </c>
      <c r="S225" s="55">
        <f t="shared" ref="S225" si="161">((N225-G225)/G225)</f>
        <v>1.46687818473135E-3</v>
      </c>
      <c r="T225" s="55">
        <f t="shared" ref="T225" si="162">((O225-H225)/H225)</f>
        <v>2.1739130434782608E-2</v>
      </c>
      <c r="U225" s="55">
        <f t="shared" ref="U225" si="163">P225-I225</f>
        <v>-5.2999999999999992E-3</v>
      </c>
      <c r="V225" s="56">
        <f t="shared" ref="V225" si="164">Q225-J225</f>
        <v>1.0000000000000009E-3</v>
      </c>
    </row>
    <row r="226" spans="1:22" ht="14.4" customHeight="1">
      <c r="A226" s="141">
        <v>2</v>
      </c>
      <c r="B226" s="142" t="s">
        <v>248</v>
      </c>
      <c r="C226" s="143" t="s">
        <v>186</v>
      </c>
      <c r="D226" s="27">
        <v>4386451547.961833</v>
      </c>
      <c r="E226" s="28">
        <f t="shared" ref="E226" si="165">(D226/$D$221)</f>
        <v>6.8913037044129613E-2</v>
      </c>
      <c r="F226" s="33">
        <v>123.2</v>
      </c>
      <c r="G226" s="33">
        <v>123.2</v>
      </c>
      <c r="H226" s="30">
        <v>9</v>
      </c>
      <c r="I226" s="48">
        <v>0.26779628437339809</v>
      </c>
      <c r="J226" s="48">
        <v>0.26351335130036024</v>
      </c>
      <c r="K226" s="27">
        <v>4408086046.4902029</v>
      </c>
      <c r="L226" s="28">
        <f>(K226/$K$230)</f>
        <v>0.24187771802170976</v>
      </c>
      <c r="M226" s="33">
        <v>123.2</v>
      </c>
      <c r="N226" s="33">
        <v>123.2</v>
      </c>
      <c r="O226" s="30">
        <v>9</v>
      </c>
      <c r="P226" s="48">
        <v>0.26723935578417335</v>
      </c>
      <c r="Q226" s="48">
        <v>0.2658180671310556</v>
      </c>
      <c r="R226" s="55">
        <f t="shared" ref="R226" si="166">((K226-D226)/D226)</f>
        <v>4.9321184314511319E-3</v>
      </c>
      <c r="S226" s="55">
        <f t="shared" ref="S226" si="167">((N226-G226)/G226)</f>
        <v>0</v>
      </c>
      <c r="T226" s="55">
        <f t="shared" ref="T226" si="168">((O226-H226)/H226)</f>
        <v>0</v>
      </c>
      <c r="U226" s="55">
        <f t="shared" ref="U226" si="169">P226-I226</f>
        <v>-5.5692858922473665E-4</v>
      </c>
      <c r="V226" s="56">
        <f t="shared" ref="V226" si="170">Q226-J226</f>
        <v>2.3047158306953586E-3</v>
      </c>
    </row>
    <row r="227" spans="1:22" ht="14.4" customHeight="1">
      <c r="A227" s="141">
        <v>3</v>
      </c>
      <c r="B227" s="142" t="s">
        <v>310</v>
      </c>
      <c r="C227" s="143" t="s">
        <v>31</v>
      </c>
      <c r="D227" s="27">
        <f>373880.92*1537.25</f>
        <v>574748444.26999998</v>
      </c>
      <c r="E227" s="28">
        <f t="shared" si="159"/>
        <v>9.0295448149742101E-3</v>
      </c>
      <c r="F227" s="33">
        <f>103.43*1537.25</f>
        <v>158997.76750000002</v>
      </c>
      <c r="G227" s="33">
        <f>103.43*1537.25</f>
        <v>158997.76750000002</v>
      </c>
      <c r="H227" s="30">
        <v>4</v>
      </c>
      <c r="I227" s="48">
        <v>4.1999999999999997E-3</v>
      </c>
      <c r="J227" s="48">
        <v>3.4299999999999997E-2</v>
      </c>
      <c r="K227" s="27">
        <f>374854.81*1534.83</f>
        <v>575338408.0323</v>
      </c>
      <c r="L227" s="28">
        <f>(K227/$K$230)</f>
        <v>3.1569606345570086E-2</v>
      </c>
      <c r="M227" s="33">
        <f>103.7*1534.83</f>
        <v>159161.87099999998</v>
      </c>
      <c r="N227" s="33">
        <f>103.7*1534.83</f>
        <v>159161.87099999998</v>
      </c>
      <c r="O227" s="30">
        <v>4</v>
      </c>
      <c r="P227" s="48">
        <v>2.5999999999999999E-3</v>
      </c>
      <c r="Q227" s="48">
        <v>3.6999999999999998E-2</v>
      </c>
      <c r="R227" s="55">
        <f t="shared" ref="R227:R228" si="171">((K227-D227)/D227)</f>
        <v>1.0264730042885803E-3</v>
      </c>
      <c r="S227" s="55">
        <f t="shared" ref="S227:S228" si="172">((N227-G227)/G227)</f>
        <v>1.0321119760374517E-3</v>
      </c>
      <c r="T227" s="55">
        <f t="shared" ref="T227:T228" si="173">((O227-H227)/H227)</f>
        <v>0</v>
      </c>
      <c r="U227" s="55">
        <f t="shared" ref="U227:U228" si="174">P227-I227</f>
        <v>-1.5999999999999999E-3</v>
      </c>
      <c r="V227" s="56">
        <f t="shared" ref="V227:V228" si="175">Q227-J227</f>
        <v>2.700000000000001E-3</v>
      </c>
    </row>
    <row r="228" spans="1:22" ht="14.4" customHeight="1">
      <c r="A228" s="141">
        <v>4</v>
      </c>
      <c r="B228" s="142" t="s">
        <v>297</v>
      </c>
      <c r="C228" s="143" t="s">
        <v>41</v>
      </c>
      <c r="D228" s="27">
        <v>11250384608.799999</v>
      </c>
      <c r="E228" s="28">
        <f t="shared" si="159"/>
        <v>0.17674837230726567</v>
      </c>
      <c r="F228" s="33">
        <v>1.17</v>
      </c>
      <c r="G228" s="33">
        <v>1.17</v>
      </c>
      <c r="H228" s="30">
        <v>16</v>
      </c>
      <c r="I228" s="48">
        <v>3.7000000000000002E-3</v>
      </c>
      <c r="J228" s="48">
        <v>0.21840000000000001</v>
      </c>
      <c r="K228" s="27">
        <v>11301780117.309999</v>
      </c>
      <c r="L228" s="28">
        <f>(K228/$K$230)</f>
        <v>0.62014415225280239</v>
      </c>
      <c r="M228" s="33">
        <v>1.17</v>
      </c>
      <c r="N228" s="33">
        <v>1.17</v>
      </c>
      <c r="O228" s="30">
        <v>16</v>
      </c>
      <c r="P228" s="48">
        <v>4.1999999999999997E-3</v>
      </c>
      <c r="Q228" s="48">
        <v>0.21929999999999999</v>
      </c>
      <c r="R228" s="55">
        <f t="shared" si="171"/>
        <v>4.5683334656664888E-3</v>
      </c>
      <c r="S228" s="55">
        <f t="shared" si="172"/>
        <v>0</v>
      </c>
      <c r="T228" s="55">
        <f t="shared" si="173"/>
        <v>0</v>
      </c>
      <c r="U228" s="55">
        <f t="shared" si="174"/>
        <v>4.9999999999999958E-4</v>
      </c>
      <c r="V228" s="56">
        <f t="shared" si="175"/>
        <v>8.9999999999998415E-4</v>
      </c>
    </row>
    <row r="229" spans="1:22" ht="14.4" customHeight="1">
      <c r="A229" s="141">
        <v>5</v>
      </c>
      <c r="B229" s="142" t="s">
        <v>315</v>
      </c>
      <c r="C229" s="143" t="s">
        <v>52</v>
      </c>
      <c r="D229" s="27">
        <v>128647551.90000001</v>
      </c>
      <c r="E229" s="28">
        <f t="shared" ref="E229" si="176">(D229/$D$221)</f>
        <v>2.0211082723210843E-3</v>
      </c>
      <c r="F229" s="33">
        <v>1.0765</v>
      </c>
      <c r="G229" s="33">
        <v>1.0765</v>
      </c>
      <c r="H229" s="30">
        <v>12</v>
      </c>
      <c r="I229" s="48">
        <v>1.01E-2</v>
      </c>
      <c r="J229" s="48">
        <v>7.6499999999999999E-2</v>
      </c>
      <c r="K229" s="27">
        <v>131376043.56</v>
      </c>
      <c r="L229" s="28">
        <f>(K229/$K$230)</f>
        <v>7.2087834229812523E-3</v>
      </c>
      <c r="M229" s="33">
        <v>1.0993999999999999</v>
      </c>
      <c r="N229" s="33">
        <v>1.0993999999999999</v>
      </c>
      <c r="O229" s="30">
        <v>12</v>
      </c>
      <c r="P229" s="48">
        <v>2.12E-2</v>
      </c>
      <c r="Q229" s="48">
        <v>9.9400000000000002E-2</v>
      </c>
      <c r="R229" s="55">
        <f t="shared" ref="R229:R230" si="177">((K229-D229)/D229)</f>
        <v>2.1209044553921249E-2</v>
      </c>
      <c r="S229" s="55">
        <f t="shared" ref="S229" si="178">((N229-G229)/G229)</f>
        <v>2.1272642823966483E-2</v>
      </c>
      <c r="T229" s="55">
        <f t="shared" ref="T229" si="179">((O229-H229)/H229)</f>
        <v>0</v>
      </c>
      <c r="U229" s="55">
        <f t="shared" ref="U229" si="180">P229-I229</f>
        <v>1.11E-2</v>
      </c>
      <c r="V229" s="56">
        <f t="shared" ref="V229" si="181">Q229-J229</f>
        <v>2.2900000000000004E-2</v>
      </c>
    </row>
    <row r="230" spans="1:22" ht="14.4" customHeight="1">
      <c r="A230" s="88"/>
      <c r="B230" s="88"/>
      <c r="C230" s="88" t="s">
        <v>53</v>
      </c>
      <c r="D230" s="88">
        <f>SUM(D225:D229)</f>
        <v>18139340998.051182</v>
      </c>
      <c r="E230" s="88"/>
      <c r="F230" s="88"/>
      <c r="G230" s="88"/>
      <c r="H230" s="88">
        <f>SUM(H225:H229)</f>
        <v>87</v>
      </c>
      <c r="I230" s="88"/>
      <c r="J230" s="88"/>
      <c r="K230" s="88">
        <f>SUM(K225:K229)</f>
        <v>18224440359.961369</v>
      </c>
      <c r="L230" s="38"/>
      <c r="M230" s="88"/>
      <c r="N230" s="88"/>
      <c r="O230" s="88">
        <f>SUM(O225:O229)</f>
        <v>88</v>
      </c>
      <c r="P230" s="88"/>
      <c r="Q230" s="88"/>
      <c r="R230" s="116">
        <f t="shared" si="177"/>
        <v>4.6914252242862354E-3</v>
      </c>
      <c r="S230" s="88"/>
      <c r="T230" s="88"/>
      <c r="U230" s="88"/>
      <c r="V230" s="88"/>
    </row>
    <row r="231" spans="1:22" ht="6" customHeight="1">
      <c r="A231" s="34"/>
      <c r="B231" s="131"/>
      <c r="C231" s="69"/>
      <c r="D231" s="131"/>
      <c r="E231" s="131"/>
      <c r="F231" s="131"/>
      <c r="G231" s="131"/>
      <c r="H231" s="131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35"/>
    </row>
    <row r="232" spans="1:22" ht="15.6">
      <c r="A232" s="177" t="s">
        <v>249</v>
      </c>
      <c r="B232" s="177"/>
      <c r="C232" s="177"/>
      <c r="D232" s="177"/>
      <c r="E232" s="177"/>
      <c r="F232" s="177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</row>
    <row r="233" spans="1:22">
      <c r="A233" s="141">
        <v>1</v>
      </c>
      <c r="B233" s="142" t="s">
        <v>250</v>
      </c>
      <c r="C233" s="143" t="s">
        <v>251</v>
      </c>
      <c r="D233" s="27">
        <v>114390469985</v>
      </c>
      <c r="E233" s="28">
        <f>(D233/$D$235)</f>
        <v>0.88898631935245487</v>
      </c>
      <c r="F233" s="58">
        <v>108.35</v>
      </c>
      <c r="G233" s="58">
        <v>108.35</v>
      </c>
      <c r="H233" s="30">
        <v>0</v>
      </c>
      <c r="I233" s="48">
        <v>0.23899999999999999</v>
      </c>
      <c r="J233" s="48">
        <v>0.23899999999999999</v>
      </c>
      <c r="K233" s="27">
        <v>114390469985</v>
      </c>
      <c r="L233" s="28">
        <f>(K233/$K$235)</f>
        <v>0.88870319099722261</v>
      </c>
      <c r="M233" s="58">
        <v>108.35</v>
      </c>
      <c r="N233" s="58">
        <v>108.35</v>
      </c>
      <c r="O233" s="30">
        <v>0</v>
      </c>
      <c r="P233" s="48">
        <v>0.23899999999999999</v>
      </c>
      <c r="Q233" s="48">
        <v>0.23899999999999999</v>
      </c>
      <c r="R233" s="55">
        <f>((K233-D233)/D233)</f>
        <v>0</v>
      </c>
      <c r="S233" s="55">
        <f>((N233-G233)/G233)</f>
        <v>0</v>
      </c>
      <c r="T233" s="55" t="e">
        <f>((O233-H233)/H233)</f>
        <v>#DIV/0!</v>
      </c>
      <c r="U233" s="55">
        <f>P233-I233</f>
        <v>0</v>
      </c>
      <c r="V233" s="56">
        <f>Q233-J233</f>
        <v>0</v>
      </c>
    </row>
    <row r="234" spans="1:22" ht="14.4" customHeight="1">
      <c r="A234" s="141">
        <v>2</v>
      </c>
      <c r="B234" s="142" t="s">
        <v>252</v>
      </c>
      <c r="C234" s="143" t="s">
        <v>52</v>
      </c>
      <c r="D234" s="27">
        <v>14284704755.959999</v>
      </c>
      <c r="E234" s="28">
        <f>(D234/$D$235)</f>
        <v>0.11101368064754513</v>
      </c>
      <c r="F234" s="89">
        <v>1000000</v>
      </c>
      <c r="G234" s="89">
        <v>1000000</v>
      </c>
      <c r="H234" s="30">
        <v>26</v>
      </c>
      <c r="I234" s="48">
        <v>0.2215</v>
      </c>
      <c r="J234" s="48">
        <v>0.2215</v>
      </c>
      <c r="K234" s="27">
        <v>14325698859.450001</v>
      </c>
      <c r="L234" s="28">
        <f>(K234/$K$235)</f>
        <v>0.11129680900277741</v>
      </c>
      <c r="M234" s="89">
        <v>1000000</v>
      </c>
      <c r="N234" s="89">
        <v>1000000</v>
      </c>
      <c r="O234" s="30">
        <v>26</v>
      </c>
      <c r="P234" s="48">
        <v>0.2198</v>
      </c>
      <c r="Q234" s="48">
        <v>0.2198</v>
      </c>
      <c r="R234" s="55">
        <f>((K234-D234)/D234)</f>
        <v>2.8697900439907751E-3</v>
      </c>
      <c r="S234" s="55">
        <f>((N234-G234)/G234)</f>
        <v>0</v>
      </c>
      <c r="T234" s="55">
        <f>((O234-H234)/H234)</f>
        <v>0</v>
      </c>
      <c r="U234" s="55">
        <f>P234-I234</f>
        <v>-1.7000000000000071E-3</v>
      </c>
      <c r="V234" s="56">
        <f>Q234-J234</f>
        <v>-1.7000000000000071E-3</v>
      </c>
    </row>
    <row r="235" spans="1:22" ht="15" customHeight="1">
      <c r="A235" s="83"/>
      <c r="B235" s="83"/>
      <c r="C235" s="84" t="s">
        <v>253</v>
      </c>
      <c r="D235" s="88">
        <f>SUM(D233:D234)</f>
        <v>128675174740.95999</v>
      </c>
      <c r="E235" s="90"/>
      <c r="F235" s="91"/>
      <c r="G235" s="91"/>
      <c r="H235" s="88">
        <f>SUM(H233:H234)</f>
        <v>26</v>
      </c>
      <c r="I235" s="111"/>
      <c r="J235" s="111"/>
      <c r="K235" s="88">
        <f>SUM(K233:K234)</f>
        <v>128716168844.45</v>
      </c>
      <c r="L235" s="90"/>
      <c r="M235" s="91"/>
      <c r="N235" s="91"/>
      <c r="O235" s="88">
        <f>SUM(O233:O234)</f>
        <v>26</v>
      </c>
      <c r="P235" s="111"/>
      <c r="Q235" s="88"/>
      <c r="R235" s="116">
        <f>((K235-D235)/D235)</f>
        <v>3.1858595546912605E-4</v>
      </c>
      <c r="S235" s="117"/>
      <c r="T235" s="117"/>
      <c r="U235" s="116"/>
      <c r="V235" s="118"/>
    </row>
    <row r="236" spans="1:22" ht="4.5" customHeight="1">
      <c r="A236" s="34"/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</row>
    <row r="237" spans="1:22" ht="15.6">
      <c r="A237" s="177" t="s">
        <v>254</v>
      </c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</row>
    <row r="238" spans="1:22">
      <c r="A238" s="141">
        <v>1</v>
      </c>
      <c r="B238" s="142" t="s">
        <v>255</v>
      </c>
      <c r="C238" s="143" t="s">
        <v>80</v>
      </c>
      <c r="D238" s="92">
        <v>1269439722.3499999</v>
      </c>
      <c r="E238" s="93">
        <f t="shared" ref="E238:E249" si="182">(D238/$D$250)</f>
        <v>7.7872367811318219E-2</v>
      </c>
      <c r="F238" s="89">
        <v>310.17799181999999</v>
      </c>
      <c r="G238" s="89">
        <v>310.17799181999999</v>
      </c>
      <c r="H238" s="94">
        <v>266</v>
      </c>
      <c r="I238" s="50">
        <v>2.5329000000000001E-2</v>
      </c>
      <c r="J238" s="50">
        <v>0.272119</v>
      </c>
      <c r="K238" s="92">
        <v>1350488802.8499999</v>
      </c>
      <c r="L238" s="93">
        <f t="shared" ref="L238:L249" si="183">(K238/$K$250)</f>
        <v>7.8913382767934206E-2</v>
      </c>
      <c r="M238" s="89">
        <v>329.98172144</v>
      </c>
      <c r="N238" s="89">
        <v>329.98172144</v>
      </c>
      <c r="O238" s="94">
        <v>266</v>
      </c>
      <c r="P238" s="50">
        <v>6.3974000000000003E-2</v>
      </c>
      <c r="Q238" s="50">
        <v>0.35333900000000001</v>
      </c>
      <c r="R238" s="55">
        <f>((K238-D238)/D238)</f>
        <v>6.384634029724634E-2</v>
      </c>
      <c r="S238" s="55">
        <f>((N238-G238)/G238)</f>
        <v>6.3846340302223484E-2</v>
      </c>
      <c r="T238" s="55">
        <f>((O238-H238)/H238)</f>
        <v>0</v>
      </c>
      <c r="U238" s="55">
        <f>P238-I238</f>
        <v>3.8644999999999999E-2</v>
      </c>
      <c r="V238" s="56">
        <f>Q238-J238</f>
        <v>8.1220000000000014E-2</v>
      </c>
    </row>
    <row r="239" spans="1:22">
      <c r="A239" s="141">
        <v>2</v>
      </c>
      <c r="B239" s="142" t="s">
        <v>256</v>
      </c>
      <c r="C239" s="143" t="s">
        <v>228</v>
      </c>
      <c r="D239" s="92">
        <v>1652274240.5799999</v>
      </c>
      <c r="E239" s="93">
        <f t="shared" si="182"/>
        <v>0.1013569255178367</v>
      </c>
      <c r="F239" s="89">
        <v>47</v>
      </c>
      <c r="G239" s="89">
        <v>51.94</v>
      </c>
      <c r="H239" s="94">
        <v>230</v>
      </c>
      <c r="I239" s="50">
        <v>2.9499999999999998E-2</v>
      </c>
      <c r="J239" s="50">
        <v>0.53300000000000003</v>
      </c>
      <c r="K239" s="92">
        <v>1781345546.3199999</v>
      </c>
      <c r="L239" s="93">
        <f t="shared" si="183"/>
        <v>0.10408972117506589</v>
      </c>
      <c r="M239" s="89">
        <v>50.67</v>
      </c>
      <c r="N239" s="89">
        <v>56</v>
      </c>
      <c r="O239" s="94">
        <v>230</v>
      </c>
      <c r="P239" s="50">
        <v>7.8100000000000003E-2</v>
      </c>
      <c r="Q239" s="50">
        <v>0.65269999999999995</v>
      </c>
      <c r="R239" s="55">
        <f t="shared" ref="R239:R250" si="184">((K239-D239)/D239)</f>
        <v>7.8117362463202195E-2</v>
      </c>
      <c r="S239" s="55">
        <f t="shared" ref="S239:S250" si="185">((N239-G239)/G239)</f>
        <v>7.8167115902965004E-2</v>
      </c>
      <c r="T239" s="55">
        <f t="shared" ref="T239:T250" si="186">((O239-H239)/H239)</f>
        <v>0</v>
      </c>
      <c r="U239" s="55">
        <f t="shared" ref="U239:U250" si="187">P239-I239</f>
        <v>4.8600000000000004E-2</v>
      </c>
      <c r="V239" s="56">
        <f t="shared" ref="V239:V250" si="188">Q239-J239</f>
        <v>0.11969999999999992</v>
      </c>
    </row>
    <row r="240" spans="1:22">
      <c r="A240" s="141">
        <v>3</v>
      </c>
      <c r="B240" s="142" t="s">
        <v>257</v>
      </c>
      <c r="C240" s="143" t="s">
        <v>43</v>
      </c>
      <c r="D240" s="92">
        <v>517856378.02000004</v>
      </c>
      <c r="E240" s="93">
        <f t="shared" si="182"/>
        <v>3.1767323514941923E-2</v>
      </c>
      <c r="F240" s="89">
        <v>38.637650000000001</v>
      </c>
      <c r="G240" s="89">
        <v>39.073135000000001</v>
      </c>
      <c r="H240" s="94">
        <v>195</v>
      </c>
      <c r="I240" s="50">
        <v>4.2999999999999997E-2</v>
      </c>
      <c r="J240" s="50">
        <v>0.35110000000000002</v>
      </c>
      <c r="K240" s="92">
        <v>551726058.57000005</v>
      </c>
      <c r="L240" s="93">
        <f t="shared" si="183"/>
        <v>3.2239119310798148E-2</v>
      </c>
      <c r="M240" s="89">
        <v>41.164690999999998</v>
      </c>
      <c r="N240" s="89">
        <v>41.627729000000002</v>
      </c>
      <c r="O240" s="94">
        <v>195</v>
      </c>
      <c r="P240" s="50">
        <v>6.54E-2</v>
      </c>
      <c r="Q240" s="50">
        <v>0.4395</v>
      </c>
      <c r="R240" s="55">
        <f t="shared" si="184"/>
        <v>6.5403617658431029E-2</v>
      </c>
      <c r="S240" s="55">
        <f t="shared" si="185"/>
        <v>6.5379806355440939E-2</v>
      </c>
      <c r="T240" s="55">
        <f t="shared" si="186"/>
        <v>0</v>
      </c>
      <c r="U240" s="55">
        <f t="shared" si="187"/>
        <v>2.2400000000000003E-2</v>
      </c>
      <c r="V240" s="56">
        <f t="shared" si="188"/>
        <v>8.8399999999999979E-2</v>
      </c>
    </row>
    <row r="241" spans="1:26">
      <c r="A241" s="141">
        <v>4</v>
      </c>
      <c r="B241" s="142" t="s">
        <v>258</v>
      </c>
      <c r="C241" s="143" t="s">
        <v>43</v>
      </c>
      <c r="D241" s="92">
        <v>1160548733.53</v>
      </c>
      <c r="E241" s="93">
        <f t="shared" si="182"/>
        <v>7.1192571218037168E-2</v>
      </c>
      <c r="F241" s="89">
        <v>87.085830000000001</v>
      </c>
      <c r="G241" s="89">
        <v>87.636206999999999</v>
      </c>
      <c r="H241" s="94">
        <v>230</v>
      </c>
      <c r="I241" s="50">
        <v>2.9399999999999999E-2</v>
      </c>
      <c r="J241" s="50">
        <v>0.31280000000000002</v>
      </c>
      <c r="K241" s="92">
        <v>1216855530.5100002</v>
      </c>
      <c r="L241" s="93">
        <f t="shared" si="183"/>
        <v>7.1104762993787665E-2</v>
      </c>
      <c r="M241" s="89">
        <v>91.311006000000006</v>
      </c>
      <c r="N241" s="89">
        <v>91.881473999999997</v>
      </c>
      <c r="O241" s="94">
        <v>230</v>
      </c>
      <c r="P241" s="50">
        <v>4.8500000000000001E-2</v>
      </c>
      <c r="Q241" s="50">
        <v>0.3765</v>
      </c>
      <c r="R241" s="55">
        <f t="shared" si="184"/>
        <v>4.8517391259162268E-2</v>
      </c>
      <c r="S241" s="55">
        <f t="shared" si="185"/>
        <v>4.8441929943407964E-2</v>
      </c>
      <c r="T241" s="55">
        <f t="shared" si="186"/>
        <v>0</v>
      </c>
      <c r="U241" s="55">
        <f t="shared" si="187"/>
        <v>1.9100000000000002E-2</v>
      </c>
      <c r="V241" s="56">
        <f t="shared" si="188"/>
        <v>6.3699999999999979E-2</v>
      </c>
    </row>
    <row r="242" spans="1:26">
      <c r="A242" s="141">
        <v>5</v>
      </c>
      <c r="B242" s="142" t="s">
        <v>259</v>
      </c>
      <c r="C242" s="143" t="s">
        <v>260</v>
      </c>
      <c r="D242" s="92">
        <v>1598836770.51</v>
      </c>
      <c r="E242" s="93">
        <f t="shared" si="182"/>
        <v>9.8078863353141005E-2</v>
      </c>
      <c r="F242" s="89">
        <v>46450</v>
      </c>
      <c r="G242" s="89">
        <v>48650</v>
      </c>
      <c r="H242" s="94">
        <v>271</v>
      </c>
      <c r="I242" s="50">
        <v>-3.0000000000000001E-3</v>
      </c>
      <c r="J242" s="50">
        <v>0.27</v>
      </c>
      <c r="K242" s="92">
        <v>1600840112.6300001</v>
      </c>
      <c r="L242" s="93">
        <f t="shared" si="183"/>
        <v>9.35422110065917E-2</v>
      </c>
      <c r="M242" s="89">
        <v>46520</v>
      </c>
      <c r="N242" s="89">
        <v>48650</v>
      </c>
      <c r="O242" s="94">
        <v>271</v>
      </c>
      <c r="P242" s="50">
        <v>1E-3</v>
      </c>
      <c r="Q242" s="50">
        <v>0.27</v>
      </c>
      <c r="R242" s="55">
        <f t="shared" si="184"/>
        <v>1.2529997789337145E-3</v>
      </c>
      <c r="S242" s="55">
        <f t="shared" si="185"/>
        <v>0</v>
      </c>
      <c r="T242" s="55">
        <f t="shared" si="186"/>
        <v>0</v>
      </c>
      <c r="U242" s="55">
        <f t="shared" si="187"/>
        <v>4.0000000000000001E-3</v>
      </c>
      <c r="V242" s="56">
        <f t="shared" si="188"/>
        <v>0</v>
      </c>
    </row>
    <row r="243" spans="1:26">
      <c r="A243" s="141">
        <v>6</v>
      </c>
      <c r="B243" s="142" t="s">
        <v>261</v>
      </c>
      <c r="C243" s="143" t="s">
        <v>262</v>
      </c>
      <c r="D243" s="92">
        <v>930027054.66999996</v>
      </c>
      <c r="E243" s="93">
        <f t="shared" si="182"/>
        <v>5.7051475230086732E-2</v>
      </c>
      <c r="F243" s="89">
        <v>350</v>
      </c>
      <c r="G243" s="89">
        <v>350</v>
      </c>
      <c r="H243" s="94">
        <v>145</v>
      </c>
      <c r="I243" s="50">
        <v>1.29E-2</v>
      </c>
      <c r="J243" s="50">
        <v>0.41349999999999998</v>
      </c>
      <c r="K243" s="92">
        <v>972428280.85000002</v>
      </c>
      <c r="L243" s="93">
        <f t="shared" si="183"/>
        <v>5.682209654692235E-2</v>
      </c>
      <c r="M243" s="89">
        <v>423.5</v>
      </c>
      <c r="N243" s="89">
        <v>423.5</v>
      </c>
      <c r="O243" s="94">
        <v>149</v>
      </c>
      <c r="P243" s="50">
        <v>4.5600000000000002E-2</v>
      </c>
      <c r="Q243" s="50">
        <v>0.47699999999999998</v>
      </c>
      <c r="R243" s="55">
        <f t="shared" si="184"/>
        <v>4.5591390021492685E-2</v>
      </c>
      <c r="S243" s="55">
        <f t="shared" si="185"/>
        <v>0.21</v>
      </c>
      <c r="T243" s="55">
        <f t="shared" si="186"/>
        <v>2.7586206896551724E-2</v>
      </c>
      <c r="U243" s="55">
        <f t="shared" si="187"/>
        <v>3.27E-2</v>
      </c>
      <c r="V243" s="56">
        <f t="shared" si="188"/>
        <v>6.3500000000000001E-2</v>
      </c>
    </row>
    <row r="244" spans="1:26">
      <c r="A244" s="141">
        <v>7</v>
      </c>
      <c r="B244" s="142" t="s">
        <v>263</v>
      </c>
      <c r="C244" s="143" t="s">
        <v>262</v>
      </c>
      <c r="D244" s="92">
        <v>939650633.02999997</v>
      </c>
      <c r="E244" s="93">
        <f t="shared" si="182"/>
        <v>5.7641822940589796E-2</v>
      </c>
      <c r="F244" s="89">
        <v>450</v>
      </c>
      <c r="G244" s="89">
        <v>450</v>
      </c>
      <c r="H244" s="94">
        <v>682</v>
      </c>
      <c r="I244" s="50">
        <v>1.8200000000000001E-2</v>
      </c>
      <c r="J244" s="50">
        <v>0.28870000000000001</v>
      </c>
      <c r="K244" s="92">
        <v>987877659.36000001</v>
      </c>
      <c r="L244" s="93">
        <f t="shared" si="183"/>
        <v>5.7724853176457869E-2</v>
      </c>
      <c r="M244" s="89">
        <v>495</v>
      </c>
      <c r="N244" s="89">
        <v>495</v>
      </c>
      <c r="O244" s="94">
        <v>733</v>
      </c>
      <c r="P244" s="50">
        <v>5.1299999999999998E-2</v>
      </c>
      <c r="Q244" s="50">
        <v>0.35420000000000001</v>
      </c>
      <c r="R244" s="55">
        <f t="shared" si="184"/>
        <v>5.1324422753259949E-2</v>
      </c>
      <c r="S244" s="55">
        <f t="shared" si="185"/>
        <v>0.1</v>
      </c>
      <c r="T244" s="55">
        <f t="shared" si="186"/>
        <v>7.4780058651026396E-2</v>
      </c>
      <c r="U244" s="55">
        <f t="shared" si="187"/>
        <v>3.3099999999999997E-2</v>
      </c>
      <c r="V244" s="56">
        <f t="shared" si="188"/>
        <v>6.5500000000000003E-2</v>
      </c>
    </row>
    <row r="245" spans="1:26">
      <c r="A245" s="141">
        <v>8</v>
      </c>
      <c r="B245" s="142" t="s">
        <v>264</v>
      </c>
      <c r="C245" s="143" t="s">
        <v>265</v>
      </c>
      <c r="D245" s="92">
        <v>102689407.40000001</v>
      </c>
      <c r="E245" s="93">
        <f t="shared" si="182"/>
        <v>6.299367478887135E-3</v>
      </c>
      <c r="F245" s="89">
        <v>28.93</v>
      </c>
      <c r="G245" s="89">
        <v>29.03</v>
      </c>
      <c r="H245" s="94">
        <v>110</v>
      </c>
      <c r="I245" s="50">
        <v>1.01E-2</v>
      </c>
      <c r="J245" s="50">
        <v>0.75</v>
      </c>
      <c r="K245" s="92">
        <v>105737232.86</v>
      </c>
      <c r="L245" s="93">
        <f t="shared" si="183"/>
        <v>6.1785649106415848E-3</v>
      </c>
      <c r="M245" s="89">
        <v>29.72</v>
      </c>
      <c r="N245" s="89">
        <v>29.82</v>
      </c>
      <c r="O245" s="94">
        <v>121</v>
      </c>
      <c r="P245" s="50">
        <v>0.1628</v>
      </c>
      <c r="Q245" s="50">
        <v>1.0348999999999999</v>
      </c>
      <c r="R245" s="55">
        <f t="shared" si="184"/>
        <v>2.9680037475802917E-2</v>
      </c>
      <c r="S245" s="55">
        <f t="shared" si="185"/>
        <v>2.7213227695487396E-2</v>
      </c>
      <c r="T245" s="55">
        <f t="shared" si="186"/>
        <v>0.1</v>
      </c>
      <c r="U245" s="55">
        <f t="shared" si="187"/>
        <v>0.1527</v>
      </c>
      <c r="V245" s="56">
        <f t="shared" si="188"/>
        <v>0.28489999999999993</v>
      </c>
    </row>
    <row r="246" spans="1:26">
      <c r="A246" s="141">
        <v>9</v>
      </c>
      <c r="B246" s="142" t="s">
        <v>266</v>
      </c>
      <c r="C246" s="143" t="s">
        <v>265</v>
      </c>
      <c r="D246" s="95">
        <v>979761312.45000005</v>
      </c>
      <c r="E246" s="93">
        <f t="shared" si="182"/>
        <v>6.0102367955814175E-2</v>
      </c>
      <c r="F246" s="89">
        <v>15.59</v>
      </c>
      <c r="G246" s="89">
        <v>15.69</v>
      </c>
      <c r="H246" s="94">
        <v>172</v>
      </c>
      <c r="I246" s="50">
        <v>-1.2699999999999999E-2</v>
      </c>
      <c r="J246" s="50">
        <v>0.42199999999999999</v>
      </c>
      <c r="K246" s="95">
        <v>1009854787.8</v>
      </c>
      <c r="L246" s="93">
        <f t="shared" si="183"/>
        <v>5.900904712539385E-2</v>
      </c>
      <c r="M246" s="89">
        <v>16.14</v>
      </c>
      <c r="N246" s="89">
        <v>16.239999999999998</v>
      </c>
      <c r="O246" s="94">
        <v>181</v>
      </c>
      <c r="P246" s="50">
        <v>-3.2300000000000002E-2</v>
      </c>
      <c r="Q246" s="50">
        <v>0.37609999999999999</v>
      </c>
      <c r="R246" s="55">
        <f t="shared" si="184"/>
        <v>3.0715108840895022E-2</v>
      </c>
      <c r="S246" s="55">
        <f t="shared" si="185"/>
        <v>3.5054174633524469E-2</v>
      </c>
      <c r="T246" s="55">
        <f t="shared" si="186"/>
        <v>5.232558139534884E-2</v>
      </c>
      <c r="U246" s="55">
        <f t="shared" si="187"/>
        <v>-1.9600000000000003E-2</v>
      </c>
      <c r="V246" s="56">
        <f t="shared" si="188"/>
        <v>-4.5899999999999996E-2</v>
      </c>
    </row>
    <row r="247" spans="1:26" ht="15" customHeight="1">
      <c r="A247" s="141">
        <v>10</v>
      </c>
      <c r="B247" s="142" t="s">
        <v>267</v>
      </c>
      <c r="C247" s="143" t="s">
        <v>265</v>
      </c>
      <c r="D247" s="92">
        <v>118820149.54000001</v>
      </c>
      <c r="E247" s="93">
        <f t="shared" si="182"/>
        <v>7.2888899137690637E-3</v>
      </c>
      <c r="F247" s="89">
        <v>142.83000000000001</v>
      </c>
      <c r="G247" s="89">
        <v>144.83000000000001</v>
      </c>
      <c r="H247" s="94">
        <v>317</v>
      </c>
      <c r="I247" s="50">
        <v>-1.54E-2</v>
      </c>
      <c r="J247" s="50">
        <v>0.56100000000000005</v>
      </c>
      <c r="K247" s="92">
        <v>118755015.54000001</v>
      </c>
      <c r="L247" s="93">
        <f t="shared" si="183"/>
        <v>6.9392356139074789E-3</v>
      </c>
      <c r="M247" s="89">
        <v>142.75</v>
      </c>
      <c r="N247" s="89">
        <v>144.75</v>
      </c>
      <c r="O247" s="94">
        <v>317</v>
      </c>
      <c r="P247" s="50">
        <v>0</v>
      </c>
      <c r="Q247" s="50">
        <v>0.56100000000000005</v>
      </c>
      <c r="R247" s="55">
        <f t="shared" si="184"/>
        <v>-5.4817301823099516E-4</v>
      </c>
      <c r="S247" s="55">
        <f t="shared" si="185"/>
        <v>-5.5237174618526892E-4</v>
      </c>
      <c r="T247" s="55">
        <f t="shared" si="186"/>
        <v>0</v>
      </c>
      <c r="U247" s="55">
        <f t="shared" si="187"/>
        <v>1.54E-2</v>
      </c>
      <c r="V247" s="56">
        <f t="shared" si="188"/>
        <v>0</v>
      </c>
    </row>
    <row r="248" spans="1:26">
      <c r="A248" s="141">
        <v>11</v>
      </c>
      <c r="B248" s="142" t="s">
        <v>268</v>
      </c>
      <c r="C248" s="143" t="s">
        <v>265</v>
      </c>
      <c r="D248" s="92">
        <v>6950870752.5600004</v>
      </c>
      <c r="E248" s="93">
        <f t="shared" si="182"/>
        <v>0.42639343508982225</v>
      </c>
      <c r="F248" s="89">
        <v>49.57</v>
      </c>
      <c r="G248" s="89">
        <v>49.77</v>
      </c>
      <c r="H248" s="94">
        <v>341</v>
      </c>
      <c r="I248" s="50">
        <v>2.0799999999999999E-2</v>
      </c>
      <c r="J248" s="50">
        <v>0.30320000000000003</v>
      </c>
      <c r="K248" s="92">
        <v>7328867976.5</v>
      </c>
      <c r="L248" s="93">
        <f t="shared" si="183"/>
        <v>0.42824921070407229</v>
      </c>
      <c r="M248" s="89">
        <v>52.1</v>
      </c>
      <c r="N248" s="89">
        <v>52.3</v>
      </c>
      <c r="O248" s="94">
        <v>349</v>
      </c>
      <c r="P248" s="50">
        <v>-1.0200000000000001E-2</v>
      </c>
      <c r="Q248" s="50">
        <v>0.28989999999999999</v>
      </c>
      <c r="R248" s="55">
        <f t="shared" si="184"/>
        <v>5.4381276446664399E-2</v>
      </c>
      <c r="S248" s="55">
        <f t="shared" si="185"/>
        <v>5.08338356439621E-2</v>
      </c>
      <c r="T248" s="55">
        <f t="shared" si="186"/>
        <v>2.3460410557184751E-2</v>
      </c>
      <c r="U248" s="55">
        <f t="shared" si="187"/>
        <v>-3.1E-2</v>
      </c>
      <c r="V248" s="56">
        <f t="shared" si="188"/>
        <v>-1.3300000000000034E-2</v>
      </c>
    </row>
    <row r="249" spans="1:26">
      <c r="A249" s="141">
        <v>12</v>
      </c>
      <c r="B249" s="142" t="s">
        <v>269</v>
      </c>
      <c r="C249" s="143" t="s">
        <v>265</v>
      </c>
      <c r="D249" s="95">
        <v>80767459.626000002</v>
      </c>
      <c r="E249" s="93">
        <f t="shared" si="182"/>
        <v>4.9545899757559037E-3</v>
      </c>
      <c r="F249" s="89">
        <v>45.81</v>
      </c>
      <c r="G249" s="89">
        <v>46.01</v>
      </c>
      <c r="H249" s="94">
        <v>107</v>
      </c>
      <c r="I249" s="50">
        <v>6.9900000000000004E-2</v>
      </c>
      <c r="J249" s="50">
        <v>9.6799999999999997E-2</v>
      </c>
      <c r="K249" s="95">
        <v>88781628.229000002</v>
      </c>
      <c r="L249" s="93">
        <f t="shared" si="183"/>
        <v>5.1877946684269396E-3</v>
      </c>
      <c r="M249" s="89">
        <v>50.46</v>
      </c>
      <c r="N249" s="89">
        <v>50.66</v>
      </c>
      <c r="O249" s="94">
        <v>114</v>
      </c>
      <c r="P249" s="50">
        <v>8.9300000000000004E-2</v>
      </c>
      <c r="Q249" s="50">
        <v>0.19470000000000001</v>
      </c>
      <c r="R249" s="55">
        <f t="shared" si="184"/>
        <v>9.9225215700855643E-2</v>
      </c>
      <c r="S249" s="55">
        <f t="shared" si="185"/>
        <v>0.10106498587263636</v>
      </c>
      <c r="T249" s="55">
        <f t="shared" si="186"/>
        <v>6.5420560747663545E-2</v>
      </c>
      <c r="U249" s="55">
        <f t="shared" si="187"/>
        <v>1.9400000000000001E-2</v>
      </c>
      <c r="V249" s="56">
        <f t="shared" si="188"/>
        <v>9.7900000000000015E-2</v>
      </c>
    </row>
    <row r="250" spans="1:26">
      <c r="A250" s="127"/>
      <c r="B250" s="127"/>
      <c r="C250" s="128" t="s">
        <v>270</v>
      </c>
      <c r="D250" s="88">
        <f>SUM(D238:D249)</f>
        <v>16301542614.265999</v>
      </c>
      <c r="E250" s="90"/>
      <c r="F250" s="90"/>
      <c r="G250" s="91"/>
      <c r="H250" s="88">
        <f>SUM(H238:H249)</f>
        <v>3066</v>
      </c>
      <c r="I250" s="111"/>
      <c r="J250" s="111"/>
      <c r="K250" s="88">
        <f>SUM(K238:K249)</f>
        <v>17113558632.019001</v>
      </c>
      <c r="L250" s="90"/>
      <c r="M250" s="90"/>
      <c r="N250" s="91"/>
      <c r="O250" s="88">
        <f>SUM(O238:O249)</f>
        <v>3156</v>
      </c>
      <c r="P250" s="111"/>
      <c r="Q250" s="111"/>
      <c r="R250" s="55">
        <f t="shared" si="184"/>
        <v>4.9812219430226262E-2</v>
      </c>
      <c r="S250" s="55" t="e">
        <f t="shared" si="185"/>
        <v>#DIV/0!</v>
      </c>
      <c r="T250" s="55">
        <f t="shared" si="186"/>
        <v>2.9354207436399216E-2</v>
      </c>
      <c r="U250" s="55">
        <f t="shared" si="187"/>
        <v>0</v>
      </c>
      <c r="V250" s="56">
        <f t="shared" si="188"/>
        <v>0</v>
      </c>
      <c r="Z250" s="63"/>
    </row>
    <row r="251" spans="1:26">
      <c r="A251" s="96"/>
      <c r="B251" s="96"/>
      <c r="C251" s="97" t="s">
        <v>271</v>
      </c>
      <c r="D251" s="98">
        <f>SUM(D222,D230,D235,D250)</f>
        <v>6323277237342.1172</v>
      </c>
      <c r="E251" s="99"/>
      <c r="F251" s="99"/>
      <c r="G251" s="100"/>
      <c r="H251" s="98">
        <f>SUM(H222,H230,H235,H250)</f>
        <v>937694</v>
      </c>
      <c r="I251" s="112"/>
      <c r="J251" s="112"/>
      <c r="K251" s="98">
        <f>SUM(K222,K230,K235,K250)</f>
        <v>6444362833510.1768</v>
      </c>
      <c r="L251" s="99"/>
      <c r="M251" s="99"/>
      <c r="N251" s="98"/>
      <c r="O251" s="98">
        <f>SUM(O222,O230,O235,O250)</f>
        <v>944382</v>
      </c>
      <c r="P251" s="113"/>
      <c r="Q251" s="98"/>
      <c r="R251" s="119"/>
      <c r="S251" s="120"/>
      <c r="T251" s="120"/>
      <c r="U251" s="121"/>
      <c r="V251" s="121"/>
      <c r="Z251" s="63"/>
    </row>
    <row r="252" spans="1:26">
      <c r="A252" s="101" t="s">
        <v>272</v>
      </c>
      <c r="B252" s="125" t="s">
        <v>322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</row>
    <row r="253" spans="1:26">
      <c r="B253" s="124"/>
    </row>
    <row r="254" spans="1:26">
      <c r="B254" s="124"/>
      <c r="C254" s="103"/>
      <c r="D254" s="104"/>
      <c r="K254" s="104"/>
    </row>
    <row r="255" spans="1:26" ht="15">
      <c r="B255" s="105"/>
      <c r="C255" s="106"/>
      <c r="D255" s="107"/>
      <c r="F255" s="108"/>
      <c r="G255" s="108"/>
      <c r="I255" s="114"/>
      <c r="J255" s="115"/>
    </row>
    <row r="256" spans="1:26">
      <c r="C256" s="124"/>
    </row>
    <row r="258" spans="2:2">
      <c r="B258" s="103"/>
    </row>
  </sheetData>
  <sheetProtection algorithmName="SHA-512" hashValue="mmEghM+zdTYpr1Gw95YHSeIZ5HKbcLdWcrC/OMX7jky23D2weCir3W6jGZVaX28iL5C/dE4HlpAmFcnit6ppaA==" saltValue="VltC5OS6zXtCqhQ++/UFNg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0:V70"/>
    <mergeCell ref="A71:V71"/>
    <mergeCell ref="B111:V111"/>
    <mergeCell ref="A112:V112"/>
    <mergeCell ref="A113:V113"/>
    <mergeCell ref="B131:V131"/>
    <mergeCell ref="A132:V132"/>
    <mergeCell ref="B151:V151"/>
    <mergeCell ref="A152:V152"/>
    <mergeCell ref="B160:V160"/>
    <mergeCell ref="A161:V161"/>
    <mergeCell ref="B191:V191"/>
    <mergeCell ref="A192:V192"/>
    <mergeCell ref="B196:V196"/>
    <mergeCell ref="A197:V197"/>
    <mergeCell ref="A198:V198"/>
    <mergeCell ref="A224:V224"/>
    <mergeCell ref="A232:V232"/>
    <mergeCell ref="B236:V236"/>
    <mergeCell ref="A237:V237"/>
    <mergeCell ref="B201:V201"/>
    <mergeCell ref="A202:V202"/>
    <mergeCell ref="B216:V216"/>
    <mergeCell ref="A217:V217"/>
    <mergeCell ref="B223:U223"/>
  </mergeCells>
  <pageMargins left="0.7" right="0.7" top="0.75" bottom="0.75" header="0.3" footer="0.3"/>
  <pageSetup paperSize="9" orientation="portrait" horizontalDpi="300" verticalDpi="300" r:id="rId1"/>
  <ignoredErrors>
    <ignoredError sqref="L95 E95 E76 L48 E48 L34 E34 L136 E136" formula="1"/>
    <ignoredError sqref="S159 S25 S69 S110 S150 S190 S195 S221 S250 T233:T234 R49:T49 R136 R125:T125 R45:T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G8" sqref="G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55"/>
      <c r="B1" s="155"/>
      <c r="C1" s="155"/>
      <c r="D1" s="155"/>
      <c r="E1" s="15"/>
      <c r="F1" s="15"/>
      <c r="G1" s="15"/>
    </row>
    <row r="2" spans="1:7" ht="27.6">
      <c r="A2" s="157" t="s">
        <v>273</v>
      </c>
      <c r="B2" s="158" t="s">
        <v>319</v>
      </c>
      <c r="C2" s="158" t="s">
        <v>323</v>
      </c>
      <c r="D2" s="159"/>
      <c r="E2" s="15"/>
      <c r="F2" s="15"/>
      <c r="G2" s="15"/>
    </row>
    <row r="3" spans="1:7">
      <c r="A3" s="160" t="s">
        <v>17</v>
      </c>
      <c r="B3" s="161">
        <f t="shared" ref="B3:C10" si="0">B13</f>
        <v>61.687226257696494</v>
      </c>
      <c r="C3" s="161">
        <f t="shared" si="0"/>
        <v>67.2296571655165</v>
      </c>
      <c r="D3" s="159"/>
      <c r="E3" s="15"/>
      <c r="F3" s="15"/>
      <c r="G3" s="15"/>
    </row>
    <row r="4" spans="1:7" ht="15.6" customHeight="1">
      <c r="A4" s="157" t="s">
        <v>54</v>
      </c>
      <c r="B4" s="162">
        <f t="shared" si="0"/>
        <v>3426.2660006651895</v>
      </c>
      <c r="C4" s="162">
        <f t="shared" si="0"/>
        <v>3516.1238212268936</v>
      </c>
      <c r="D4" s="159"/>
      <c r="E4" s="15"/>
      <c r="F4" s="15"/>
      <c r="G4" s="15"/>
    </row>
    <row r="5" spans="1:7" ht="16.2" customHeight="1">
      <c r="A5" s="157" t="s">
        <v>274</v>
      </c>
      <c r="B5" s="161">
        <f t="shared" si="0"/>
        <v>217.68933186023924</v>
      </c>
      <c r="C5" s="161">
        <f t="shared" si="0"/>
        <v>220.85195854565424</v>
      </c>
      <c r="D5" s="159"/>
      <c r="E5" s="15"/>
      <c r="F5" s="15"/>
      <c r="G5" s="15"/>
    </row>
    <row r="6" spans="1:7">
      <c r="A6" s="157" t="s">
        <v>154</v>
      </c>
      <c r="B6" s="162">
        <f t="shared" si="0"/>
        <v>1950.37907909977</v>
      </c>
      <c r="C6" s="162">
        <f t="shared" si="0"/>
        <v>1966.523400379815</v>
      </c>
      <c r="D6" s="159"/>
      <c r="E6" s="15"/>
      <c r="F6" s="15"/>
      <c r="G6" s="15"/>
    </row>
    <row r="7" spans="1:7">
      <c r="A7" s="157" t="s">
        <v>275</v>
      </c>
      <c r="B7" s="161">
        <f t="shared" si="0"/>
        <v>359.28971671988489</v>
      </c>
      <c r="C7" s="161">
        <f t="shared" si="0"/>
        <v>360.5214025380767</v>
      </c>
      <c r="D7" s="159"/>
      <c r="E7" s="15"/>
      <c r="F7" s="15"/>
      <c r="G7" s="15"/>
    </row>
    <row r="8" spans="1:7">
      <c r="A8" s="157" t="s">
        <v>191</v>
      </c>
      <c r="B8" s="163">
        <f t="shared" si="0"/>
        <v>73.150059573293944</v>
      </c>
      <c r="C8" s="163">
        <f t="shared" si="0"/>
        <v>75.728715664741031</v>
      </c>
      <c r="D8" s="159"/>
      <c r="E8" s="15"/>
      <c r="F8" s="15"/>
      <c r="G8" s="15"/>
    </row>
    <row r="9" spans="1:7">
      <c r="A9" s="157" t="s">
        <v>221</v>
      </c>
      <c r="B9" s="161">
        <f t="shared" si="0"/>
        <v>8.0477805713400006</v>
      </c>
      <c r="C9" s="161">
        <f t="shared" si="0"/>
        <v>8.5301612556799995</v>
      </c>
      <c r="D9" s="159"/>
      <c r="E9" s="15"/>
      <c r="F9" s="15"/>
      <c r="G9" s="15"/>
    </row>
    <row r="10" spans="1:7">
      <c r="A10" s="157" t="s">
        <v>276</v>
      </c>
      <c r="B10" s="161">
        <f t="shared" si="0"/>
        <v>63.651984241427293</v>
      </c>
      <c r="C10" s="161">
        <f t="shared" si="0"/>
        <v>64.799548897370357</v>
      </c>
      <c r="D10" s="159"/>
      <c r="E10" s="15"/>
      <c r="F10" s="15"/>
      <c r="G10" s="15"/>
    </row>
    <row r="11" spans="1:7">
      <c r="A11" s="157"/>
      <c r="B11" s="161"/>
      <c r="C11" s="161"/>
      <c r="D11" s="159"/>
      <c r="E11" s="15"/>
      <c r="F11" s="15"/>
      <c r="G11" s="15"/>
    </row>
    <row r="12" spans="1:7">
      <c r="A12" s="155"/>
      <c r="B12" s="155"/>
      <c r="C12" s="155"/>
      <c r="D12" s="155"/>
      <c r="E12" s="15"/>
      <c r="F12" s="15"/>
      <c r="G12" s="15"/>
    </row>
    <row r="13" spans="1:7">
      <c r="A13" s="164" t="s">
        <v>17</v>
      </c>
      <c r="B13" s="165">
        <f>'Weekly Valuation'!D25/1000000000</f>
        <v>61.687226257696494</v>
      </c>
      <c r="C13" s="166">
        <f>'Weekly Valuation'!K25/1000000000</f>
        <v>67.2296571655165</v>
      </c>
      <c r="D13" s="155"/>
      <c r="E13" s="15"/>
      <c r="F13" s="15"/>
      <c r="G13" s="15"/>
    </row>
    <row r="14" spans="1:7">
      <c r="A14" s="167" t="s">
        <v>54</v>
      </c>
      <c r="B14" s="165">
        <f>'Weekly Valuation'!D69/1000000000</f>
        <v>3426.2660006651895</v>
      </c>
      <c r="C14" s="168">
        <f>'Weekly Valuation'!K69/1000000000</f>
        <v>3516.1238212268936</v>
      </c>
      <c r="D14" s="155"/>
      <c r="E14" s="15"/>
      <c r="F14" s="15"/>
      <c r="G14" s="15"/>
    </row>
    <row r="15" spans="1:7">
      <c r="A15" s="167" t="s">
        <v>274</v>
      </c>
      <c r="B15" s="165">
        <f>'Weekly Valuation'!D110/1000000000</f>
        <v>217.68933186023924</v>
      </c>
      <c r="C15" s="166">
        <f>'Weekly Valuation'!K110/1000000000</f>
        <v>220.85195854565424</v>
      </c>
      <c r="D15" s="155"/>
      <c r="E15" s="15"/>
      <c r="F15" s="15"/>
      <c r="G15" s="15"/>
    </row>
    <row r="16" spans="1:7">
      <c r="A16" s="167" t="s">
        <v>154</v>
      </c>
      <c r="B16" s="165">
        <f>'Weekly Valuation'!D150/1000000000</f>
        <v>1950.37907909977</v>
      </c>
      <c r="C16" s="168">
        <f>'Weekly Valuation'!K150/1000000000</f>
        <v>1966.523400379815</v>
      </c>
      <c r="D16" s="155"/>
      <c r="E16" s="15"/>
      <c r="F16" s="15"/>
      <c r="G16" s="15"/>
    </row>
    <row r="17" spans="1:7">
      <c r="A17" s="167" t="s">
        <v>275</v>
      </c>
      <c r="B17" s="165">
        <f>'Weekly Valuation'!D159/1000000000</f>
        <v>359.28971671988489</v>
      </c>
      <c r="C17" s="166">
        <f>'Weekly Valuation'!K159/1000000000</f>
        <v>360.5214025380767</v>
      </c>
      <c r="D17" s="155"/>
      <c r="E17" s="15"/>
      <c r="F17" s="15"/>
      <c r="G17" s="15"/>
    </row>
    <row r="18" spans="1:7">
      <c r="A18" s="167" t="s">
        <v>191</v>
      </c>
      <c r="B18" s="165">
        <f>'Weekly Valuation'!D190/1000000000</f>
        <v>73.150059573293944</v>
      </c>
      <c r="C18" s="169">
        <f>'Weekly Valuation'!K190/1000000000</f>
        <v>75.728715664741031</v>
      </c>
      <c r="D18" s="155"/>
      <c r="E18" s="15"/>
      <c r="F18" s="15"/>
      <c r="G18" s="15"/>
    </row>
    <row r="19" spans="1:7">
      <c r="A19" s="167" t="s">
        <v>221</v>
      </c>
      <c r="B19" s="165">
        <f>'Weekly Valuation'!D195/1000000000</f>
        <v>8.0477805713400006</v>
      </c>
      <c r="C19" s="166">
        <f>'Weekly Valuation'!K195/1000000000</f>
        <v>8.5301612556799995</v>
      </c>
      <c r="D19" s="155"/>
      <c r="E19" s="15"/>
      <c r="F19" s="15"/>
      <c r="G19" s="15"/>
    </row>
    <row r="20" spans="1:7">
      <c r="A20" s="167" t="s">
        <v>276</v>
      </c>
      <c r="B20" s="165">
        <f>'Weekly Valuation'!D221/1000000000</f>
        <v>63.651984241427293</v>
      </c>
      <c r="C20" s="166">
        <f>'Weekly Valuation'!K221/1000000000</f>
        <v>64.799548897370357</v>
      </c>
      <c r="D20" s="155"/>
      <c r="E20" s="15"/>
      <c r="F20" s="15"/>
      <c r="G20" s="15"/>
    </row>
    <row r="21" spans="1:7">
      <c r="A21" s="152"/>
      <c r="B21" s="155"/>
      <c r="C21" s="154"/>
      <c r="D21" s="155"/>
      <c r="E21" s="15"/>
      <c r="F21" s="15"/>
      <c r="G21" s="15"/>
    </row>
    <row r="22" spans="1:7">
      <c r="A22" s="152"/>
      <c r="B22" s="155"/>
      <c r="C22" s="153"/>
      <c r="D22" s="155"/>
      <c r="E22" s="15"/>
      <c r="F22" s="15"/>
      <c r="G22" s="15"/>
    </row>
    <row r="23" spans="1:7">
      <c r="A23" s="139"/>
      <c r="B23" s="140"/>
      <c r="C23" s="138"/>
      <c r="D23" s="19"/>
      <c r="E23" s="15"/>
      <c r="F23" s="15"/>
      <c r="G23" s="15"/>
    </row>
    <row r="24" spans="1:7">
      <c r="A24" s="139"/>
      <c r="B24" s="140"/>
      <c r="C24" s="140"/>
      <c r="D24" s="19"/>
      <c r="E24" s="15"/>
      <c r="F24" s="15"/>
      <c r="G24" s="15"/>
    </row>
    <row r="25" spans="1:7">
      <c r="A25" s="139"/>
      <c r="B25" s="140"/>
      <c r="C25" s="140"/>
      <c r="D25" s="19"/>
      <c r="E25" s="15"/>
      <c r="F25" s="15"/>
      <c r="G25" s="15"/>
    </row>
    <row r="26" spans="1:7">
      <c r="A26" s="137"/>
      <c r="B26" s="136"/>
      <c r="C26" s="136"/>
      <c r="D26" s="15"/>
      <c r="E26" s="15"/>
      <c r="F26" s="15"/>
      <c r="G26" s="15"/>
    </row>
    <row r="27" spans="1:7">
      <c r="A27" s="137"/>
      <c r="B27" s="136"/>
      <c r="C27" s="136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E3kGqBK/h57fPk1tXVQOQ7HA/KiZa8zdl9PrcM/dy5FQEsiWaeH1G3/OD54DHTfZwUjNizvgQE7nK/lRGzWQfw==" saltValue="0M79kfZi8oknLH/zw1PMJ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2" sqref="J12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0" t="s">
        <v>273</v>
      </c>
      <c r="B1" s="151">
        <v>45870</v>
      </c>
      <c r="C1" s="19"/>
      <c r="D1" s="19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2" t="s">
        <v>221</v>
      </c>
      <c r="B2" s="153">
        <f>'Weekly Valuation'!K195</f>
        <v>8530161255.6800003</v>
      </c>
      <c r="C2" s="19"/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2" t="s">
        <v>17</v>
      </c>
      <c r="B3" s="153">
        <f>'Weekly Valuation'!K25</f>
        <v>67229657165.516502</v>
      </c>
      <c r="C3" s="19"/>
      <c r="D3" s="19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2" t="s">
        <v>276</v>
      </c>
      <c r="B4" s="138">
        <f>'Weekly Valuation'!K221</f>
        <v>64799548897.370361</v>
      </c>
      <c r="C4" s="19"/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2" t="s">
        <v>191</v>
      </c>
      <c r="B5" s="153">
        <f>'Weekly Valuation'!K190</f>
        <v>75728715664.741028</v>
      </c>
      <c r="C5" s="19"/>
      <c r="D5" s="19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2" t="s">
        <v>275</v>
      </c>
      <c r="B6" s="153">
        <f>'Weekly Valuation'!K159</f>
        <v>360521402538.07672</v>
      </c>
      <c r="C6" s="19"/>
      <c r="D6" s="19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2" t="s">
        <v>274</v>
      </c>
      <c r="B7" s="153">
        <f>'Weekly Valuation'!K110</f>
        <v>220851958545.65424</v>
      </c>
      <c r="C7" s="19"/>
      <c r="D7" s="1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2" t="s">
        <v>154</v>
      </c>
      <c r="B8" s="154">
        <f>'Weekly Valuation'!K150</f>
        <v>1966523400379.8149</v>
      </c>
      <c r="C8" s="19"/>
      <c r="D8" s="19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2" t="s">
        <v>54</v>
      </c>
      <c r="B9" s="154">
        <f>'Weekly Valuation'!K69</f>
        <v>3516123821226.8936</v>
      </c>
      <c r="C9" s="19"/>
      <c r="D9" s="19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5"/>
      <c r="B10" s="155"/>
      <c r="C10" s="19"/>
      <c r="D10" s="19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2"/>
      <c r="B11" s="156"/>
      <c r="C11" s="19"/>
      <c r="D11" s="19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2"/>
      <c r="B12" s="19"/>
      <c r="C12" s="19"/>
      <c r="D12" s="19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0"/>
      <c r="B13" s="140"/>
      <c r="C13" s="19"/>
      <c r="D13" s="19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0"/>
      <c r="B14" s="140"/>
      <c r="C14" s="19"/>
      <c r="D14" s="19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75"/>
      <c r="B15" s="17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6"/>
      <c r="B16" s="13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6"/>
      <c r="B17" s="13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4"/>
      <c r="B18" s="13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4"/>
      <c r="B19" s="13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4"/>
      <c r="B20" s="13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7"/>
      <c r="B21" s="13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7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20"/>
    </row>
    <row r="33" spans="1:17" ht="15" customHeight="1">
      <c r="A33" s="187"/>
      <c r="B33" s="187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20"/>
    </row>
  </sheetData>
  <sheetProtection algorithmName="SHA-512" hashValue="gkZCW84k1EPX8ppDaOsS190BldY7kc79AZxQJ0qLcZCSi47K8JanFJVOWQOfdrlUegnZWwjtLd22RKWIcXSWew==" saltValue="jAvC/9W8ZgKcww7iZ6Z2+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E7" sqref="E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45" t="s">
        <v>277</v>
      </c>
      <c r="B2" s="146">
        <v>45821</v>
      </c>
      <c r="C2" s="146">
        <v>45828</v>
      </c>
      <c r="D2" s="146">
        <v>45835</v>
      </c>
      <c r="E2" s="146">
        <v>45842</v>
      </c>
      <c r="F2" s="146">
        <v>45849</v>
      </c>
      <c r="G2" s="146">
        <v>45856</v>
      </c>
      <c r="H2" s="146">
        <v>45863</v>
      </c>
      <c r="I2" s="146">
        <v>45870</v>
      </c>
      <c r="J2" s="19"/>
      <c r="K2" s="19"/>
      <c r="L2" s="15"/>
      <c r="M2" s="15"/>
    </row>
    <row r="3" spans="1:13">
      <c r="A3" s="145" t="s">
        <v>278</v>
      </c>
      <c r="B3" s="147">
        <f t="shared" ref="B3:I3" si="0">B4</f>
        <v>5739.2216808320509</v>
      </c>
      <c r="C3" s="147">
        <f t="shared" si="0"/>
        <v>5778.470729655005</v>
      </c>
      <c r="D3" s="147">
        <f t="shared" si="0"/>
        <v>5812.2705854093538</v>
      </c>
      <c r="E3" s="147">
        <f t="shared" si="0"/>
        <v>5912.1449998326807</v>
      </c>
      <c r="F3" s="147">
        <f t="shared" si="0"/>
        <v>6009.0237740152752</v>
      </c>
      <c r="G3" s="147">
        <f t="shared" si="0"/>
        <v>6080.0352810801669</v>
      </c>
      <c r="H3" s="147">
        <f t="shared" si="0"/>
        <v>6160.1611789888411</v>
      </c>
      <c r="I3" s="147">
        <f t="shared" si="0"/>
        <v>6280.3086656737469</v>
      </c>
      <c r="J3" s="19"/>
      <c r="K3" s="19"/>
      <c r="L3" s="15"/>
      <c r="M3" s="15"/>
    </row>
    <row r="4" spans="1:13">
      <c r="A4" s="19"/>
      <c r="B4" s="148">
        <f>'NAV Trend'!C10/1000000000</f>
        <v>5739.2216808320509</v>
      </c>
      <c r="C4" s="148">
        <f>'NAV Trend'!D10/1000000000</f>
        <v>5778.470729655005</v>
      </c>
      <c r="D4" s="148">
        <f>'NAV Trend'!E10/1000000000</f>
        <v>5812.2705854093538</v>
      </c>
      <c r="E4" s="148">
        <f>'NAV Trend'!F10/1000000000</f>
        <v>5912.1449998326807</v>
      </c>
      <c r="F4" s="148">
        <f>'NAV Trend'!G10/1000000000</f>
        <v>6009.0237740152752</v>
      </c>
      <c r="G4" s="148">
        <f>'NAV Trend'!H10/1000000000</f>
        <v>6080.0352810801669</v>
      </c>
      <c r="H4" s="149">
        <f>'NAV Trend'!I10/1000000000</f>
        <v>6160.1611789888411</v>
      </c>
      <c r="I4" s="149">
        <f>'NAV Trend'!J10/1000000000</f>
        <v>6280.3086656737469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wb7a7jPhoXIV1GIxmH2PYswkTN7ow5CJA+gjEk3VqoO09iB7MNLDyVBJQtqqoITBIPdCRuVTJCXIHaDDAQJzdA==" saltValue="tPFNNFpePImq7A/R3Gtie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  <c r="N1" s="15"/>
    </row>
    <row r="2" spans="1:14">
      <c r="A2" s="145" t="s">
        <v>277</v>
      </c>
      <c r="B2" s="146">
        <v>45821</v>
      </c>
      <c r="C2" s="146">
        <v>45828</v>
      </c>
      <c r="D2" s="146">
        <v>45835</v>
      </c>
      <c r="E2" s="146">
        <v>45842</v>
      </c>
      <c r="F2" s="146">
        <v>45849</v>
      </c>
      <c r="G2" s="146">
        <v>45856</v>
      </c>
      <c r="H2" s="146">
        <v>45863</v>
      </c>
      <c r="I2" s="146">
        <v>45870</v>
      </c>
      <c r="J2" s="19"/>
      <c r="K2" s="15"/>
      <c r="L2" s="15"/>
      <c r="M2" s="15"/>
      <c r="N2" s="15"/>
    </row>
    <row r="3" spans="1:14">
      <c r="A3" s="145" t="s">
        <v>279</v>
      </c>
      <c r="B3" s="147">
        <f t="shared" ref="B3:I3" si="0">B4</f>
        <v>14.097996343838002</v>
      </c>
      <c r="C3" s="147">
        <f t="shared" si="0"/>
        <v>14.438197157056999</v>
      </c>
      <c r="D3" s="147">
        <f t="shared" si="0"/>
        <v>14.649626500489999</v>
      </c>
      <c r="E3" s="147">
        <f t="shared" si="0"/>
        <v>14.538175757549999</v>
      </c>
      <c r="F3" s="147">
        <f t="shared" si="0"/>
        <v>15.344019261460002</v>
      </c>
      <c r="G3" s="147">
        <f t="shared" si="0"/>
        <v>16.012018416058002</v>
      </c>
      <c r="H3" s="147">
        <f t="shared" si="0"/>
        <v>16.301542614265998</v>
      </c>
      <c r="I3" s="147">
        <f t="shared" si="0"/>
        <v>17.113558632019</v>
      </c>
      <c r="J3" s="19"/>
      <c r="K3" s="15"/>
      <c r="L3" s="15"/>
      <c r="M3" s="15"/>
      <c r="N3" s="15"/>
    </row>
    <row r="4" spans="1:14">
      <c r="A4" s="19"/>
      <c r="B4" s="148">
        <f>'NAV Trend'!C16/1000000000</f>
        <v>14.097996343838002</v>
      </c>
      <c r="C4" s="148">
        <f>'NAV Trend'!D16/1000000000</f>
        <v>14.438197157056999</v>
      </c>
      <c r="D4" s="148">
        <f>'NAV Trend'!E16/1000000000</f>
        <v>14.649626500489999</v>
      </c>
      <c r="E4" s="148">
        <f>'NAV Trend'!F16/1000000000</f>
        <v>14.538175757549999</v>
      </c>
      <c r="F4" s="148">
        <f>'NAV Trend'!G16/1000000000</f>
        <v>15.344019261460002</v>
      </c>
      <c r="G4" s="148">
        <f>'NAV Trend'!H16/1000000000</f>
        <v>16.012018416058002</v>
      </c>
      <c r="H4" s="148">
        <f>'NAV Trend'!I16/1000000000</f>
        <v>16.301542614265998</v>
      </c>
      <c r="I4" s="149">
        <f>'NAV Trend'!J16/1000000000</f>
        <v>17.113558632019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ZLlmB9wojHtGWMEDXhiA/7Md4cmgAwipFEJP7dbbY1fqzOfiWL/JGTKHMRhfV8UwhkIYqjMCpunUvVbG0+HQqQ==" saltValue="rkZgFf8ceXdeH8F/cXKed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273</v>
      </c>
      <c r="B1" s="2">
        <v>45813</v>
      </c>
      <c r="C1" s="2">
        <v>45821</v>
      </c>
      <c r="D1" s="2">
        <v>45828</v>
      </c>
      <c r="E1" s="2">
        <v>45835</v>
      </c>
      <c r="F1" s="2">
        <v>45842</v>
      </c>
      <c r="G1" s="2">
        <v>45849</v>
      </c>
      <c r="H1" s="2">
        <v>45856</v>
      </c>
      <c r="I1" s="2">
        <v>45863</v>
      </c>
      <c r="J1" s="2">
        <v>45870</v>
      </c>
    </row>
    <row r="2" spans="1:11">
      <c r="A2" s="3" t="s">
        <v>17</v>
      </c>
      <c r="B2" s="4">
        <v>42835043182.520004</v>
      </c>
      <c r="C2" s="4">
        <v>42622857191.780403</v>
      </c>
      <c r="D2" s="4">
        <v>45399164105.915703</v>
      </c>
      <c r="E2" s="4">
        <v>47767435566.352699</v>
      </c>
      <c r="F2" s="4">
        <v>48773441499.2379</v>
      </c>
      <c r="G2" s="4">
        <v>52269878832.034996</v>
      </c>
      <c r="H2" s="4">
        <v>54748473127.3489</v>
      </c>
      <c r="I2" s="4">
        <v>61687226257.696495</v>
      </c>
      <c r="J2" s="4">
        <v>67229657165.516502</v>
      </c>
    </row>
    <row r="3" spans="1:11">
      <c r="A3" s="3" t="s">
        <v>54</v>
      </c>
      <c r="B3" s="4">
        <v>3044846889135.2236</v>
      </c>
      <c r="C3" s="4">
        <v>3096275132899.1284</v>
      </c>
      <c r="D3" s="4">
        <v>3113167425546.7334</v>
      </c>
      <c r="E3" s="4">
        <v>3143972127991.3154</v>
      </c>
      <c r="F3" s="4">
        <v>3240091962076.584</v>
      </c>
      <c r="G3" s="4">
        <v>3306800238955.9248</v>
      </c>
      <c r="H3" s="4">
        <v>3358188060555.9185</v>
      </c>
      <c r="I3" s="4">
        <v>3426266000665.1895</v>
      </c>
      <c r="J3" s="4">
        <v>3516123821226.8936</v>
      </c>
    </row>
    <row r="4" spans="1:11">
      <c r="A4" s="3" t="s">
        <v>274</v>
      </c>
      <c r="B4" s="5">
        <v>210586835111.91571</v>
      </c>
      <c r="C4" s="5">
        <v>202341287400.03244</v>
      </c>
      <c r="D4" s="5">
        <v>210070664052.05121</v>
      </c>
      <c r="E4" s="5">
        <v>209229734710.64914</v>
      </c>
      <c r="F4" s="5">
        <v>209302612953.89981</v>
      </c>
      <c r="G4" s="5">
        <v>217097119596.70132</v>
      </c>
      <c r="H4" s="5">
        <v>217434885807.0386</v>
      </c>
      <c r="I4" s="5">
        <v>217689331860.23923</v>
      </c>
      <c r="J4" s="5">
        <v>220851958545.65424</v>
      </c>
    </row>
    <row r="5" spans="1:11">
      <c r="A5" s="3" t="s">
        <v>154</v>
      </c>
      <c r="B5" s="4">
        <v>1924601424924.0278</v>
      </c>
      <c r="C5" s="4">
        <v>1913220478334.1814</v>
      </c>
      <c r="D5" s="4">
        <v>1920956396176.9661</v>
      </c>
      <c r="E5" s="4">
        <v>1919903068979.0251</v>
      </c>
      <c r="F5" s="4">
        <v>1920430716545.5254</v>
      </c>
      <c r="G5" s="4">
        <v>1936146669670.2039</v>
      </c>
      <c r="H5" s="4">
        <v>1944523128036.5657</v>
      </c>
      <c r="I5" s="4">
        <v>1950379079099.77</v>
      </c>
      <c r="J5" s="4">
        <v>1966523400379.8149</v>
      </c>
    </row>
    <row r="6" spans="1:11">
      <c r="A6" s="3" t="s">
        <v>275</v>
      </c>
      <c r="B6" s="6">
        <v>356681164790.01733</v>
      </c>
      <c r="C6" s="6">
        <v>357629608042.17529</v>
      </c>
      <c r="D6" s="6">
        <v>358535779287.37018</v>
      </c>
      <c r="E6" s="6">
        <v>358384976471.11237</v>
      </c>
      <c r="F6" s="6">
        <v>359566481710.30396</v>
      </c>
      <c r="G6" s="6">
        <v>360494145775.05426</v>
      </c>
      <c r="H6" s="6">
        <v>364310838344.93243</v>
      </c>
      <c r="I6" s="6">
        <v>359289716719.88489</v>
      </c>
      <c r="J6" s="6">
        <v>360521402538.07672</v>
      </c>
    </row>
    <row r="7" spans="1:11">
      <c r="A7" s="3" t="s">
        <v>191</v>
      </c>
      <c r="B7" s="7">
        <v>61815946486.813843</v>
      </c>
      <c r="C7" s="7">
        <v>61694711710.161476</v>
      </c>
      <c r="D7" s="7">
        <v>63650811988.436371</v>
      </c>
      <c r="E7" s="7">
        <v>65741491816.116287</v>
      </c>
      <c r="F7" s="7">
        <v>66337534088.000557</v>
      </c>
      <c r="G7" s="7">
        <v>67084468156.605881</v>
      </c>
      <c r="H7" s="7">
        <v>70484807160.729034</v>
      </c>
      <c r="I7" s="7">
        <v>73150059573.293945</v>
      </c>
      <c r="J7" s="7">
        <v>75728715664.741028</v>
      </c>
    </row>
    <row r="8" spans="1:11">
      <c r="A8" s="3" t="s">
        <v>221</v>
      </c>
      <c r="B8" s="6">
        <v>6131520024.7600002</v>
      </c>
      <c r="C8" s="6">
        <v>6161637634.4500008</v>
      </c>
      <c r="D8" s="6">
        <v>6456038640.0900002</v>
      </c>
      <c r="E8" s="6">
        <v>6771356167.3599997</v>
      </c>
      <c r="F8" s="6">
        <v>6807247820.3100004</v>
      </c>
      <c r="G8" s="6">
        <v>7283906888.0599995</v>
      </c>
      <c r="H8" s="6">
        <v>7482268171.8400002</v>
      </c>
      <c r="I8" s="6">
        <v>8047780571.3400002</v>
      </c>
      <c r="J8" s="6">
        <v>8530161255.6800003</v>
      </c>
    </row>
    <row r="9" spans="1:11">
      <c r="A9" s="3" t="s">
        <v>276</v>
      </c>
      <c r="B9" s="6">
        <v>59376004499.683235</v>
      </c>
      <c r="C9" s="6">
        <v>59275967620.142563</v>
      </c>
      <c r="D9" s="6">
        <v>60234449857.442543</v>
      </c>
      <c r="E9" s="6">
        <v>60500393707.422546</v>
      </c>
      <c r="F9" s="6">
        <v>60835003138.819405</v>
      </c>
      <c r="G9" s="6">
        <v>61847346140.690552</v>
      </c>
      <c r="H9" s="6">
        <v>62862819875.793411</v>
      </c>
      <c r="I9" s="6">
        <v>63651984241.427292</v>
      </c>
      <c r="J9" s="6">
        <v>64799548897.370361</v>
      </c>
    </row>
    <row r="10" spans="1:11" ht="15.6">
      <c r="A10" s="8" t="s">
        <v>280</v>
      </c>
      <c r="B10" s="9">
        <f t="shared" ref="B10:J10" si="0">SUM(B2:B9)</f>
        <v>5706874828154.9619</v>
      </c>
      <c r="C10" s="9">
        <f t="shared" si="0"/>
        <v>5739221680832.0508</v>
      </c>
      <c r="D10" s="9">
        <f t="shared" si="0"/>
        <v>5778470729655.0049</v>
      </c>
      <c r="E10" s="9">
        <f t="shared" si="0"/>
        <v>5812270585409.3535</v>
      </c>
      <c r="F10" s="9">
        <f t="shared" si="0"/>
        <v>5912144999832.6807</v>
      </c>
      <c r="G10" s="9">
        <f t="shared" si="0"/>
        <v>6009023774015.2754</v>
      </c>
      <c r="H10" s="9">
        <f t="shared" si="0"/>
        <v>6080035281080.167</v>
      </c>
      <c r="I10" s="9">
        <f t="shared" si="0"/>
        <v>6160161178988.8408</v>
      </c>
      <c r="J10" s="9">
        <f t="shared" si="0"/>
        <v>6280308665673.7471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281</v>
      </c>
      <c r="B12" s="122" t="s">
        <v>282</v>
      </c>
      <c r="C12" s="13">
        <f>(B10+C10)/2</f>
        <v>5723048254493.5059</v>
      </c>
      <c r="D12" s="14">
        <f t="shared" ref="D12:J12" si="1">(C10+D10)/2</f>
        <v>5758846205243.5273</v>
      </c>
      <c r="E12" s="14">
        <f t="shared" si="1"/>
        <v>5795370657532.1797</v>
      </c>
      <c r="F12" s="14">
        <f t="shared" si="1"/>
        <v>5862207792621.0176</v>
      </c>
      <c r="G12" s="14">
        <f t="shared" si="1"/>
        <v>5960584386923.9785</v>
      </c>
      <c r="H12" s="14">
        <f t="shared" si="1"/>
        <v>6044529527547.7207</v>
      </c>
      <c r="I12" s="14">
        <f t="shared" si="1"/>
        <v>6120098230034.5039</v>
      </c>
      <c r="J12" s="14">
        <f t="shared" si="1"/>
        <v>6220234922331.2939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45813</v>
      </c>
      <c r="C15" s="2">
        <v>45821</v>
      </c>
      <c r="D15" s="2">
        <v>45828</v>
      </c>
      <c r="E15" s="2">
        <v>45835</v>
      </c>
      <c r="F15" s="2">
        <v>45842</v>
      </c>
      <c r="G15" s="2">
        <v>45849</v>
      </c>
      <c r="H15" s="2">
        <v>45856</v>
      </c>
      <c r="I15" s="2">
        <v>45863</v>
      </c>
      <c r="J15" s="2">
        <v>45870</v>
      </c>
      <c r="K15" s="15"/>
    </row>
    <row r="16" spans="1:11">
      <c r="A16" s="16" t="s">
        <v>283</v>
      </c>
      <c r="B16" s="17">
        <v>13910462089.52</v>
      </c>
      <c r="C16" s="17">
        <v>14097996343.838001</v>
      </c>
      <c r="D16" s="17">
        <v>14438197157.056999</v>
      </c>
      <c r="E16" s="17">
        <v>14649626500.49</v>
      </c>
      <c r="F16" s="17">
        <v>14538175757.549999</v>
      </c>
      <c r="G16" s="17">
        <v>15344019261.460001</v>
      </c>
      <c r="H16" s="17">
        <v>16012018416.058001</v>
      </c>
      <c r="I16" s="17">
        <v>16301542614.265999</v>
      </c>
      <c r="J16" s="17">
        <v>17113558632.019001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RABnVwZqRJemaqMAYmpX6ZwsplCHbDllOM8LjZopZZGaLDF1egpsgV7bf9oLW0dO+O9SM2h3c6KDOR6x0m+PPQ==" saltValue="0Stmo+S25kXF/wxMesHMS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2025-08-09T05:58:22Z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