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L187" i="1" l="1"/>
  <c r="L188" i="1"/>
  <c r="N128" i="1"/>
  <c r="M128" i="1"/>
  <c r="K128" i="1"/>
  <c r="N142" i="1" l="1"/>
  <c r="M142" i="1"/>
  <c r="K142" i="1"/>
  <c r="N148" i="1" l="1"/>
  <c r="M148" i="1"/>
  <c r="K148" i="1"/>
  <c r="K124" i="1" l="1"/>
  <c r="K114" i="1"/>
  <c r="N113" i="1"/>
  <c r="M113" i="1"/>
  <c r="K113" i="1"/>
  <c r="N141" i="1"/>
  <c r="M141" i="1"/>
  <c r="K141" i="1"/>
  <c r="N132" i="1"/>
  <c r="M132" i="1"/>
  <c r="K132" i="1"/>
  <c r="N140" i="1"/>
  <c r="M140" i="1"/>
  <c r="N127" i="1"/>
  <c r="M127" i="1"/>
  <c r="K127" i="1"/>
  <c r="N137" i="1"/>
  <c r="M137" i="1"/>
  <c r="K138" i="1"/>
  <c r="N144" i="1"/>
  <c r="M144" i="1"/>
  <c r="K144" i="1"/>
  <c r="N119" i="1"/>
  <c r="M119" i="1"/>
  <c r="K119" i="1"/>
  <c r="N126" i="1" l="1"/>
  <c r="M126" i="1"/>
  <c r="K126" i="1"/>
  <c r="N117" i="1"/>
  <c r="M117" i="1"/>
  <c r="K117" i="1"/>
  <c r="N226" i="1" l="1"/>
  <c r="M226" i="1"/>
  <c r="K226" i="1"/>
  <c r="N123" i="1"/>
  <c r="M123" i="1"/>
  <c r="K123" i="1"/>
  <c r="N122" i="1"/>
  <c r="M122" i="1"/>
  <c r="K122" i="1"/>
  <c r="N133" i="1"/>
  <c r="M133" i="1"/>
  <c r="K133" i="1"/>
  <c r="N118" i="1"/>
  <c r="M118" i="1"/>
  <c r="K118" i="1"/>
  <c r="N120" i="1" l="1"/>
  <c r="M120" i="1"/>
  <c r="K120" i="1"/>
  <c r="N135" i="1"/>
  <c r="G135" i="1"/>
  <c r="F135" i="1"/>
  <c r="M135" i="1"/>
  <c r="K135" i="1"/>
  <c r="N139" i="1"/>
  <c r="M139" i="1"/>
  <c r="K139" i="1"/>
  <c r="N116" i="1" l="1"/>
  <c r="M116" i="1"/>
  <c r="K116" i="1"/>
  <c r="N224" i="1"/>
  <c r="M224" i="1"/>
  <c r="K224" i="1"/>
  <c r="N115" i="1"/>
  <c r="M115" i="1"/>
  <c r="K115" i="1"/>
  <c r="N145" i="1"/>
  <c r="M145" i="1"/>
  <c r="K145" i="1"/>
  <c r="N129" i="1"/>
  <c r="M129" i="1"/>
  <c r="K129" i="1"/>
  <c r="N147" i="1"/>
  <c r="M147" i="1"/>
  <c r="K147" i="1"/>
  <c r="G226" i="1"/>
  <c r="F226" i="1"/>
  <c r="G224" i="1"/>
  <c r="F224" i="1"/>
  <c r="D226" i="1"/>
  <c r="D224" i="1"/>
  <c r="N125" i="1" l="1"/>
  <c r="M125" i="1"/>
  <c r="K125" i="1"/>
  <c r="N138" i="1" l="1"/>
  <c r="M138" i="1"/>
  <c r="R15" i="1" l="1"/>
  <c r="V227" i="1" l="1"/>
  <c r="U227" i="1"/>
  <c r="T227" i="1"/>
  <c r="S227" i="1"/>
  <c r="R227" i="1"/>
  <c r="R233" i="1"/>
  <c r="R153" i="1" l="1"/>
  <c r="S153" i="1"/>
  <c r="T153" i="1"/>
  <c r="U153" i="1"/>
  <c r="V153" i="1"/>
  <c r="R125" i="1" l="1"/>
  <c r="R124" i="1"/>
  <c r="S132" i="1"/>
  <c r="R132" i="1"/>
  <c r="S148" i="1"/>
  <c r="R148" i="1"/>
  <c r="S120" i="1"/>
  <c r="S139" i="1"/>
  <c r="R139" i="1"/>
  <c r="R126" i="1"/>
  <c r="S144" i="1"/>
  <c r="R144" i="1"/>
  <c r="S135" i="1"/>
  <c r="R135" i="1"/>
  <c r="S119" i="1"/>
  <c r="R119" i="1"/>
  <c r="K158" i="1"/>
  <c r="L155" i="1" s="1"/>
  <c r="V217" i="1"/>
  <c r="U217" i="1"/>
  <c r="T217" i="1"/>
  <c r="S217" i="1"/>
  <c r="R217" i="1"/>
  <c r="K194" i="1"/>
  <c r="L217" i="1" s="1"/>
  <c r="D194" i="1"/>
  <c r="B19" i="2" s="1"/>
  <c r="B9" i="2" s="1"/>
  <c r="V218" i="1"/>
  <c r="U218" i="1"/>
  <c r="T218" i="1"/>
  <c r="S218" i="1"/>
  <c r="R218" i="1"/>
  <c r="K220" i="1"/>
  <c r="L202" i="1" s="1"/>
  <c r="D220" i="1"/>
  <c r="S133" i="1"/>
  <c r="S147" i="1"/>
  <c r="R114" i="1"/>
  <c r="S142" i="1"/>
  <c r="R142" i="1"/>
  <c r="R127" i="1"/>
  <c r="S113" i="1"/>
  <c r="V233" i="1"/>
  <c r="M124" i="1"/>
  <c r="N124" i="1"/>
  <c r="S124" i="1" s="1"/>
  <c r="V225" i="1"/>
  <c r="U225" i="1"/>
  <c r="T225" i="1"/>
  <c r="S225" i="1"/>
  <c r="R225" i="1"/>
  <c r="K229" i="1"/>
  <c r="S137" i="1"/>
  <c r="U141" i="1"/>
  <c r="V141" i="1"/>
  <c r="N114" i="1"/>
  <c r="S114" i="1" s="1"/>
  <c r="M114" i="1"/>
  <c r="R226" i="1"/>
  <c r="S226" i="1"/>
  <c r="T226" i="1"/>
  <c r="U226" i="1"/>
  <c r="V226" i="1"/>
  <c r="V52" i="1"/>
  <c r="U52" i="1"/>
  <c r="T52" i="1"/>
  <c r="S52" i="1"/>
  <c r="R52" i="1"/>
  <c r="R147" i="1"/>
  <c r="V147" i="1"/>
  <c r="U147" i="1"/>
  <c r="T147" i="1"/>
  <c r="R166" i="1"/>
  <c r="S166" i="1"/>
  <c r="T166" i="1"/>
  <c r="U166" i="1"/>
  <c r="V166" i="1"/>
  <c r="V142" i="1"/>
  <c r="U142" i="1"/>
  <c r="T142" i="1"/>
  <c r="R58" i="1"/>
  <c r="V58" i="1"/>
  <c r="U58" i="1"/>
  <c r="S58" i="1"/>
  <c r="T58" i="1"/>
  <c r="R32" i="1"/>
  <c r="V32" i="1"/>
  <c r="U32" i="1"/>
  <c r="T32" i="1"/>
  <c r="S32" i="1"/>
  <c r="T136" i="1"/>
  <c r="V124" i="1"/>
  <c r="U124" i="1"/>
  <c r="T124" i="1"/>
  <c r="R45" i="1"/>
  <c r="S45" i="1"/>
  <c r="T45" i="1"/>
  <c r="U45" i="1"/>
  <c r="V45" i="1"/>
  <c r="O229" i="1"/>
  <c r="H229" i="1"/>
  <c r="D229" i="1"/>
  <c r="V224" i="1"/>
  <c r="U224" i="1"/>
  <c r="T224" i="1"/>
  <c r="S224" i="1"/>
  <c r="R224" i="1"/>
  <c r="V135" i="1"/>
  <c r="U135" i="1"/>
  <c r="T135" i="1"/>
  <c r="V82" i="1"/>
  <c r="U82" i="1"/>
  <c r="T82" i="1"/>
  <c r="S82" i="1"/>
  <c r="R82" i="1"/>
  <c r="R170" i="1"/>
  <c r="V23" i="1"/>
  <c r="U23" i="1"/>
  <c r="T23" i="1"/>
  <c r="S23" i="1"/>
  <c r="R23" i="1"/>
  <c r="O220" i="1"/>
  <c r="H220" i="1"/>
  <c r="V219" i="1"/>
  <c r="U219" i="1"/>
  <c r="T219" i="1"/>
  <c r="S219" i="1"/>
  <c r="R219" i="1"/>
  <c r="R31" i="1"/>
  <c r="R116" i="1"/>
  <c r="S116" i="1"/>
  <c r="T116" i="1"/>
  <c r="U116" i="1"/>
  <c r="V116" i="1"/>
  <c r="R53" i="1"/>
  <c r="R211" i="1"/>
  <c r="V203" i="1"/>
  <c r="U203" i="1"/>
  <c r="T203" i="1"/>
  <c r="S203" i="1"/>
  <c r="R203" i="1"/>
  <c r="T144" i="1"/>
  <c r="U144" i="1"/>
  <c r="V144" i="1"/>
  <c r="R6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10" i="4"/>
  <c r="G12" i="4" s="1"/>
  <c r="E4" i="5"/>
  <c r="E3" i="5"/>
  <c r="E10" i="4"/>
  <c r="F12" i="4" s="1"/>
  <c r="D10" i="4"/>
  <c r="E12" i="4" s="1"/>
  <c r="C10" i="4"/>
  <c r="D12" i="4" s="1"/>
  <c r="B10" i="4"/>
  <c r="I4" i="6"/>
  <c r="I3" i="6" s="1"/>
  <c r="H4" i="6"/>
  <c r="H3" i="6"/>
  <c r="G4" i="6"/>
  <c r="G3" i="6" s="1"/>
  <c r="F4" i="6"/>
  <c r="F3" i="6" s="1"/>
  <c r="E4" i="6"/>
  <c r="E3" i="6"/>
  <c r="D4" i="6"/>
  <c r="D3" i="6"/>
  <c r="C4" i="6"/>
  <c r="C3" i="6" s="1"/>
  <c r="B4" i="6"/>
  <c r="B3" i="6"/>
  <c r="F4" i="5"/>
  <c r="F3" i="5" s="1"/>
  <c r="V249" i="1"/>
  <c r="U249" i="1"/>
  <c r="S249" i="1"/>
  <c r="O249" i="1"/>
  <c r="K249" i="1"/>
  <c r="L246" i="1" s="1"/>
  <c r="H249" i="1"/>
  <c r="D249" i="1"/>
  <c r="E237" i="1" s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O234" i="1"/>
  <c r="K234" i="1"/>
  <c r="L232" i="1" s="1"/>
  <c r="H234" i="1"/>
  <c r="D234" i="1"/>
  <c r="E232" i="1" s="1"/>
  <c r="E233" i="1"/>
  <c r="U233" i="1"/>
  <c r="T233" i="1"/>
  <c r="S233" i="1"/>
  <c r="V232" i="1"/>
  <c r="U232" i="1"/>
  <c r="T232" i="1"/>
  <c r="S232" i="1"/>
  <c r="R232" i="1"/>
  <c r="V228" i="1"/>
  <c r="U228" i="1"/>
  <c r="T228" i="1"/>
  <c r="S228" i="1"/>
  <c r="R228" i="1"/>
  <c r="V220" i="1"/>
  <c r="U220" i="1"/>
  <c r="S220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2" i="1"/>
  <c r="U202" i="1"/>
  <c r="T202" i="1"/>
  <c r="S202" i="1"/>
  <c r="R202" i="1"/>
  <c r="V199" i="1"/>
  <c r="U199" i="1"/>
  <c r="T199" i="1"/>
  <c r="S199" i="1"/>
  <c r="R199" i="1"/>
  <c r="V198" i="1"/>
  <c r="U198" i="1"/>
  <c r="T198" i="1"/>
  <c r="S198" i="1"/>
  <c r="R198" i="1"/>
  <c r="V194" i="1"/>
  <c r="U194" i="1"/>
  <c r="S194" i="1"/>
  <c r="O194" i="1"/>
  <c r="H194" i="1"/>
  <c r="T194" i="1" s="1"/>
  <c r="V193" i="1"/>
  <c r="U193" i="1"/>
  <c r="T193" i="1"/>
  <c r="S193" i="1"/>
  <c r="R193" i="1"/>
  <c r="V192" i="1"/>
  <c r="U192" i="1"/>
  <c r="T192" i="1"/>
  <c r="S192" i="1"/>
  <c r="R192" i="1"/>
  <c r="V189" i="1"/>
  <c r="U189" i="1"/>
  <c r="S189" i="1"/>
  <c r="O189" i="1"/>
  <c r="K189" i="1"/>
  <c r="L169" i="1" s="1"/>
  <c r="H189" i="1"/>
  <c r="D189" i="1"/>
  <c r="E166" i="1" s="1"/>
  <c r="V158" i="1"/>
  <c r="U158" i="1"/>
  <c r="S158" i="1"/>
  <c r="O158" i="1"/>
  <c r="H158" i="1"/>
  <c r="D158" i="1"/>
  <c r="E152" i="1" s="1"/>
  <c r="E156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2" i="1"/>
  <c r="U152" i="1"/>
  <c r="T152" i="1"/>
  <c r="S152" i="1"/>
  <c r="R152" i="1"/>
  <c r="V149" i="1"/>
  <c r="U149" i="1"/>
  <c r="S149" i="1"/>
  <c r="O149" i="1"/>
  <c r="H149" i="1"/>
  <c r="V148" i="1"/>
  <c r="U148" i="1"/>
  <c r="T148" i="1"/>
  <c r="V146" i="1"/>
  <c r="U146" i="1"/>
  <c r="T146" i="1"/>
  <c r="S146" i="1"/>
  <c r="R146" i="1"/>
  <c r="V145" i="1"/>
  <c r="U145" i="1"/>
  <c r="T145" i="1"/>
  <c r="S145" i="1"/>
  <c r="V143" i="1"/>
  <c r="U143" i="1"/>
  <c r="T143" i="1"/>
  <c r="S143" i="1"/>
  <c r="R143" i="1"/>
  <c r="T141" i="1"/>
  <c r="S141" i="1"/>
  <c r="V140" i="1"/>
  <c r="U140" i="1"/>
  <c r="T140" i="1"/>
  <c r="R140" i="1"/>
  <c r="S140" i="1"/>
  <c r="V139" i="1"/>
  <c r="U139" i="1"/>
  <c r="T139" i="1"/>
  <c r="V138" i="1"/>
  <c r="U138" i="1"/>
  <c r="T138" i="1"/>
  <c r="S138" i="1"/>
  <c r="R138" i="1"/>
  <c r="V137" i="1"/>
  <c r="U137" i="1"/>
  <c r="T137" i="1"/>
  <c r="R137" i="1"/>
  <c r="V136" i="1"/>
  <c r="U136" i="1"/>
  <c r="S136" i="1"/>
  <c r="R136" i="1"/>
  <c r="V134" i="1"/>
  <c r="U134" i="1"/>
  <c r="T134" i="1"/>
  <c r="S134" i="1"/>
  <c r="R134" i="1"/>
  <c r="V133" i="1"/>
  <c r="U133" i="1"/>
  <c r="T133" i="1"/>
  <c r="V132" i="1"/>
  <c r="U132" i="1"/>
  <c r="T132" i="1"/>
  <c r="V129" i="1"/>
  <c r="U129" i="1"/>
  <c r="T129" i="1"/>
  <c r="S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V125" i="1"/>
  <c r="U125" i="1"/>
  <c r="T125" i="1"/>
  <c r="S125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V119" i="1"/>
  <c r="U119" i="1"/>
  <c r="T119" i="1"/>
  <c r="V118" i="1"/>
  <c r="U118" i="1"/>
  <c r="T118" i="1"/>
  <c r="S118" i="1"/>
  <c r="V117" i="1"/>
  <c r="U117" i="1"/>
  <c r="T117" i="1"/>
  <c r="S117" i="1"/>
  <c r="V115" i="1"/>
  <c r="U115" i="1"/>
  <c r="T115" i="1"/>
  <c r="S115" i="1"/>
  <c r="V114" i="1"/>
  <c r="U114" i="1"/>
  <c r="T114" i="1"/>
  <c r="V113" i="1"/>
  <c r="U113" i="1"/>
  <c r="T113" i="1"/>
  <c r="R113" i="1"/>
  <c r="V109" i="1"/>
  <c r="U109" i="1"/>
  <c r="S109" i="1"/>
  <c r="O109" i="1"/>
  <c r="K109" i="1"/>
  <c r="H109" i="1"/>
  <c r="D109" i="1"/>
  <c r="E91" i="1" s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E103" i="1"/>
  <c r="E78" i="1"/>
  <c r="E96" i="1"/>
  <c r="E98" i="1"/>
  <c r="E100" i="1"/>
  <c r="E88" i="1"/>
  <c r="E90" i="1"/>
  <c r="D149" i="1"/>
  <c r="E138" i="1" s="1"/>
  <c r="R115" i="1"/>
  <c r="R118" i="1"/>
  <c r="R129" i="1"/>
  <c r="R133" i="1"/>
  <c r="R141" i="1"/>
  <c r="R145" i="1"/>
  <c r="I12" i="4" l="1"/>
  <c r="H12" i="4"/>
  <c r="E45" i="1"/>
  <c r="L36" i="1"/>
  <c r="E192" i="1"/>
  <c r="E193" i="1"/>
  <c r="E107" i="1"/>
  <c r="E13" i="1"/>
  <c r="E17" i="1"/>
  <c r="E15" i="1"/>
  <c r="E34" i="1"/>
  <c r="E14" i="1"/>
  <c r="C4" i="5"/>
  <c r="C3" i="5" s="1"/>
  <c r="C12" i="4"/>
  <c r="B4" i="5"/>
  <c r="B3" i="5" s="1"/>
  <c r="T158" i="1"/>
  <c r="E89" i="1"/>
  <c r="E105" i="1"/>
  <c r="E85" i="1"/>
  <c r="E79" i="1"/>
  <c r="E93" i="1"/>
  <c r="E247" i="1"/>
  <c r="E77" i="1"/>
  <c r="E74" i="1"/>
  <c r="E180" i="1"/>
  <c r="E108" i="1"/>
  <c r="E72" i="1"/>
  <c r="E184" i="1"/>
  <c r="E84" i="1"/>
  <c r="E81" i="1"/>
  <c r="T109" i="1"/>
  <c r="E80" i="1"/>
  <c r="E75" i="1"/>
  <c r="E139" i="1"/>
  <c r="E106" i="1"/>
  <c r="E97" i="1"/>
  <c r="B15" i="2"/>
  <c r="B5" i="2" s="1"/>
  <c r="E86" i="1"/>
  <c r="B16" i="2"/>
  <c r="B6" i="2" s="1"/>
  <c r="E82" i="1"/>
  <c r="E104" i="1"/>
  <c r="E102" i="1"/>
  <c r="E101" i="1"/>
  <c r="E16" i="1"/>
  <c r="E9" i="1"/>
  <c r="E20" i="1"/>
  <c r="E242" i="1"/>
  <c r="E18" i="1"/>
  <c r="B13" i="2"/>
  <c r="B3" i="2" s="1"/>
  <c r="E6" i="1"/>
  <c r="E10" i="1"/>
  <c r="E24" i="1"/>
  <c r="E11" i="1"/>
  <c r="E203" i="1"/>
  <c r="E227" i="1"/>
  <c r="E12" i="1"/>
  <c r="E21" i="1"/>
  <c r="E7" i="1"/>
  <c r="E22" i="1"/>
  <c r="E8" i="1"/>
  <c r="E125" i="1"/>
  <c r="E19" i="1"/>
  <c r="L233" i="1"/>
  <c r="R234" i="1"/>
  <c r="L78" i="1"/>
  <c r="L101" i="1"/>
  <c r="L226" i="1"/>
  <c r="L227" i="1"/>
  <c r="L225" i="1"/>
  <c r="R229" i="1"/>
  <c r="E204" i="1"/>
  <c r="B20" i="2"/>
  <c r="B10" i="2" s="1"/>
  <c r="E202" i="1"/>
  <c r="E209" i="1"/>
  <c r="E207" i="1"/>
  <c r="E225" i="1"/>
  <c r="E224" i="1"/>
  <c r="E212" i="1"/>
  <c r="E219" i="1"/>
  <c r="E210" i="1"/>
  <c r="E217" i="1"/>
  <c r="E179" i="1"/>
  <c r="E187" i="1"/>
  <c r="E168" i="1"/>
  <c r="E162" i="1"/>
  <c r="E174" i="1"/>
  <c r="E183" i="1"/>
  <c r="E48" i="1"/>
  <c r="E165" i="1"/>
  <c r="E185" i="1"/>
  <c r="E176" i="1"/>
  <c r="E167" i="1"/>
  <c r="E188" i="1"/>
  <c r="E178" i="1"/>
  <c r="E163" i="1"/>
  <c r="E175" i="1"/>
  <c r="E169" i="1"/>
  <c r="E181" i="1"/>
  <c r="E170" i="1"/>
  <c r="E182" i="1"/>
  <c r="E161" i="1"/>
  <c r="E186" i="1"/>
  <c r="E173" i="1"/>
  <c r="E164" i="1"/>
  <c r="E177" i="1"/>
  <c r="E171" i="1"/>
  <c r="B18" i="2"/>
  <c r="B8" i="2" s="1"/>
  <c r="E172" i="1"/>
  <c r="E155" i="1"/>
  <c r="E157" i="1"/>
  <c r="E142" i="1"/>
  <c r="E115" i="1"/>
  <c r="E132" i="1"/>
  <c r="E144" i="1"/>
  <c r="E124" i="1"/>
  <c r="E116" i="1"/>
  <c r="E140" i="1"/>
  <c r="E117" i="1"/>
  <c r="E135" i="1"/>
  <c r="L224" i="1"/>
  <c r="L157" i="1"/>
  <c r="L152" i="1"/>
  <c r="B6" i="3"/>
  <c r="L228" i="1"/>
  <c r="T220" i="1"/>
  <c r="L154" i="1"/>
  <c r="L153" i="1"/>
  <c r="L156" i="1"/>
  <c r="C17" i="2"/>
  <c r="C7" i="2" s="1"/>
  <c r="E246" i="1"/>
  <c r="E244" i="1"/>
  <c r="L238" i="1"/>
  <c r="R194" i="1"/>
  <c r="L193" i="1"/>
  <c r="L192" i="1"/>
  <c r="B2" i="3"/>
  <c r="C19" i="2"/>
  <c r="C9" i="2" s="1"/>
  <c r="L209" i="1"/>
  <c r="L199" i="1"/>
  <c r="L210" i="1"/>
  <c r="L212" i="1"/>
  <c r="C20" i="2"/>
  <c r="C10" i="2" s="1"/>
  <c r="L198" i="1"/>
  <c r="L214" i="1"/>
  <c r="L208" i="1"/>
  <c r="L205" i="1"/>
  <c r="B4" i="3"/>
  <c r="L203" i="1"/>
  <c r="L213" i="1"/>
  <c r="L211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7" i="1"/>
  <c r="L242" i="1"/>
  <c r="L244" i="1"/>
  <c r="L240" i="1"/>
  <c r="L206" i="1"/>
  <c r="L218" i="1"/>
  <c r="L204" i="1"/>
  <c r="L207" i="1"/>
  <c r="L219" i="1"/>
  <c r="E30" i="1"/>
  <c r="T249" i="1"/>
  <c r="L245" i="1"/>
  <c r="L248" i="1"/>
  <c r="L243" i="1"/>
  <c r="L241" i="1"/>
  <c r="L239" i="1"/>
  <c r="L237" i="1"/>
  <c r="K149" i="1"/>
  <c r="L117" i="1" s="1"/>
  <c r="R117" i="1"/>
  <c r="R120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0" i="1"/>
  <c r="E238" i="1"/>
  <c r="E241" i="1"/>
  <c r="E243" i="1"/>
  <c r="E245" i="1"/>
  <c r="E248" i="1"/>
  <c r="E239" i="1"/>
  <c r="R249" i="1"/>
  <c r="E218" i="1"/>
  <c r="E205" i="1"/>
  <c r="E198" i="1"/>
  <c r="E199" i="1"/>
  <c r="E214" i="1"/>
  <c r="E208" i="1"/>
  <c r="E226" i="1"/>
  <c r="E228" i="1"/>
  <c r="E213" i="1"/>
  <c r="R220" i="1"/>
  <c r="E211" i="1"/>
  <c r="T189" i="1"/>
  <c r="H221" i="1"/>
  <c r="H250" i="1" s="1"/>
  <c r="B17" i="2"/>
  <c r="B7" i="2" s="1"/>
  <c r="E154" i="1"/>
  <c r="R158" i="1"/>
  <c r="T149" i="1"/>
  <c r="E121" i="1"/>
  <c r="E148" i="1"/>
  <c r="E134" i="1"/>
  <c r="E122" i="1"/>
  <c r="E145" i="1"/>
  <c r="E127" i="1"/>
  <c r="E126" i="1"/>
  <c r="E137" i="1"/>
  <c r="E141" i="1"/>
  <c r="E129" i="1"/>
  <c r="E143" i="1"/>
  <c r="E133" i="1"/>
  <c r="E123" i="1"/>
  <c r="E118" i="1"/>
  <c r="E113" i="1"/>
  <c r="E136" i="1"/>
  <c r="E128" i="1"/>
  <c r="E114" i="1"/>
  <c r="E120" i="1"/>
  <c r="E83" i="1"/>
  <c r="E99" i="1"/>
  <c r="E94" i="1"/>
  <c r="E73" i="1"/>
  <c r="E87" i="1"/>
  <c r="E92" i="1"/>
  <c r="D221" i="1"/>
  <c r="E25" i="1" s="1"/>
  <c r="J12" i="4"/>
  <c r="O221" i="1"/>
  <c r="O250" i="1" s="1"/>
  <c r="L178" i="1"/>
  <c r="L170" i="1"/>
  <c r="L181" i="1"/>
  <c r="R189" i="1"/>
  <c r="B5" i="3"/>
  <c r="L161" i="1"/>
  <c r="L182" i="1"/>
  <c r="L48" i="1"/>
  <c r="L173" i="1"/>
  <c r="L172" i="1"/>
  <c r="L185" i="1"/>
  <c r="L171" i="1"/>
  <c r="L164" i="1"/>
  <c r="L165" i="1"/>
  <c r="L180" i="1"/>
  <c r="L177" i="1"/>
  <c r="C18" i="2"/>
  <c r="C8" i="2" s="1"/>
  <c r="L176" i="1"/>
  <c r="L184" i="1"/>
  <c r="L166" i="1"/>
  <c r="L183" i="1"/>
  <c r="L162" i="1"/>
  <c r="L168" i="1"/>
  <c r="L163" i="1"/>
  <c r="L174" i="1"/>
  <c r="L175" i="1"/>
  <c r="L186" i="1"/>
  <c r="L179" i="1"/>
  <c r="L167" i="1"/>
  <c r="L72" i="1"/>
  <c r="L98" i="1"/>
  <c r="L75" i="1"/>
  <c r="L96" i="1"/>
  <c r="L99" i="1"/>
  <c r="L105" i="1"/>
  <c r="L92" i="1"/>
  <c r="L73" i="1"/>
  <c r="L82" i="1"/>
  <c r="L135" i="1"/>
  <c r="L83" i="1"/>
  <c r="E76" i="1"/>
  <c r="L88" i="1"/>
  <c r="R109" i="1"/>
  <c r="L91" i="1"/>
  <c r="L86" i="1"/>
  <c r="L80" i="1"/>
  <c r="L84" i="1"/>
  <c r="C15" i="2"/>
  <c r="C5" i="2" s="1"/>
  <c r="L89" i="1"/>
  <c r="L97" i="1"/>
  <c r="L104" i="1"/>
  <c r="L81" i="1"/>
  <c r="B7" i="3"/>
  <c r="L87" i="1"/>
  <c r="L79" i="1"/>
  <c r="L106" i="1"/>
  <c r="L77" i="1"/>
  <c r="L102" i="1"/>
  <c r="L76" i="1"/>
  <c r="L93" i="1"/>
  <c r="L103" i="1"/>
  <c r="L108" i="1"/>
  <c r="L100" i="1"/>
  <c r="L74" i="1"/>
  <c r="L85" i="1"/>
  <c r="L107" i="1"/>
  <c r="L141" i="1" l="1"/>
  <c r="B8" i="3"/>
  <c r="L136" i="1"/>
  <c r="L127" i="1"/>
  <c r="L145" i="1"/>
  <c r="L142" i="1"/>
  <c r="L122" i="1"/>
  <c r="L139" i="1"/>
  <c r="L128" i="1"/>
  <c r="L123" i="1"/>
  <c r="R149" i="1"/>
  <c r="L120" i="1"/>
  <c r="L119" i="1"/>
  <c r="C16" i="2"/>
  <c r="C6" i="2" s="1"/>
  <c r="L146" i="1"/>
  <c r="L134" i="1"/>
  <c r="L144" i="1"/>
  <c r="K221" i="1"/>
  <c r="L149" i="1" s="1"/>
  <c r="L116" i="1"/>
  <c r="L115" i="1"/>
  <c r="L129" i="1"/>
  <c r="L147" i="1"/>
  <c r="L118" i="1"/>
  <c r="L113" i="1"/>
  <c r="L140" i="1"/>
  <c r="L138" i="1"/>
  <c r="L121" i="1"/>
  <c r="L137" i="1"/>
  <c r="L124" i="1"/>
  <c r="L143" i="1"/>
  <c r="L125" i="1"/>
  <c r="L132" i="1"/>
  <c r="L133" i="1"/>
  <c r="L114" i="1"/>
  <c r="L126" i="1"/>
  <c r="L148" i="1"/>
  <c r="E220" i="1"/>
  <c r="D250" i="1"/>
  <c r="E158" i="1"/>
  <c r="E194" i="1"/>
  <c r="E109" i="1"/>
  <c r="E189" i="1"/>
  <c r="E149" i="1"/>
  <c r="E69" i="1"/>
  <c r="L25" i="1" l="1"/>
  <c r="L69" i="1"/>
  <c r="L158" i="1"/>
  <c r="R221" i="1"/>
  <c r="L194" i="1"/>
  <c r="L189" i="1"/>
  <c r="K250" i="1"/>
  <c r="L220" i="1"/>
  <c r="L109" i="1"/>
</calcChain>
</file>

<file path=xl/sharedStrings.xml><?xml version="1.0" encoding="utf-8"?>
<sst xmlns="http://schemas.openxmlformats.org/spreadsheetml/2006/main" count="512" uniqueCount="323">
  <si>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</si>
  <si>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</si>
  <si>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</si>
  <si>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</si>
  <si>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</si>
  <si>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</si>
  <si>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</si>
  <si>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</si>
  <si>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</si>
  <si>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</si>
  <si>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</si>
  <si>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</si>
  <si>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</si>
  <si>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</si>
  <si>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</si>
  <si>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</si>
  <si>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</si>
  <si>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</si>
  <si>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</si>
  <si>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</si>
  <si>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</si>
  <si>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</si>
  <si>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</si>
  <si>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</si>
  <si>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</si>
  <si>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</si>
  <si>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</si>
  <si>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</si>
  <si>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</si>
  <si>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</si>
  <si>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</si>
  <si>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</si>
  <si>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</si>
  <si>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</si>
  <si>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</si>
  <si>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</si>
  <si>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</si>
  <si>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</si>
  <si>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</si>
  <si>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</si>
  <si>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</si>
  <si>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</si>
  <si>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</si>
  <si>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</si>
  <si>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</si>
  <si>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</si>
  <si>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</si>
  <si>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</si>
  <si>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</si>
  <si>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</si>
  <si>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</si>
  <si>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</si>
  <si>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</si>
  <si>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</si>
  <si>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</si>
  <si>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</si>
  <si>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</si>
  <si>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</si>
  <si>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</si>
  <si>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</si>
  <si>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</si>
  <si>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</si>
  <si>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</si>
  <si>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</si>
  <si>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</si>
  <si>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</si>
  <si>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</si>
  <si>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</si>
  <si>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</si>
  <si>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</si>
  <si>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</si>
  <si>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</si>
  <si>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</si>
  <si>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</si>
  <si>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</si>
  <si>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</si>
  <si>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</si>
  <si>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</si>
  <si>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</si>
  <si>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</si>
  <si>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</si>
  <si>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</si>
  <si>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</si>
  <si>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</si>
  <si>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</si>
  <si>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</si>
  <si>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</si>
  <si>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</si>
  <si>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</si>
  <si>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</si>
  <si>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</si>
  <si>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</si>
  <si>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</si>
  <si>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</si>
  <si>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</si>
  <si>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</si>
  <si>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</si>
  <si>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</si>
  <si>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</si>
  <si>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</si>
  <si>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</si>
  <si>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</si>
  <si>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</si>
  <si>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</si>
  <si>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</si>
  <si>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</si>
  <si>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</si>
  <si>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</si>
  <si>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</si>
  <si>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</si>
  <si>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</si>
  <si>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</si>
  <si>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</si>
  <si>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</si>
  <si>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</si>
  <si>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</si>
  <si>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</si>
  <si>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</si>
  <si>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</si>
  <si>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</si>
  <si>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</si>
  <si>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</si>
  <si>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</si>
  <si>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</si>
  <si>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</si>
  <si>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</si>
  <si>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</si>
  <si>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</si>
  <si>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</si>
  <si>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</si>
  <si>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</si>
  <si>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</si>
  <si>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</si>
  <si>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</si>
  <si>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</si>
  <si>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</si>
  <si>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</si>
  <si>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</si>
  <si>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</si>
  <si>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</si>
  <si>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</si>
  <si>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</si>
  <si>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</si>
  <si>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</si>
  <si>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</si>
  <si>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</si>
  <si>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</si>
  <si>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</si>
  <si>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</si>
  <si>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</si>
  <si>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</si>
  <si>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</si>
  <si>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</si>
  <si>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</si>
  <si>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</si>
  <si>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</si>
  <si>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</si>
  <si>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</si>
  <si>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</si>
  <si>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</si>
  <si>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</si>
  <si>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</si>
  <si>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</si>
  <si>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</si>
  <si>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</si>
  <si>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</si>
  <si>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</si>
  <si>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</si>
  <si>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</si>
  <si>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</si>
  <si>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</si>
  <si>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</si>
  <si>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</si>
  <si>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</si>
  <si>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</si>
  <si>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</si>
  <si>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</si>
  <si>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</si>
  <si>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</si>
  <si>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</si>
  <si>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</si>
  <si>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</si>
  <si>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</si>
  <si>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</si>
  <si>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</si>
  <si>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</si>
  <si>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</si>
  <si>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</si>
  <si>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</si>
  <si>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</si>
  <si>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</si>
  <si>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</si>
  <si>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</si>
  <si>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</si>
  <si>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</si>
  <si>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</si>
  <si>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</si>
  <si>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</si>
  <si>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</si>
  <si>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</si>
  <si>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</si>
  <si>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</si>
  <si>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</si>
  <si>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</si>
  <si>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</si>
  <si>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</si>
  <si>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</si>
  <si>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</si>
  <si>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</si>
  <si>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</si>
  <si>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</si>
  <si>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</si>
  <si>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</si>
  <si>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</si>
  <si>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</si>
  <si>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</si>
  <si>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</si>
  <si>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</si>
  <si>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</si>
  <si>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</si>
  <si>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</si>
  <si>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</si>
  <si>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</si>
  <si>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</si>
  <si>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</si>
  <si>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</si>
  <si>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</si>
  <si>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</si>
  <si>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</si>
  <si>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</si>
  <si>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</si>
  <si>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</si>
  <si>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</si>
  <si>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</si>
  <si>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</si>
  <si>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</si>
  <si>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</si>
  <si>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</si>
  <si>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</si>
  <si>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</si>
  <si>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</si>
  <si>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</si>
  <si>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</si>
  <si>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</si>
  <si>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</si>
  <si>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</si>
  <si>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</si>
  <si>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</si>
  <si>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</si>
  <si>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</si>
  <si>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</si>
  <si>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</si>
  <si>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</si>
  <si>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</si>
  <si>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</si>
  <si>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</si>
  <si>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</si>
  <si>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</si>
  <si>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</si>
  <si>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</si>
  <si>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</si>
  <si>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</si>
  <si>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</si>
  <si>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</si>
  <si>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</si>
  <si>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</si>
  <si>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</si>
  <si>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</si>
  <si>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</si>
  <si>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</si>
  <si>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</si>
  <si>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</si>
  <si>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</si>
  <si>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</si>
  <si>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</si>
  <si>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</si>
  <si>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</si>
  <si>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</si>
  <si>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</si>
  <si>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</si>
  <si>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</si>
  <si>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</si>
  <si>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</si>
  <si>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</si>
  <si>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</si>
  <si>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</si>
  <si>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</si>
  <si>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</si>
  <si>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</si>
  <si>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</si>
  <si>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</si>
  <si>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</si>
  <si>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</si>
  <si>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</si>
  <si>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</si>
  <si>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</si>
  <si>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</si>
  <si>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</si>
  <si>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</si>
  <si>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</si>
  <si>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</si>
  <si>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</si>
  <si>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</si>
  <si>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</si>
  <si>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</si>
  <si>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</si>
  <si>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</si>
  <si>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</si>
  <si>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</si>
  <si>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</si>
  <si>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</si>
  <si>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</si>
  <si>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</si>
  <si>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0.9%</t>
  </si>
  <si>
    <t>ARM Halal Balanced Fund</t>
  </si>
  <si>
    <t>MOFI Real Estate Investment Fund</t>
  </si>
  <si>
    <t>NAV, Unit Price and Yield as at Week Ended May 30, 2025</t>
  </si>
  <si>
    <t>United Capital Children Investment Fund</t>
  </si>
  <si>
    <t>Week Ended May 30, 2025</t>
  </si>
  <si>
    <t>WEEKLY VALUATION REPORT OF COLLECTIVE INVESTMENT SCHEMES AS AT WEEK ENDED THURSDAY, JUNE 5, 2025</t>
  </si>
  <si>
    <t>NAV, Unit Price and Yield as at Week Ended June 5, 2025</t>
  </si>
  <si>
    <t>NFEM RATE NG₦/US$ as at 5th June, 2025 = N1553.1157</t>
  </si>
  <si>
    <t>Week Ended June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</si>
</sst>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sz val="11"/>
      <name val="Calibri"/>
      <charset val="134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0" fontId="42" fillId="0" borderId="0" xfId="0" applyFont="1"/>
    <xf numFmtId="167" fontId="41" fillId="0" borderId="0" xfId="1" applyNumberFormat="1" applyFont="1"/>
    <xf numFmtId="0" fontId="43" fillId="0" borderId="0" xfId="0" applyFont="1"/>
    <xf numFmtId="16" fontId="44" fillId="2" borderId="0" xfId="0" applyNumberFormat="1" applyFont="1" applyFill="1"/>
    <xf numFmtId="164" fontId="45" fillId="0" borderId="0" xfId="1" applyFont="1"/>
    <xf numFmtId="43" fontId="45" fillId="0" borderId="0" xfId="0" applyNumberFormat="1" applyFont="1"/>
    <xf numFmtId="4" fontId="45" fillId="0" borderId="0" xfId="0" applyNumberFormat="1" applyFont="1"/>
    <xf numFmtId="0" fontId="46" fillId="0" borderId="0" xfId="0" applyFont="1" applyBorder="1" applyAlignment="1">
      <alignment horizontal="right"/>
    </xf>
    <xf numFmtId="16" fontId="47" fillId="2" borderId="0" xfId="0" applyNumberFormat="1" applyFont="1" applyFill="1" applyBorder="1"/>
    <xf numFmtId="0" fontId="47" fillId="0" borderId="0" xfId="0" applyFont="1" applyBorder="1" applyAlignment="1">
      <alignment horizontal="right"/>
    </xf>
    <xf numFmtId="4" fontId="48" fillId="2" borderId="0" xfId="0" applyNumberFormat="1" applyFont="1" applyFill="1" applyBorder="1"/>
    <xf numFmtId="164" fontId="48" fillId="2" borderId="0" xfId="1" applyFont="1" applyFill="1" applyBorder="1" applyAlignment="1">
      <alignment horizontal="right" vertical="top" wrapText="1"/>
    </xf>
    <xf numFmtId="4" fontId="48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4" fontId="48" fillId="2" borderId="0" xfId="0" applyNumberFormat="1" applyFont="1" applyFill="1"/>
    <xf numFmtId="0" fontId="49" fillId="0" borderId="0" xfId="0" applyFont="1" applyBorder="1" applyAlignment="1">
      <alignment horizontal="right"/>
    </xf>
    <xf numFmtId="16" fontId="49" fillId="2" borderId="0" xfId="0" applyNumberFormat="1" applyFont="1" applyFill="1" applyBorder="1" applyAlignment="1">
      <alignment horizontal="center" wrapText="1"/>
    </xf>
    <xf numFmtId="0" fontId="50" fillId="0" borderId="0" xfId="0" applyFont="1" applyBorder="1"/>
    <xf numFmtId="0" fontId="49" fillId="0" borderId="0" xfId="0" applyFont="1" applyBorder="1" applyAlignment="1">
      <alignment horizontal="right" wrapText="1"/>
    </xf>
    <xf numFmtId="4" fontId="51" fillId="2" borderId="0" xfId="0" applyNumberFormat="1" applyFont="1" applyFill="1" applyBorder="1"/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47" fillId="0" borderId="0" xfId="0" applyFont="1" applyAlignment="1">
      <alignment horizontal="right"/>
    </xf>
    <xf numFmtId="0" fontId="16" fillId="0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53" fillId="0" borderId="0" xfId="0" applyFont="1"/>
    <xf numFmtId="4" fontId="48" fillId="2" borderId="0" xfId="0" applyNumberFormat="1" applyFont="1" applyFill="1" applyAlignment="1">
      <alignment horizontal="right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30,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41.941704345109997</c:v>
                </c:pt>
                <c:pt idx="1">
                  <c:v>2990.6642413624418</c:v>
                </c:pt>
                <c:pt idx="2">
                  <c:v>209.15974234228909</c:v>
                </c:pt>
                <c:pt idx="3">
                  <c:v>1938.0345043664831</c:v>
                </c:pt>
                <c:pt idx="4">
                  <c:v>355.72532905643385</c:v>
                </c:pt>
                <c:pt idx="5" formatCode="_-* #,##0.00_-;\-* #,##0.00_-;_-* &quot;-&quot;??_-;_-@_-">
                  <c:v>60.841613029135786</c:v>
                </c:pt>
                <c:pt idx="6">
                  <c:v>5.9926659787999998</c:v>
                </c:pt>
                <c:pt idx="7">
                  <c:v>58.641321245814737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5,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42.835043182520003</c:v>
                </c:pt>
                <c:pt idx="1">
                  <c:v>3044.8468891352236</c:v>
                </c:pt>
                <c:pt idx="2">
                  <c:v>210.58683511191572</c:v>
                </c:pt>
                <c:pt idx="3">
                  <c:v>1924.6014249240279</c:v>
                </c:pt>
                <c:pt idx="4">
                  <c:v>356.68116479001731</c:v>
                </c:pt>
                <c:pt idx="5" formatCode="_-* #,##0.00_-;\-* #,##0.00_-;_-* &quot;-&quot;??_-;_-@_-">
                  <c:v>61.815946486813843</c:v>
                </c:pt>
                <c:pt idx="6">
                  <c:v>6.1315200247600004</c:v>
                </c:pt>
                <c:pt idx="7">
                  <c:v>59.376004499683233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5TH JUNE,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8303520542675"/>
          <c:y val="4.039749557222197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5-Jun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6131520024.7600002</c:v>
                </c:pt>
                <c:pt idx="1">
                  <c:v>42835043182.520004</c:v>
                </c:pt>
                <c:pt idx="2" formatCode="_-* #,##0.00_-;\-* #,##0.00_-;_-* &quot;-&quot;??_-;_-@_-">
                  <c:v>59376004499.683235</c:v>
                </c:pt>
                <c:pt idx="3">
                  <c:v>61815946486.813843</c:v>
                </c:pt>
                <c:pt idx="4">
                  <c:v>356681164790.01733</c:v>
                </c:pt>
                <c:pt idx="5">
                  <c:v>210586835111.91571</c:v>
                </c:pt>
                <c:pt idx="6">
                  <c:v>1924601424924.0278</c:v>
                </c:pt>
                <c:pt idx="7">
                  <c:v>3044846889135.2236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45764</c:v>
                </c:pt>
                <c:pt idx="1">
                  <c:v>45772</c:v>
                </c:pt>
                <c:pt idx="2">
                  <c:v>45779</c:v>
                </c:pt>
                <c:pt idx="3">
                  <c:v>45786</c:v>
                </c:pt>
                <c:pt idx="4">
                  <c:v>45793</c:v>
                </c:pt>
                <c:pt idx="5">
                  <c:v>45800</c:v>
                </c:pt>
                <c:pt idx="6">
                  <c:v>45807</c:v>
                </c:pt>
                <c:pt idx="7">
                  <c:v>45813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5068.1363340060261</c:v>
                </c:pt>
                <c:pt idx="1">
                  <c:v>5133.5118080609327</c:v>
                </c:pt>
                <c:pt idx="2">
                  <c:v>5212.4190322973518</c:v>
                </c:pt>
                <c:pt idx="3">
                  <c:v>5297.7036669070822</c:v>
                </c:pt>
                <c:pt idx="4">
                  <c:v>5600.7611033252406</c:v>
                </c:pt>
                <c:pt idx="5">
                  <c:v>5614.7878514083422</c:v>
                </c:pt>
                <c:pt idx="6">
                  <c:v>5661.0011217265082</c:v>
                </c:pt>
                <c:pt idx="7">
                  <c:v>5706.8748281549615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45764</c:v>
                </c:pt>
                <c:pt idx="1">
                  <c:v>45772</c:v>
                </c:pt>
                <c:pt idx="2">
                  <c:v>45779</c:v>
                </c:pt>
                <c:pt idx="3">
                  <c:v>45786</c:v>
                </c:pt>
                <c:pt idx="4">
                  <c:v>45793</c:v>
                </c:pt>
                <c:pt idx="5">
                  <c:v>45800</c:v>
                </c:pt>
                <c:pt idx="6">
                  <c:v>45807</c:v>
                </c:pt>
                <c:pt idx="7">
                  <c:v>45813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13.257768084610001</c:v>
                </c:pt>
                <c:pt idx="1">
                  <c:v>13.511956801399998</c:v>
                </c:pt>
                <c:pt idx="2">
                  <c:v>13.564027253040001</c:v>
                </c:pt>
                <c:pt idx="3">
                  <c:v>13.89362105705</c:v>
                </c:pt>
                <c:pt idx="4">
                  <c:v>13.906596090597997</c:v>
                </c:pt>
                <c:pt idx="5">
                  <c:v>13.574054999743</c:v>
                </c:pt>
                <c:pt idx="6">
                  <c:v>13.663574619923001</c:v>
                </c:pt>
                <c:pt idx="7">
                  <c:v>13.910462089520001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7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4" t="s">
        <v>319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5" ht="15" customHeight="1">
      <c r="A2" s="132"/>
      <c r="B2" s="21"/>
      <c r="C2" s="123"/>
      <c r="D2" s="175" t="s">
        <v>316</v>
      </c>
      <c r="E2" s="175"/>
      <c r="F2" s="175"/>
      <c r="G2" s="175"/>
      <c r="H2" s="175"/>
      <c r="I2" s="175"/>
      <c r="J2" s="175"/>
      <c r="K2" s="175" t="s">
        <v>320</v>
      </c>
      <c r="L2" s="175"/>
      <c r="M2" s="175"/>
      <c r="N2" s="175"/>
      <c r="O2" s="175"/>
      <c r="P2" s="175"/>
      <c r="Q2" s="175"/>
      <c r="R2" s="175" t="s">
        <v>0</v>
      </c>
      <c r="S2" s="175"/>
      <c r="T2" s="175"/>
      <c r="U2" s="175" t="s">
        <v>1</v>
      </c>
      <c r="V2" s="175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5" ht="15" customHeight="1">
      <c r="A5" s="177" t="s">
        <v>17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</row>
    <row r="6" spans="1:25">
      <c r="A6" s="170">
        <v>1</v>
      </c>
      <c r="B6" s="166" t="s">
        <v>18</v>
      </c>
      <c r="C6" s="167" t="s">
        <v>19</v>
      </c>
      <c r="D6" s="27">
        <v>1695530526.28</v>
      </c>
      <c r="E6" s="28">
        <f t="shared" ref="E6:E22" si="0">(D6/$D$25)</f>
        <v>4.042588523176413E-2</v>
      </c>
      <c r="F6" s="29">
        <v>454.73660000000001</v>
      </c>
      <c r="G6" s="29">
        <v>464.7457</v>
      </c>
      <c r="H6" s="30">
        <v>1690</v>
      </c>
      <c r="I6" s="48">
        <v>5.7000000000000002E-3</v>
      </c>
      <c r="J6" s="48">
        <v>0.14399999999999999</v>
      </c>
      <c r="K6" s="27">
        <v>1758821294.1300001</v>
      </c>
      <c r="L6" s="28">
        <f t="shared" ref="L6:L22" si="1">(K6/$K$25)</f>
        <v>4.1060336664904648E-2</v>
      </c>
      <c r="M6" s="29">
        <v>458.73630000000003</v>
      </c>
      <c r="N6" s="29">
        <v>463.01499999999999</v>
      </c>
      <c r="O6" s="30">
        <v>1689</v>
      </c>
      <c r="P6" s="48">
        <v>8.8000000000000005E-3</v>
      </c>
      <c r="Q6" s="48">
        <v>0.154</v>
      </c>
      <c r="R6" s="54">
        <f>((K6-D6)/D6)</f>
        <v>3.7328002574427435E-2</v>
      </c>
      <c r="S6" s="54">
        <f>((N6-G6)/G6)</f>
        <v>-3.7239720561158779E-3</v>
      </c>
      <c r="T6" s="54">
        <f>((O6-H6)/H6)</f>
        <v>-5.9171597633136095E-4</v>
      </c>
      <c r="U6" s="55">
        <f>P6-I6</f>
        <v>3.1000000000000003E-3</v>
      </c>
      <c r="V6" s="56">
        <f>Q6-J6</f>
        <v>1.0000000000000009E-2</v>
      </c>
    </row>
    <row r="7" spans="1:25">
      <c r="A7" s="170">
        <v>2</v>
      </c>
      <c r="B7" s="166" t="s">
        <v>20</v>
      </c>
      <c r="C7" s="167" t="s">
        <v>21</v>
      </c>
      <c r="D7" s="31">
        <v>710340069.52999997</v>
      </c>
      <c r="E7" s="28">
        <f t="shared" si="0"/>
        <v>1.6936366335642696E-2</v>
      </c>
      <c r="F7" s="31">
        <v>293.02050000000003</v>
      </c>
      <c r="G7" s="31">
        <v>296.60129999999998</v>
      </c>
      <c r="H7" s="30">
        <v>483</v>
      </c>
      <c r="I7" s="48">
        <v>3.3E-4</v>
      </c>
      <c r="J7" s="48">
        <v>0.13830000000000001</v>
      </c>
      <c r="K7" s="31">
        <v>738789243.32000005</v>
      </c>
      <c r="L7" s="28">
        <f t="shared" si="1"/>
        <v>1.7247309409074738E-2</v>
      </c>
      <c r="M7" s="31">
        <v>302.10980000000001</v>
      </c>
      <c r="N7" s="31">
        <v>305.74720000000002</v>
      </c>
      <c r="O7" s="30">
        <v>490</v>
      </c>
      <c r="P7" s="48">
        <v>1.9411999999999999E-2</v>
      </c>
      <c r="Q7" s="48">
        <v>0.17319999999999999</v>
      </c>
      <c r="R7" s="54">
        <f t="shared" ref="R7:R25" si="2">((K7-D7)/D7)</f>
        <v>4.005007602742109E-2</v>
      </c>
      <c r="S7" s="54">
        <f t="shared" ref="S7:S25" si="3">((N7-G7)/G7)</f>
        <v>3.0835670646082943E-2</v>
      </c>
      <c r="T7" s="54">
        <f t="shared" ref="T7:T25" si="4">((O7-H7)/H7)</f>
        <v>1.4492753623188406E-2</v>
      </c>
      <c r="U7" s="55">
        <f t="shared" ref="U7:U25" si="5">P7-I7</f>
        <v>1.9081999999999998E-2</v>
      </c>
      <c r="V7" s="56">
        <f t="shared" ref="V7:V25" si="6">Q7-J7</f>
        <v>3.4899999999999987E-2</v>
      </c>
    </row>
    <row r="8" spans="1:25">
      <c r="A8" s="170">
        <v>3</v>
      </c>
      <c r="B8" s="166" t="s">
        <v>22</v>
      </c>
      <c r="C8" s="167" t="s">
        <v>23</v>
      </c>
      <c r="D8" s="31">
        <v>4217985869.98</v>
      </c>
      <c r="E8" s="28">
        <f t="shared" si="0"/>
        <v>0.10056782231053461</v>
      </c>
      <c r="F8" s="31">
        <v>37.604399999999998</v>
      </c>
      <c r="G8" s="31">
        <v>38.738199999999999</v>
      </c>
      <c r="H8" s="32">
        <v>6731</v>
      </c>
      <c r="I8" s="49">
        <v>-1.9099999999999999E-2</v>
      </c>
      <c r="J8" s="49">
        <v>0.14749999999999999</v>
      </c>
      <c r="K8" s="31">
        <v>4415121328.4399996</v>
      </c>
      <c r="L8" s="28">
        <f t="shared" si="1"/>
        <v>0.10307264800988246</v>
      </c>
      <c r="M8" s="31">
        <v>38.705100000000002</v>
      </c>
      <c r="N8" s="31">
        <v>39.872100000000003</v>
      </c>
      <c r="O8" s="32">
        <v>6738</v>
      </c>
      <c r="P8" s="49">
        <v>0.15262999999999999</v>
      </c>
      <c r="Q8" s="49">
        <v>0.21310000000000001</v>
      </c>
      <c r="R8" s="54">
        <f t="shared" si="2"/>
        <v>4.6736870282814459E-2</v>
      </c>
      <c r="S8" s="54">
        <f t="shared" si="3"/>
        <v>2.9270848929480568E-2</v>
      </c>
      <c r="T8" s="54">
        <f t="shared" si="4"/>
        <v>1.0399643440796315E-3</v>
      </c>
      <c r="U8" s="55">
        <f t="shared" si="5"/>
        <v>0.17172999999999999</v>
      </c>
      <c r="V8" s="56">
        <f t="shared" si="6"/>
        <v>6.5600000000000019E-2</v>
      </c>
      <c r="X8" s="57"/>
      <c r="Y8" s="57"/>
    </row>
    <row r="9" spans="1:25">
      <c r="A9" s="170">
        <v>4</v>
      </c>
      <c r="B9" s="166" t="s">
        <v>24</v>
      </c>
      <c r="C9" s="167" t="s">
        <v>25</v>
      </c>
      <c r="D9" s="31">
        <v>641132976.08000004</v>
      </c>
      <c r="E9" s="28">
        <f t="shared" si="0"/>
        <v>1.5286288101326288E-2</v>
      </c>
      <c r="F9" s="31">
        <v>234.7183</v>
      </c>
      <c r="G9" s="31">
        <v>234.7183</v>
      </c>
      <c r="H9" s="30">
        <v>1960</v>
      </c>
      <c r="I9" s="48">
        <v>1.5699999999999999E-2</v>
      </c>
      <c r="J9" s="48">
        <v>7.1900000000000006E-2</v>
      </c>
      <c r="K9" s="31">
        <v>685489934.22000003</v>
      </c>
      <c r="L9" s="28">
        <f t="shared" si="1"/>
        <v>1.6003017232856034E-2</v>
      </c>
      <c r="M9" s="31">
        <v>238.71870000000001</v>
      </c>
      <c r="N9" s="31">
        <v>238.71870000000001</v>
      </c>
      <c r="O9" s="30">
        <v>1966</v>
      </c>
      <c r="P9" s="48">
        <v>1.7000000000000001E-2</v>
      </c>
      <c r="Q9" s="48">
        <v>9.0200000000000002E-2</v>
      </c>
      <c r="R9" s="54">
        <f t="shared" si="2"/>
        <v>6.9185270131020618E-2</v>
      </c>
      <c r="S9" s="54">
        <f t="shared" si="3"/>
        <v>1.7043409056728909E-2</v>
      </c>
      <c r="T9" s="54">
        <f t="shared" si="4"/>
        <v>3.0612244897959182E-3</v>
      </c>
      <c r="U9" s="55">
        <f t="shared" si="5"/>
        <v>1.3000000000000025E-3</v>
      </c>
      <c r="V9" s="56">
        <f t="shared" si="6"/>
        <v>1.8299999999999997E-2</v>
      </c>
    </row>
    <row r="10" spans="1:25">
      <c r="A10" s="170">
        <v>5</v>
      </c>
      <c r="B10" s="166" t="s">
        <v>26</v>
      </c>
      <c r="C10" s="167" t="s">
        <v>27</v>
      </c>
      <c r="D10" s="31">
        <v>1121830310.97</v>
      </c>
      <c r="E10" s="28">
        <f t="shared" si="0"/>
        <v>2.6747370629939475E-2</v>
      </c>
      <c r="F10" s="31">
        <v>1.3863000000000001</v>
      </c>
      <c r="G10" s="31">
        <v>1.4021999999999999</v>
      </c>
      <c r="H10" s="30">
        <v>516</v>
      </c>
      <c r="I10" s="48">
        <v>-2.64E-2</v>
      </c>
      <c r="J10" s="48">
        <v>0.11840000000000001</v>
      </c>
      <c r="K10" s="31">
        <v>1150799392.29</v>
      </c>
      <c r="L10" s="28">
        <f t="shared" si="1"/>
        <v>2.6865839433999093E-2</v>
      </c>
      <c r="M10" s="31">
        <v>1.4247000000000001</v>
      </c>
      <c r="N10" s="31">
        <v>1.4411</v>
      </c>
      <c r="O10" s="30">
        <v>521</v>
      </c>
      <c r="P10" s="48">
        <v>2.7699999999999999E-2</v>
      </c>
      <c r="Q10" s="48">
        <v>0.14940000000000001</v>
      </c>
      <c r="R10" s="54">
        <f t="shared" si="2"/>
        <v>2.582305098794449E-2</v>
      </c>
      <c r="S10" s="54">
        <f t="shared" si="3"/>
        <v>2.7742119526458536E-2</v>
      </c>
      <c r="T10" s="54">
        <f t="shared" si="4"/>
        <v>9.6899224806201549E-3</v>
      </c>
      <c r="U10" s="55">
        <f t="shared" si="5"/>
        <v>5.4099999999999995E-2</v>
      </c>
      <c r="V10" s="56">
        <f t="shared" si="6"/>
        <v>3.1E-2</v>
      </c>
    </row>
    <row r="11" spans="1:25">
      <c r="A11" s="170">
        <v>6</v>
      </c>
      <c r="B11" s="166" t="s">
        <v>28</v>
      </c>
      <c r="C11" s="167" t="s">
        <v>29</v>
      </c>
      <c r="D11" s="33">
        <v>118633990.63</v>
      </c>
      <c r="E11" s="28">
        <f t="shared" si="0"/>
        <v>2.8285448214941597E-3</v>
      </c>
      <c r="F11" s="31">
        <v>173.4229</v>
      </c>
      <c r="G11" s="31">
        <v>174.27520000000001</v>
      </c>
      <c r="H11" s="32">
        <v>75</v>
      </c>
      <c r="I11" s="49">
        <v>2.6837E-2</v>
      </c>
      <c r="J11" s="49">
        <v>9.7000000000000003E-2</v>
      </c>
      <c r="K11" s="33">
        <v>120274342.54000001</v>
      </c>
      <c r="L11" s="28">
        <f t="shared" si="1"/>
        <v>2.807849218862961E-3</v>
      </c>
      <c r="M11" s="31">
        <v>175.39410000000001</v>
      </c>
      <c r="N11" s="31">
        <v>176.25720000000001</v>
      </c>
      <c r="O11" s="32">
        <v>75</v>
      </c>
      <c r="P11" s="49">
        <v>1.1235999999999999E-2</v>
      </c>
      <c r="Q11" s="49">
        <v>0.1096</v>
      </c>
      <c r="R11" s="54">
        <f t="shared" si="2"/>
        <v>1.3826997652940804E-2</v>
      </c>
      <c r="S11" s="54">
        <f t="shared" si="3"/>
        <v>1.137281724536824E-2</v>
      </c>
      <c r="T11" s="54">
        <f t="shared" si="4"/>
        <v>0</v>
      </c>
      <c r="U11" s="55">
        <f t="shared" si="5"/>
        <v>-1.5601E-2</v>
      </c>
      <c r="V11" s="56">
        <f t="shared" si="6"/>
        <v>1.26E-2</v>
      </c>
    </row>
    <row r="12" spans="1:25">
      <c r="A12" s="170">
        <v>7</v>
      </c>
      <c r="B12" s="166" t="s">
        <v>30</v>
      </c>
      <c r="C12" s="167" t="s">
        <v>31</v>
      </c>
      <c r="D12" s="31">
        <v>1596605492.9000001</v>
      </c>
      <c r="E12" s="28">
        <f t="shared" si="0"/>
        <v>3.8067253532727476E-2</v>
      </c>
      <c r="F12" s="31">
        <v>386.62</v>
      </c>
      <c r="G12" s="31">
        <v>391.64</v>
      </c>
      <c r="H12" s="32">
        <v>1684</v>
      </c>
      <c r="I12" s="49">
        <v>5.4699999999999999E-2</v>
      </c>
      <c r="J12" s="49">
        <v>0.19400000000000001</v>
      </c>
      <c r="K12" s="31">
        <v>1611213864.8299999</v>
      </c>
      <c r="L12" s="28">
        <f t="shared" si="1"/>
        <v>3.7614386379036018E-2</v>
      </c>
      <c r="M12" s="31">
        <v>390.8</v>
      </c>
      <c r="N12" s="31">
        <v>395.9</v>
      </c>
      <c r="O12" s="32">
        <v>1683</v>
      </c>
      <c r="P12" s="49">
        <v>1.0800000000000001E-2</v>
      </c>
      <c r="Q12" s="49">
        <v>0.2069</v>
      </c>
      <c r="R12" s="54">
        <f t="shared" si="2"/>
        <v>9.1496440385319348E-3</v>
      </c>
      <c r="S12" s="54">
        <f t="shared" si="3"/>
        <v>1.0877336329281971E-2</v>
      </c>
      <c r="T12" s="54">
        <f t="shared" si="4"/>
        <v>-5.9382422802850359E-4</v>
      </c>
      <c r="U12" s="55">
        <f t="shared" si="5"/>
        <v>-4.3899999999999995E-2</v>
      </c>
      <c r="V12" s="56">
        <f t="shared" si="6"/>
        <v>1.2899999999999995E-2</v>
      </c>
    </row>
    <row r="13" spans="1:25">
      <c r="A13" s="170">
        <v>8</v>
      </c>
      <c r="B13" s="166" t="s">
        <v>32</v>
      </c>
      <c r="C13" s="167" t="s">
        <v>33</v>
      </c>
      <c r="D13" s="27">
        <v>414438348.73000002</v>
      </c>
      <c r="E13" s="28">
        <f t="shared" si="0"/>
        <v>9.8812948877772429E-3</v>
      </c>
      <c r="F13" s="31">
        <v>206.53</v>
      </c>
      <c r="G13" s="31">
        <v>236.36</v>
      </c>
      <c r="H13" s="30">
        <v>2469</v>
      </c>
      <c r="I13" s="48">
        <v>-2.4799999999999999E-2</v>
      </c>
      <c r="J13" s="48">
        <v>-7.9600000000000004E-2</v>
      </c>
      <c r="K13" s="27">
        <v>443195091.11000001</v>
      </c>
      <c r="L13" s="28">
        <f t="shared" si="1"/>
        <v>1.0346554087071814E-2</v>
      </c>
      <c r="M13" s="31">
        <v>220.87</v>
      </c>
      <c r="N13" s="31">
        <v>230.84</v>
      </c>
      <c r="O13" s="30">
        <v>2469</v>
      </c>
      <c r="P13" s="48">
        <v>6.9400000000000003E-2</v>
      </c>
      <c r="Q13" s="48">
        <v>4.2900000000000001E-2</v>
      </c>
      <c r="R13" s="54">
        <f t="shared" si="2"/>
        <v>6.9387262226388594E-2</v>
      </c>
      <c r="S13" s="54">
        <f t="shared" si="3"/>
        <v>-2.3354205449314647E-2</v>
      </c>
      <c r="T13" s="54">
        <f t="shared" si="4"/>
        <v>0</v>
      </c>
      <c r="U13" s="55">
        <f t="shared" si="5"/>
        <v>9.4200000000000006E-2</v>
      </c>
      <c r="V13" s="56">
        <f t="shared" si="6"/>
        <v>0.1225</v>
      </c>
    </row>
    <row r="14" spans="1:25">
      <c r="A14" s="170">
        <v>9</v>
      </c>
      <c r="B14" s="166" t="s">
        <v>34</v>
      </c>
      <c r="C14" s="167" t="s">
        <v>35</v>
      </c>
      <c r="D14" s="33">
        <v>72589976.189999998</v>
      </c>
      <c r="E14" s="28">
        <f t="shared" si="0"/>
        <v>1.730735012404504E-3</v>
      </c>
      <c r="F14" s="31">
        <v>252.91</v>
      </c>
      <c r="G14" s="31">
        <v>260.74</v>
      </c>
      <c r="H14" s="30">
        <v>18</v>
      </c>
      <c r="I14" s="48">
        <v>2.4299999999999999E-2</v>
      </c>
      <c r="J14" s="48">
        <v>0.14430000000000001</v>
      </c>
      <c r="K14" s="33">
        <v>72589976.189999998</v>
      </c>
      <c r="L14" s="28">
        <f t="shared" si="1"/>
        <v>1.6946399675773478E-3</v>
      </c>
      <c r="M14" s="31">
        <v>252.91</v>
      </c>
      <c r="N14" s="31">
        <v>260.74</v>
      </c>
      <c r="O14" s="30">
        <v>18</v>
      </c>
      <c r="P14" s="48">
        <v>2.4299999999999999E-2</v>
      </c>
      <c r="Q14" s="48">
        <v>0.14430000000000001</v>
      </c>
      <c r="R14" s="54">
        <f t="shared" si="2"/>
        <v>0</v>
      </c>
      <c r="S14" s="54">
        <f t="shared" si="3"/>
        <v>0</v>
      </c>
      <c r="T14" s="54">
        <f t="shared" si="4"/>
        <v>0</v>
      </c>
      <c r="U14" s="55">
        <f t="shared" si="5"/>
        <v>0</v>
      </c>
      <c r="V14" s="56">
        <f t="shared" si="6"/>
        <v>0</v>
      </c>
    </row>
    <row r="15" spans="1:25" ht="14.25" customHeight="1">
      <c r="A15" s="170">
        <v>10</v>
      </c>
      <c r="B15" s="166" t="s">
        <v>36</v>
      </c>
      <c r="C15" s="167" t="s">
        <v>37</v>
      </c>
      <c r="D15" s="27">
        <v>1017249869.1799999</v>
      </c>
      <c r="E15" s="28">
        <f t="shared" si="0"/>
        <v>2.4253899193264459E-2</v>
      </c>
      <c r="F15" s="31">
        <v>2.9642689999999998</v>
      </c>
      <c r="G15" s="31">
        <v>2.9902660000000001</v>
      </c>
      <c r="H15" s="30">
        <v>593</v>
      </c>
      <c r="I15" s="48">
        <v>2.8879469153675341E-3</v>
      </c>
      <c r="J15" s="48">
        <v>0.41515047499196767</v>
      </c>
      <c r="K15" s="27">
        <v>1057564083.55</v>
      </c>
      <c r="L15" s="28">
        <f t="shared" si="1"/>
        <v>2.4689226506524629E-2</v>
      </c>
      <c r="M15" s="31">
        <v>2.998157</v>
      </c>
      <c r="N15" s="31">
        <v>3.0249470000000001</v>
      </c>
      <c r="O15" s="30">
        <v>610</v>
      </c>
      <c r="P15" s="48">
        <v>1.1432160846400974E-2</v>
      </c>
      <c r="Q15" s="48">
        <v>0.43132870284393654</v>
      </c>
      <c r="R15" s="54">
        <f t="shared" si="2"/>
        <v>3.9630591845145273E-2</v>
      </c>
      <c r="S15" s="54">
        <f t="shared" si="3"/>
        <v>1.1597964863326527E-2</v>
      </c>
      <c r="T15" s="54">
        <f t="shared" si="4"/>
        <v>2.866779089376054E-2</v>
      </c>
      <c r="U15" s="55">
        <f t="shared" si="5"/>
        <v>8.5442139310334397E-3</v>
      </c>
      <c r="V15" s="56">
        <f t="shared" si="6"/>
        <v>1.6178227851968874E-2</v>
      </c>
    </row>
    <row r="16" spans="1:25" ht="14.25" customHeight="1">
      <c r="A16" s="170">
        <v>11</v>
      </c>
      <c r="B16" s="166" t="s">
        <v>38</v>
      </c>
      <c r="C16" s="167" t="s">
        <v>39</v>
      </c>
      <c r="D16" s="27">
        <v>40494941.07</v>
      </c>
      <c r="E16" s="28">
        <f t="shared" si="0"/>
        <v>9.655053771013796E-4</v>
      </c>
      <c r="F16" s="31">
        <v>16.989999999999998</v>
      </c>
      <c r="G16" s="31">
        <v>17.579999999999998</v>
      </c>
      <c r="H16" s="30">
        <v>29</v>
      </c>
      <c r="I16" s="48">
        <v>2.2800000000000001E-2</v>
      </c>
      <c r="J16" s="48">
        <v>0.7</v>
      </c>
      <c r="K16" s="27">
        <v>40617768.840000004</v>
      </c>
      <c r="L16" s="28">
        <f t="shared" si="1"/>
        <v>9.4823690656567798E-4</v>
      </c>
      <c r="M16" s="31">
        <v>17.04</v>
      </c>
      <c r="N16" s="31">
        <v>17.71</v>
      </c>
      <c r="O16" s="30">
        <v>29</v>
      </c>
      <c r="P16" s="48">
        <v>6.7999999999999996E-3</v>
      </c>
      <c r="Q16" s="48">
        <v>0.7</v>
      </c>
      <c r="R16" s="54">
        <f t="shared" ref="R16" si="7">((K16-D16)/D16)</f>
        <v>3.033163322492107E-3</v>
      </c>
      <c r="S16" s="54">
        <f t="shared" ref="S16" si="8">((N16-G16)/G16)</f>
        <v>7.3947667804324553E-3</v>
      </c>
      <c r="T16" s="54">
        <f t="shared" ref="T16" si="9">((O16-H16)/H16)</f>
        <v>0</v>
      </c>
      <c r="U16" s="55">
        <f t="shared" ref="U16" si="10">P16-I16</f>
        <v>-1.6E-2</v>
      </c>
      <c r="V16" s="56">
        <f t="shared" ref="V16" si="11">Q16-J16</f>
        <v>0</v>
      </c>
    </row>
    <row r="17" spans="1:22">
      <c r="A17" s="170">
        <v>12</v>
      </c>
      <c r="B17" s="166" t="s">
        <v>40</v>
      </c>
      <c r="C17" s="167" t="s">
        <v>41</v>
      </c>
      <c r="D17" s="126">
        <v>2005617075.6300001</v>
      </c>
      <c r="E17" s="28">
        <f t="shared" si="0"/>
        <v>4.7819160116315963E-2</v>
      </c>
      <c r="F17" s="31">
        <v>4.09</v>
      </c>
      <c r="G17" s="31">
        <v>4.17</v>
      </c>
      <c r="H17" s="30">
        <v>3648</v>
      </c>
      <c r="I17" s="48">
        <v>2.0999999999999999E-3</v>
      </c>
      <c r="J17" s="48">
        <v>0.1234</v>
      </c>
      <c r="K17" s="126">
        <v>2052849772.5799999</v>
      </c>
      <c r="L17" s="28">
        <f t="shared" si="1"/>
        <v>4.7924540751197856E-2</v>
      </c>
      <c r="M17" s="31">
        <v>4.18</v>
      </c>
      <c r="N17" s="31">
        <v>4.2699999999999996</v>
      </c>
      <c r="O17" s="30">
        <v>3649</v>
      </c>
      <c r="P17" s="48">
        <v>1.34E-2</v>
      </c>
      <c r="Q17" s="48">
        <v>0.1497</v>
      </c>
      <c r="R17" s="54">
        <f t="shared" si="2"/>
        <v>2.3550206828570792E-2</v>
      </c>
      <c r="S17" s="54">
        <f t="shared" si="3"/>
        <v>2.3980815347721739E-2</v>
      </c>
      <c r="T17" s="54">
        <f t="shared" si="4"/>
        <v>2.7412280701754384E-4</v>
      </c>
      <c r="U17" s="55">
        <f t="shared" si="5"/>
        <v>1.1300000000000001E-2</v>
      </c>
      <c r="V17" s="56">
        <f t="shared" si="6"/>
        <v>2.6300000000000004E-2</v>
      </c>
    </row>
    <row r="18" spans="1:22">
      <c r="A18" s="170">
        <v>13</v>
      </c>
      <c r="B18" s="166" t="s">
        <v>42</v>
      </c>
      <c r="C18" s="167" t="s">
        <v>43</v>
      </c>
      <c r="D18" s="31">
        <v>1031517530.89</v>
      </c>
      <c r="E18" s="28">
        <f t="shared" si="0"/>
        <v>2.4594077589273382E-2</v>
      </c>
      <c r="F18" s="31">
        <v>26.996807</v>
      </c>
      <c r="G18" s="31">
        <v>27.107199000000001</v>
      </c>
      <c r="H18" s="30">
        <v>489</v>
      </c>
      <c r="I18" s="48">
        <v>-5.5792497158383414E-3</v>
      </c>
      <c r="J18" s="48">
        <v>0.15660912986928088</v>
      </c>
      <c r="K18" s="31">
        <v>1033398856.03</v>
      </c>
      <c r="L18" s="28">
        <f t="shared" si="1"/>
        <v>2.4125080290609027E-2</v>
      </c>
      <c r="M18" s="31">
        <v>26.976139</v>
      </c>
      <c r="N18" s="31">
        <v>27.09422</v>
      </c>
      <c r="O18" s="30">
        <v>492</v>
      </c>
      <c r="P18" s="48">
        <v>-7.655720174611913E-4</v>
      </c>
      <c r="Q18" s="48">
        <v>0.1557583286556008</v>
      </c>
      <c r="R18" s="54">
        <f t="shared" si="2"/>
        <v>1.8238421390441772E-3</v>
      </c>
      <c r="S18" s="54">
        <f t="shared" si="3"/>
        <v>-4.7880269739420165E-4</v>
      </c>
      <c r="T18" s="54">
        <f t="shared" si="4"/>
        <v>6.1349693251533744E-3</v>
      </c>
      <c r="U18" s="55">
        <f t="shared" si="5"/>
        <v>4.8136776983771501E-3</v>
      </c>
      <c r="V18" s="56">
        <f t="shared" si="6"/>
        <v>-8.5080121368008577E-4</v>
      </c>
    </row>
    <row r="19" spans="1:22">
      <c r="A19" s="170">
        <v>14</v>
      </c>
      <c r="B19" s="166" t="s">
        <v>44</v>
      </c>
      <c r="C19" s="167" t="s">
        <v>45</v>
      </c>
      <c r="D19" s="31">
        <v>137651004.34</v>
      </c>
      <c r="E19" s="28">
        <f t="shared" si="0"/>
        <v>3.2819601990267903E-3</v>
      </c>
      <c r="F19" s="31">
        <v>1.497787</v>
      </c>
      <c r="G19" s="31">
        <v>1.561145</v>
      </c>
      <c r="H19" s="30">
        <v>22</v>
      </c>
      <c r="I19" s="48">
        <v>4.5999999999999999E-3</v>
      </c>
      <c r="J19" s="48">
        <v>7.6700000000000004E-2</v>
      </c>
      <c r="K19" s="31">
        <v>140961526.05000001</v>
      </c>
      <c r="L19" s="28">
        <f t="shared" si="1"/>
        <v>3.2907992049725113E-3</v>
      </c>
      <c r="M19" s="31">
        <v>1.533809</v>
      </c>
      <c r="N19" s="31">
        <v>1.597731</v>
      </c>
      <c r="O19" s="30">
        <v>22</v>
      </c>
      <c r="P19" s="48">
        <v>2.53E-2</v>
      </c>
      <c r="Q19" s="48">
        <v>0.1022</v>
      </c>
      <c r="R19" s="54">
        <f t="shared" si="2"/>
        <v>2.4050109375322617E-2</v>
      </c>
      <c r="S19" s="54">
        <f t="shared" si="3"/>
        <v>2.3435363146921014E-2</v>
      </c>
      <c r="T19" s="54">
        <f t="shared" si="4"/>
        <v>0</v>
      </c>
      <c r="U19" s="55">
        <f t="shared" si="5"/>
        <v>2.07E-2</v>
      </c>
      <c r="V19" s="56">
        <f t="shared" si="6"/>
        <v>2.5499999999999995E-2</v>
      </c>
    </row>
    <row r="20" spans="1:22">
      <c r="A20" s="170">
        <v>15</v>
      </c>
      <c r="B20" s="166" t="s">
        <v>46</v>
      </c>
      <c r="C20" s="167" t="s">
        <v>47</v>
      </c>
      <c r="D20" s="27">
        <v>3490770159.8400002</v>
      </c>
      <c r="E20" s="28">
        <f t="shared" si="0"/>
        <v>8.3229096536392669E-2</v>
      </c>
      <c r="F20" s="31">
        <v>38.06</v>
      </c>
      <c r="G20" s="31">
        <v>38.9</v>
      </c>
      <c r="H20" s="30">
        <v>8944</v>
      </c>
      <c r="I20" s="48">
        <v>1.3899999999999999E-2</v>
      </c>
      <c r="J20" s="48">
        <v>0.22370000000000001</v>
      </c>
      <c r="K20" s="27">
        <v>3658375272.0300002</v>
      </c>
      <c r="L20" s="28">
        <f t="shared" si="1"/>
        <v>8.5406130126720617E-2</v>
      </c>
      <c r="M20" s="31">
        <v>40.25</v>
      </c>
      <c r="N20" s="31">
        <v>40.380000000000003</v>
      </c>
      <c r="O20" s="30">
        <v>8944</v>
      </c>
      <c r="P20" s="48">
        <v>4.6399999999999997E-2</v>
      </c>
      <c r="Q20" s="48">
        <v>0.28050000000000003</v>
      </c>
      <c r="R20" s="54">
        <f t="shared" si="2"/>
        <v>4.8013791947185164E-2</v>
      </c>
      <c r="S20" s="54">
        <f t="shared" si="3"/>
        <v>3.8046272493573369E-2</v>
      </c>
      <c r="T20" s="54">
        <f t="shared" si="4"/>
        <v>0</v>
      </c>
      <c r="U20" s="55">
        <f t="shared" si="5"/>
        <v>3.2500000000000001E-2</v>
      </c>
      <c r="V20" s="56">
        <f t="shared" si="6"/>
        <v>5.6800000000000017E-2</v>
      </c>
    </row>
    <row r="21" spans="1:22" ht="12.75" customHeight="1">
      <c r="A21" s="170">
        <v>16</v>
      </c>
      <c r="B21" s="166" t="s">
        <v>48</v>
      </c>
      <c r="C21" s="167" t="s">
        <v>49</v>
      </c>
      <c r="D21" s="31">
        <v>1032360819.6900001</v>
      </c>
      <c r="E21" s="28">
        <f t="shared" si="0"/>
        <v>2.4614183801292364E-2</v>
      </c>
      <c r="F21" s="31">
        <v>9773.31</v>
      </c>
      <c r="G21" s="31">
        <v>9899.41</v>
      </c>
      <c r="H21" s="30">
        <v>23</v>
      </c>
      <c r="I21" s="48">
        <v>1.9300000000000001E-2</v>
      </c>
      <c r="J21" s="48">
        <v>0.2205</v>
      </c>
      <c r="K21" s="31">
        <v>1037802764.25</v>
      </c>
      <c r="L21" s="28">
        <f t="shared" si="1"/>
        <v>2.4227891164435744E-2</v>
      </c>
      <c r="M21" s="31">
        <v>9829.15</v>
      </c>
      <c r="N21" s="31">
        <v>9955.16</v>
      </c>
      <c r="O21" s="30">
        <v>23</v>
      </c>
      <c r="P21" s="48">
        <v>5.4999999999999997E-3</v>
      </c>
      <c r="Q21" s="48">
        <v>0.22739999999999999</v>
      </c>
      <c r="R21" s="54">
        <f t="shared" si="2"/>
        <v>5.2713590599399772E-3</v>
      </c>
      <c r="S21" s="54">
        <f t="shared" si="3"/>
        <v>5.6316487548247829E-3</v>
      </c>
      <c r="T21" s="54">
        <f t="shared" si="4"/>
        <v>0</v>
      </c>
      <c r="U21" s="55">
        <f t="shared" si="5"/>
        <v>-1.3800000000000002E-2</v>
      </c>
      <c r="V21" s="56">
        <f t="shared" si="6"/>
        <v>6.8999999999999895E-3</v>
      </c>
    </row>
    <row r="22" spans="1:22">
      <c r="A22" s="170">
        <v>17</v>
      </c>
      <c r="B22" s="166" t="s">
        <v>50</v>
      </c>
      <c r="C22" s="167" t="s">
        <v>49</v>
      </c>
      <c r="D22" s="31">
        <v>15261516736.02</v>
      </c>
      <c r="E22" s="28">
        <f t="shared" si="0"/>
        <v>0.36387450091305951</v>
      </c>
      <c r="F22" s="31">
        <v>30206.45</v>
      </c>
      <c r="G22" s="31">
        <v>30647.86</v>
      </c>
      <c r="H22" s="30">
        <v>17779</v>
      </c>
      <c r="I22" s="48">
        <v>2.3900000000000001E-2</v>
      </c>
      <c r="J22" s="48">
        <v>0.1925</v>
      </c>
      <c r="K22" s="31">
        <v>15294871842.809999</v>
      </c>
      <c r="L22" s="28">
        <f t="shared" si="1"/>
        <v>0.35706446653126023</v>
      </c>
      <c r="M22" s="31">
        <v>30210.83</v>
      </c>
      <c r="N22" s="31">
        <v>30651.63</v>
      </c>
      <c r="O22" s="30">
        <v>17810</v>
      </c>
      <c r="P22" s="48">
        <v>1E-4</v>
      </c>
      <c r="Q22" s="48">
        <v>0.19259999999999999</v>
      </c>
      <c r="R22" s="54">
        <f t="shared" si="2"/>
        <v>2.1855695843962081E-3</v>
      </c>
      <c r="S22" s="54">
        <f t="shared" si="3"/>
        <v>1.2301021996316991E-4</v>
      </c>
      <c r="T22" s="54">
        <f t="shared" si="4"/>
        <v>1.7436301254288768E-3</v>
      </c>
      <c r="U22" s="55">
        <f t="shared" si="5"/>
        <v>-2.3800000000000002E-2</v>
      </c>
      <c r="V22" s="56">
        <f t="shared" si="6"/>
        <v>9.9999999999988987E-5</v>
      </c>
    </row>
    <row r="23" spans="1:22">
      <c r="A23" s="170">
        <v>18</v>
      </c>
      <c r="B23" s="167" t="s">
        <v>51</v>
      </c>
      <c r="C23" s="167" t="s">
        <v>52</v>
      </c>
      <c r="D23" s="31">
        <v>4301935123.2600002</v>
      </c>
      <c r="E23" s="28">
        <f t="shared" ref="E23" si="12">(D23/$D$25)</f>
        <v>0.10256939221788121</v>
      </c>
      <c r="F23" s="31">
        <v>1.7032</v>
      </c>
      <c r="G23" s="29">
        <v>1.7203999999999999</v>
      </c>
      <c r="H23" s="30">
        <v>4890</v>
      </c>
      <c r="I23" s="48">
        <v>1.6000000000000001E-3</v>
      </c>
      <c r="J23" s="48">
        <v>0.14180000000000001</v>
      </c>
      <c r="K23" s="31">
        <v>4395171297.6199999</v>
      </c>
      <c r="L23" s="28">
        <f t="shared" ref="L23" si="13">(K23/$K$25)</f>
        <v>0.10260690712723661</v>
      </c>
      <c r="M23" s="31">
        <v>1.7387999999999999</v>
      </c>
      <c r="N23" s="29">
        <v>1.7561</v>
      </c>
      <c r="O23" s="30">
        <v>4909</v>
      </c>
      <c r="P23" s="48">
        <v>2.9999999999999997E-4</v>
      </c>
      <c r="Q23" s="48">
        <v>0.16569999999999999</v>
      </c>
      <c r="R23" s="54">
        <f t="shared" ref="R23" si="14">((K23-D23)/D23)</f>
        <v>2.1673077740267135E-2</v>
      </c>
      <c r="S23" s="54">
        <f t="shared" ref="S23" si="15">((N23-G23)/G23)</f>
        <v>2.075098814229253E-2</v>
      </c>
      <c r="T23" s="54">
        <f t="shared" ref="T23" si="16">((O23-H23)/H23)</f>
        <v>3.885480572597137E-3</v>
      </c>
      <c r="U23" s="55">
        <f t="shared" ref="U23" si="17">P23-I23</f>
        <v>-1.3000000000000002E-3</v>
      </c>
      <c r="V23" s="56">
        <f t="shared" ref="V23" si="18">Q23-J23</f>
        <v>2.3899999999999977E-2</v>
      </c>
    </row>
    <row r="24" spans="1:22">
      <c r="A24" s="170">
        <v>19</v>
      </c>
      <c r="B24" s="167" t="s">
        <v>292</v>
      </c>
      <c r="C24" s="167" t="s">
        <v>293</v>
      </c>
      <c r="D24" s="31">
        <v>3033503523.9000001</v>
      </c>
      <c r="E24" s="28">
        <f>(D24/$D$25)</f>
        <v>7.2326663192781707E-2</v>
      </c>
      <c r="F24" s="31">
        <v>151.94</v>
      </c>
      <c r="G24" s="29">
        <v>157.44999999999999</v>
      </c>
      <c r="H24" s="30">
        <v>37</v>
      </c>
      <c r="I24" s="48">
        <v>9.2999999999999992E-3</v>
      </c>
      <c r="J24" s="48">
        <v>0.26340000000000002</v>
      </c>
      <c r="K24" s="31">
        <v>3127135531.6900001</v>
      </c>
      <c r="L24" s="28">
        <f>(K24/$K$25)</f>
        <v>7.3004140987211891E-2</v>
      </c>
      <c r="M24" s="31">
        <v>156.62</v>
      </c>
      <c r="N24" s="29">
        <v>162.32</v>
      </c>
      <c r="O24" s="30">
        <v>37</v>
      </c>
      <c r="P24" s="48">
        <v>3.09E-2</v>
      </c>
      <c r="Q24" s="48">
        <v>0.3024</v>
      </c>
      <c r="R24" s="54">
        <f t="shared" si="2"/>
        <v>3.0865963086017023E-2</v>
      </c>
      <c r="S24" s="54">
        <f t="shared" si="3"/>
        <v>3.0930454112416673E-2</v>
      </c>
      <c r="T24" s="54">
        <f t="shared" si="4"/>
        <v>0</v>
      </c>
      <c r="U24" s="55">
        <f t="shared" si="5"/>
        <v>2.1600000000000001E-2</v>
      </c>
      <c r="V24" s="56">
        <f t="shared" si="6"/>
        <v>3.8999999999999979E-2</v>
      </c>
    </row>
    <row r="25" spans="1:22">
      <c r="A25" s="34"/>
      <c r="B25" s="35"/>
      <c r="C25" s="36" t="s">
        <v>53</v>
      </c>
      <c r="D25" s="37">
        <f>SUM(D6:D24)</f>
        <v>41941704345.110001</v>
      </c>
      <c r="E25" s="38">
        <f>(D25/$D$221)</f>
        <v>7.4088846554261952E-3</v>
      </c>
      <c r="F25" s="39"/>
      <c r="G25" s="40"/>
      <c r="H25" s="41">
        <f>SUM(H6:H24)</f>
        <v>52080</v>
      </c>
      <c r="I25" s="50"/>
      <c r="J25" s="30">
        <v>0</v>
      </c>
      <c r="K25" s="37">
        <f>SUM(K6:K24)</f>
        <v>42835043182.520004</v>
      </c>
      <c r="L25" s="38">
        <f>(K25/$K$221)</f>
        <v>7.5058669538698494E-3</v>
      </c>
      <c r="M25" s="39"/>
      <c r="N25" s="40"/>
      <c r="O25" s="41">
        <f>SUM(O6:O24)</f>
        <v>52174</v>
      </c>
      <c r="P25" s="50"/>
      <c r="Q25" s="41"/>
      <c r="R25" s="54">
        <f t="shared" si="2"/>
        <v>2.1299535900098879E-2</v>
      </c>
      <c r="S25" s="54" t="e">
        <f t="shared" si="3"/>
        <v>#DIV/0!</v>
      </c>
      <c r="T25" s="54">
        <f t="shared" si="4"/>
        <v>1.8049155145929341E-3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</row>
    <row r="27" spans="1:22" ht="15" customHeight="1">
      <c r="A27" s="177" t="s">
        <v>54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</row>
    <row r="28" spans="1:22">
      <c r="A28" s="168">
        <v>20</v>
      </c>
      <c r="B28" s="166" t="s">
        <v>55</v>
      </c>
      <c r="C28" s="167" t="s">
        <v>19</v>
      </c>
      <c r="D28" s="42">
        <v>3409814621.73</v>
      </c>
      <c r="E28" s="28">
        <f t="shared" ref="E28:E33" si="19">(D28/$K$69)</f>
        <v>1.1198640673516533E-3</v>
      </c>
      <c r="F28" s="29">
        <v>100</v>
      </c>
      <c r="G28" s="29">
        <v>100</v>
      </c>
      <c r="H28" s="30">
        <v>850</v>
      </c>
      <c r="I28" s="48">
        <v>0.18840000000000001</v>
      </c>
      <c r="J28" s="48">
        <v>0.18840000000000001</v>
      </c>
      <c r="K28" s="42">
        <v>3500117443.6900001</v>
      </c>
      <c r="L28" s="28">
        <f t="shared" ref="L28:L33" si="20">(K28/$K$69)</f>
        <v>1.1495216577816427E-3</v>
      </c>
      <c r="M28" s="29">
        <v>100</v>
      </c>
      <c r="N28" s="29">
        <v>100</v>
      </c>
      <c r="O28" s="30">
        <v>851</v>
      </c>
      <c r="P28" s="48">
        <v>0.15540000000000001</v>
      </c>
      <c r="Q28" s="48">
        <v>0.15540000000000001</v>
      </c>
      <c r="R28" s="54">
        <f>((K28-D28)/D28)</f>
        <v>2.6483205680602102E-2</v>
      </c>
      <c r="S28" s="54">
        <f>((N28-G28)/G28)</f>
        <v>0</v>
      </c>
      <c r="T28" s="54">
        <f>((O28-H28)/H28)</f>
        <v>1.176470588235294E-3</v>
      </c>
      <c r="U28" s="55">
        <f>P28-I28</f>
        <v>-3.3000000000000002E-2</v>
      </c>
      <c r="V28" s="56">
        <f>Q28-J28</f>
        <v>-3.3000000000000002E-2</v>
      </c>
    </row>
    <row r="29" spans="1:22">
      <c r="A29" s="168">
        <v>21</v>
      </c>
      <c r="B29" s="166" t="s">
        <v>56</v>
      </c>
      <c r="C29" s="167" t="s">
        <v>57</v>
      </c>
      <c r="D29" s="42">
        <v>20921762734.830002</v>
      </c>
      <c r="E29" s="28">
        <f t="shared" si="19"/>
        <v>6.8712035437591594E-3</v>
      </c>
      <c r="F29" s="29">
        <v>100</v>
      </c>
      <c r="G29" s="29">
        <v>100</v>
      </c>
      <c r="H29" s="30">
        <v>2857</v>
      </c>
      <c r="I29" s="48">
        <v>0.20543500000000001</v>
      </c>
      <c r="J29" s="48">
        <v>0.20543500000000001</v>
      </c>
      <c r="K29" s="42">
        <v>21425894277.610001</v>
      </c>
      <c r="L29" s="28">
        <f t="shared" si="20"/>
        <v>7.0367723099847672E-3</v>
      </c>
      <c r="M29" s="29">
        <v>100</v>
      </c>
      <c r="N29" s="29">
        <v>100</v>
      </c>
      <c r="O29" s="30">
        <v>2891</v>
      </c>
      <c r="P29" s="48">
        <v>0.210229</v>
      </c>
      <c r="Q29" s="48">
        <v>0.210229</v>
      </c>
      <c r="R29" s="54">
        <f t="shared" ref="R29:R69" si="21">((K29-D29)/D29)</f>
        <v>2.4096035748495215E-2</v>
      </c>
      <c r="S29" s="54">
        <f t="shared" ref="S29:S69" si="22">((N29-G29)/G29)</f>
        <v>0</v>
      </c>
      <c r="T29" s="54">
        <f t="shared" ref="T29:T69" si="23">((O29-H29)/H29)</f>
        <v>1.1900595029751488E-2</v>
      </c>
      <c r="U29" s="55">
        <f t="shared" ref="U29:U69" si="24">P29-I29</f>
        <v>4.7939999999999927E-3</v>
      </c>
      <c r="V29" s="56">
        <f t="shared" ref="V29:V69" si="25">Q29-J29</f>
        <v>4.7939999999999927E-3</v>
      </c>
    </row>
    <row r="30" spans="1:22">
      <c r="A30" s="168">
        <v>22</v>
      </c>
      <c r="B30" s="166" t="s">
        <v>58</v>
      </c>
      <c r="C30" s="167" t="s">
        <v>21</v>
      </c>
      <c r="D30" s="42">
        <v>2078179428.9400001</v>
      </c>
      <c r="E30" s="28">
        <f t="shared" si="19"/>
        <v>6.8252345835695871E-4</v>
      </c>
      <c r="F30" s="29">
        <v>100</v>
      </c>
      <c r="G30" s="29">
        <v>100</v>
      </c>
      <c r="H30" s="30">
        <v>2003</v>
      </c>
      <c r="I30" s="48">
        <v>0.1963</v>
      </c>
      <c r="J30" s="48">
        <v>0.1963</v>
      </c>
      <c r="K30" s="42">
        <v>2165641344.3299999</v>
      </c>
      <c r="L30" s="28">
        <f t="shared" si="20"/>
        <v>7.1124802762909058E-4</v>
      </c>
      <c r="M30" s="29">
        <v>100</v>
      </c>
      <c r="N30" s="29">
        <v>100</v>
      </c>
      <c r="O30" s="30">
        <v>2014</v>
      </c>
      <c r="P30" s="48">
        <v>0.19789999999999999</v>
      </c>
      <c r="Q30" s="48">
        <v>0.19789999999999999</v>
      </c>
      <c r="R30" s="54">
        <f t="shared" si="21"/>
        <v>4.208583444337665E-2</v>
      </c>
      <c r="S30" s="54">
        <f t="shared" si="22"/>
        <v>0</v>
      </c>
      <c r="T30" s="54">
        <f t="shared" si="23"/>
        <v>5.4917623564653024E-3</v>
      </c>
      <c r="U30" s="55">
        <f t="shared" si="24"/>
        <v>1.5999999999999903E-3</v>
      </c>
      <c r="V30" s="56">
        <f t="shared" si="25"/>
        <v>1.5999999999999903E-3</v>
      </c>
    </row>
    <row r="31" spans="1:22">
      <c r="A31" s="168">
        <v>23</v>
      </c>
      <c r="B31" s="166" t="s">
        <v>59</v>
      </c>
      <c r="C31" s="167" t="s">
        <v>23</v>
      </c>
      <c r="D31" s="42">
        <v>212499330442.42999</v>
      </c>
      <c r="E31" s="28">
        <f t="shared" si="19"/>
        <v>6.9789824638040371E-2</v>
      </c>
      <c r="F31" s="29">
        <v>1</v>
      </c>
      <c r="G31" s="29">
        <v>1</v>
      </c>
      <c r="H31" s="30">
        <v>70106</v>
      </c>
      <c r="I31" s="48">
        <v>0.222</v>
      </c>
      <c r="J31" s="48">
        <v>0.222</v>
      </c>
      <c r="K31" s="42">
        <v>214665246087.06</v>
      </c>
      <c r="L31" s="28">
        <f t="shared" si="20"/>
        <v>7.0501162752399593E-2</v>
      </c>
      <c r="M31" s="29">
        <v>1</v>
      </c>
      <c r="N31" s="29">
        <v>1</v>
      </c>
      <c r="O31" s="30">
        <v>70397</v>
      </c>
      <c r="P31" s="48">
        <v>0.22239999999999999</v>
      </c>
      <c r="Q31" s="48">
        <v>0.22239999999999999</v>
      </c>
      <c r="R31" s="54">
        <f t="shared" si="21"/>
        <v>1.019257632539596E-2</v>
      </c>
      <c r="S31" s="54">
        <f t="shared" si="22"/>
        <v>0</v>
      </c>
      <c r="T31" s="54">
        <f t="shared" si="23"/>
        <v>4.1508572732719025E-3</v>
      </c>
      <c r="U31" s="55">
        <f t="shared" si="24"/>
        <v>3.999999999999837E-4</v>
      </c>
      <c r="V31" s="56">
        <f t="shared" si="25"/>
        <v>3.999999999999837E-4</v>
      </c>
    </row>
    <row r="32" spans="1:22">
      <c r="A32" s="168">
        <v>24</v>
      </c>
      <c r="B32" s="166" t="s">
        <v>301</v>
      </c>
      <c r="C32" s="167" t="s">
        <v>115</v>
      </c>
      <c r="D32" s="42">
        <v>283589193.20999998</v>
      </c>
      <c r="E32" s="28">
        <f t="shared" si="19"/>
        <v>9.3137423172875213E-5</v>
      </c>
      <c r="F32" s="29">
        <v>1</v>
      </c>
      <c r="G32" s="29">
        <v>1</v>
      </c>
      <c r="H32" s="30">
        <v>208</v>
      </c>
      <c r="I32" s="48">
        <v>0.20649999999999999</v>
      </c>
      <c r="J32" s="48">
        <v>0.20649999999999999</v>
      </c>
      <c r="K32" s="42">
        <v>984266996.03999996</v>
      </c>
      <c r="L32" s="28">
        <f t="shared" si="20"/>
        <v>3.2325664700977612E-4</v>
      </c>
      <c r="M32" s="29">
        <v>1</v>
      </c>
      <c r="N32" s="29">
        <v>1</v>
      </c>
      <c r="O32" s="30">
        <v>290</v>
      </c>
      <c r="P32" s="48">
        <v>0.2</v>
      </c>
      <c r="Q32" s="48">
        <v>0.2</v>
      </c>
      <c r="R32" s="54">
        <f t="shared" si="21"/>
        <v>2.4707493078240912</v>
      </c>
      <c r="S32" s="54">
        <f t="shared" si="22"/>
        <v>0</v>
      </c>
      <c r="T32" s="54">
        <f t="shared" si="23"/>
        <v>0.39423076923076922</v>
      </c>
      <c r="U32" s="55">
        <f t="shared" si="24"/>
        <v>-6.499999999999978E-3</v>
      </c>
      <c r="V32" s="56">
        <f t="shared" si="25"/>
        <v>-6.499999999999978E-3</v>
      </c>
    </row>
    <row r="33" spans="1:22">
      <c r="A33" s="168">
        <v>25</v>
      </c>
      <c r="B33" s="166" t="s">
        <v>60</v>
      </c>
      <c r="C33" s="167" t="s">
        <v>25</v>
      </c>
      <c r="D33" s="42">
        <v>119336551080.09</v>
      </c>
      <c r="E33" s="28">
        <f t="shared" si="19"/>
        <v>3.9192956304605231E-2</v>
      </c>
      <c r="F33" s="29">
        <v>1</v>
      </c>
      <c r="G33" s="29">
        <v>1</v>
      </c>
      <c r="H33" s="30">
        <v>33667</v>
      </c>
      <c r="I33" s="48">
        <v>0.2039</v>
      </c>
      <c r="J33" s="48">
        <v>0.2039</v>
      </c>
      <c r="K33" s="42">
        <v>122641928907.94</v>
      </c>
      <c r="L33" s="28">
        <f t="shared" si="20"/>
        <v>4.0278520849622072E-2</v>
      </c>
      <c r="M33" s="29">
        <v>1</v>
      </c>
      <c r="N33" s="29">
        <v>1</v>
      </c>
      <c r="O33" s="30">
        <v>33783</v>
      </c>
      <c r="P33" s="48">
        <v>0.1978</v>
      </c>
      <c r="Q33" s="48">
        <v>0.1978</v>
      </c>
      <c r="R33" s="54">
        <f t="shared" si="21"/>
        <v>2.7697950023976119E-2</v>
      </c>
      <c r="S33" s="54">
        <f t="shared" si="22"/>
        <v>0</v>
      </c>
      <c r="T33" s="54">
        <f t="shared" si="23"/>
        <v>3.4455104404906883E-3</v>
      </c>
      <c r="U33" s="55">
        <f t="shared" si="24"/>
        <v>-6.0999999999999943E-3</v>
      </c>
      <c r="V33" s="56">
        <f t="shared" si="25"/>
        <v>-6.0999999999999943E-3</v>
      </c>
    </row>
    <row r="34" spans="1:22">
      <c r="A34" s="168">
        <v>26</v>
      </c>
      <c r="B34" s="166" t="s">
        <v>286</v>
      </c>
      <c r="C34" s="167" t="s">
        <v>27</v>
      </c>
      <c r="D34" s="31">
        <v>5343046522.3599997</v>
      </c>
      <c r="E34" s="28">
        <f t="shared" ref="E34" si="26">(D34/$D$25)</f>
        <v>0.12739221273402895</v>
      </c>
      <c r="F34" s="31">
        <v>1</v>
      </c>
      <c r="G34" s="31">
        <v>1</v>
      </c>
      <c r="H34" s="30">
        <v>802</v>
      </c>
      <c r="I34" s="48">
        <v>0.22389999999999999</v>
      </c>
      <c r="J34" s="48">
        <v>0.22389999999999999</v>
      </c>
      <c r="K34" s="31">
        <v>5534406630.3599997</v>
      </c>
      <c r="L34" s="28">
        <f t="shared" ref="L34" si="27">(K34/$K$25)</f>
        <v>0.12920277929399784</v>
      </c>
      <c r="M34" s="31">
        <v>1</v>
      </c>
      <c r="N34" s="31">
        <v>1</v>
      </c>
      <c r="O34" s="30">
        <v>846</v>
      </c>
      <c r="P34" s="48">
        <v>0.22600000000000001</v>
      </c>
      <c r="Q34" s="48">
        <v>0.22600000000000001</v>
      </c>
      <c r="R34" s="54">
        <f t="shared" si="21"/>
        <v>3.5814793526348913E-2</v>
      </c>
      <c r="S34" s="54">
        <f t="shared" si="22"/>
        <v>0</v>
      </c>
      <c r="T34" s="54">
        <f t="shared" si="23"/>
        <v>5.4862842892768077E-2</v>
      </c>
      <c r="U34" s="55">
        <f t="shared" si="24"/>
        <v>2.1000000000000185E-3</v>
      </c>
      <c r="V34" s="56">
        <f t="shared" si="25"/>
        <v>2.1000000000000185E-3</v>
      </c>
    </row>
    <row r="35" spans="1:22" ht="15" customHeight="1">
      <c r="A35" s="168">
        <v>27</v>
      </c>
      <c r="B35" s="166" t="s">
        <v>61</v>
      </c>
      <c r="C35" s="167" t="s">
        <v>47</v>
      </c>
      <c r="D35" s="42">
        <v>24273800197</v>
      </c>
      <c r="E35" s="28">
        <f t="shared" ref="E35:E47" si="28">(D35/$K$69)</f>
        <v>7.9720922203395505E-3</v>
      </c>
      <c r="F35" s="29">
        <v>100</v>
      </c>
      <c r="G35" s="29">
        <v>100</v>
      </c>
      <c r="H35" s="30">
        <v>2083</v>
      </c>
      <c r="I35" s="48">
        <v>0.22109999999999999</v>
      </c>
      <c r="J35" s="48">
        <v>0.22109999999999999</v>
      </c>
      <c r="K35" s="42">
        <v>24605131670.720001</v>
      </c>
      <c r="L35" s="28">
        <f t="shared" ref="L35:L47" si="29">(K35/$K$69)</f>
        <v>8.080909341785715E-3</v>
      </c>
      <c r="M35" s="29">
        <v>100</v>
      </c>
      <c r="N35" s="29">
        <v>100</v>
      </c>
      <c r="O35" s="30">
        <v>2083</v>
      </c>
      <c r="P35" s="48">
        <v>0.2117</v>
      </c>
      <c r="Q35" s="48">
        <v>0.2117</v>
      </c>
      <c r="R35" s="54">
        <f t="shared" si="21"/>
        <v>1.3649756982054688E-2</v>
      </c>
      <c r="S35" s="54">
        <f t="shared" si="22"/>
        <v>0</v>
      </c>
      <c r="T35" s="54">
        <f t="shared" si="23"/>
        <v>0</v>
      </c>
      <c r="U35" s="55">
        <f t="shared" si="24"/>
        <v>-9.3999999999999917E-3</v>
      </c>
      <c r="V35" s="56">
        <f t="shared" si="25"/>
        <v>-9.3999999999999917E-3</v>
      </c>
    </row>
    <row r="36" spans="1:22" ht="15" customHeight="1">
      <c r="A36" s="168">
        <v>28</v>
      </c>
      <c r="B36" s="166" t="s">
        <v>62</v>
      </c>
      <c r="C36" s="167" t="s">
        <v>63</v>
      </c>
      <c r="D36" s="42">
        <v>1257201982.25</v>
      </c>
      <c r="E36" s="28">
        <f t="shared" si="28"/>
        <v>4.1289497568367445E-4</v>
      </c>
      <c r="F36" s="29">
        <v>1</v>
      </c>
      <c r="G36" s="29">
        <v>1</v>
      </c>
      <c r="H36" s="30">
        <v>450</v>
      </c>
      <c r="I36" s="48">
        <v>0.2</v>
      </c>
      <c r="J36" s="48">
        <v>0.2</v>
      </c>
      <c r="K36" s="42">
        <v>1474319139.72</v>
      </c>
      <c r="L36" s="28">
        <f t="shared" si="29"/>
        <v>4.8420140434014597E-4</v>
      </c>
      <c r="M36" s="29">
        <v>1</v>
      </c>
      <c r="N36" s="29">
        <v>1</v>
      </c>
      <c r="O36" s="30">
        <v>453</v>
      </c>
      <c r="P36" s="48">
        <v>0.2</v>
      </c>
      <c r="Q36" s="48">
        <v>0.2</v>
      </c>
      <c r="R36" s="54">
        <f t="shared" si="21"/>
        <v>0.17269870755487352</v>
      </c>
      <c r="S36" s="54">
        <f t="shared" si="22"/>
        <v>0</v>
      </c>
      <c r="T36" s="54">
        <f t="shared" si="23"/>
        <v>6.6666666666666671E-3</v>
      </c>
      <c r="U36" s="55">
        <f t="shared" si="24"/>
        <v>0</v>
      </c>
      <c r="V36" s="56">
        <f t="shared" si="25"/>
        <v>0</v>
      </c>
    </row>
    <row r="37" spans="1:22">
      <c r="A37" s="168">
        <v>29</v>
      </c>
      <c r="B37" s="166" t="s">
        <v>64</v>
      </c>
      <c r="C37" s="167" t="s">
        <v>65</v>
      </c>
      <c r="D37" s="42">
        <v>55168081770.439995</v>
      </c>
      <c r="E37" s="28">
        <f t="shared" si="28"/>
        <v>1.8118507688282628E-2</v>
      </c>
      <c r="F37" s="29">
        <v>100</v>
      </c>
      <c r="G37" s="29">
        <v>100</v>
      </c>
      <c r="H37" s="30">
        <v>4302</v>
      </c>
      <c r="I37" s="48">
        <v>0.21438359685977801</v>
      </c>
      <c r="J37" s="48">
        <v>0.21438359685977801</v>
      </c>
      <c r="K37" s="42">
        <v>55802879114.580002</v>
      </c>
      <c r="L37" s="28">
        <f t="shared" si="29"/>
        <v>1.8326990205549794E-2</v>
      </c>
      <c r="M37" s="29">
        <v>100</v>
      </c>
      <c r="N37" s="29">
        <v>100</v>
      </c>
      <c r="O37" s="30">
        <v>4357</v>
      </c>
      <c r="P37" s="48">
        <v>0.21119865927599199</v>
      </c>
      <c r="Q37" s="48">
        <v>0.21119865927599199</v>
      </c>
      <c r="R37" s="54">
        <f t="shared" si="21"/>
        <v>1.1506605337148814E-2</v>
      </c>
      <c r="S37" s="54">
        <f t="shared" si="22"/>
        <v>0</v>
      </c>
      <c r="T37" s="54">
        <f t="shared" si="23"/>
        <v>1.2784751278475127E-2</v>
      </c>
      <c r="U37" s="55">
        <f t="shared" si="24"/>
        <v>-3.1849375837860183E-3</v>
      </c>
      <c r="V37" s="56">
        <f t="shared" si="25"/>
        <v>-3.1849375837860183E-3</v>
      </c>
    </row>
    <row r="38" spans="1:22">
      <c r="A38" s="168">
        <v>30</v>
      </c>
      <c r="B38" s="166" t="s">
        <v>66</v>
      </c>
      <c r="C38" s="167" t="s">
        <v>67</v>
      </c>
      <c r="D38" s="42">
        <v>27380942277.09</v>
      </c>
      <c r="E38" s="28">
        <f t="shared" si="28"/>
        <v>8.9925514398743866E-3</v>
      </c>
      <c r="F38" s="29">
        <v>100</v>
      </c>
      <c r="G38" s="29">
        <v>100</v>
      </c>
      <c r="H38" s="30">
        <v>7005</v>
      </c>
      <c r="I38" s="48">
        <v>0.20369999999999999</v>
      </c>
      <c r="J38" s="48">
        <v>0.20369999999999999</v>
      </c>
      <c r="K38" s="42">
        <v>28596787840.290001</v>
      </c>
      <c r="L38" s="28">
        <f t="shared" si="29"/>
        <v>9.3918639857821767E-3</v>
      </c>
      <c r="M38" s="29">
        <v>100</v>
      </c>
      <c r="N38" s="29">
        <v>100</v>
      </c>
      <c r="O38" s="30">
        <v>7055</v>
      </c>
      <c r="P38" s="48">
        <v>0.2094</v>
      </c>
      <c r="Q38" s="48">
        <v>0.2094</v>
      </c>
      <c r="R38" s="54">
        <f t="shared" si="21"/>
        <v>4.4404810867934047E-2</v>
      </c>
      <c r="S38" s="54">
        <f t="shared" si="22"/>
        <v>0</v>
      </c>
      <c r="T38" s="54">
        <f t="shared" si="23"/>
        <v>7.1377587437544609E-3</v>
      </c>
      <c r="U38" s="55">
        <f t="shared" si="24"/>
        <v>5.7000000000000106E-3</v>
      </c>
      <c r="V38" s="56">
        <f t="shared" si="25"/>
        <v>5.7000000000000106E-3</v>
      </c>
    </row>
    <row r="39" spans="1:22">
      <c r="A39" s="168">
        <v>31</v>
      </c>
      <c r="B39" s="166" t="s">
        <v>68</v>
      </c>
      <c r="C39" s="167" t="s">
        <v>296</v>
      </c>
      <c r="D39" s="42">
        <v>27346894986.630001</v>
      </c>
      <c r="E39" s="28">
        <f t="shared" si="28"/>
        <v>8.9813695014388309E-3</v>
      </c>
      <c r="F39" s="29">
        <v>1</v>
      </c>
      <c r="G39" s="29">
        <v>1</v>
      </c>
      <c r="H39" s="30">
        <v>6051</v>
      </c>
      <c r="I39" s="48">
        <v>0.2089</v>
      </c>
      <c r="J39" s="48">
        <v>0.2089</v>
      </c>
      <c r="K39" s="42">
        <v>28223871874.75</v>
      </c>
      <c r="L39" s="28">
        <f t="shared" si="29"/>
        <v>9.2693895300482408E-3</v>
      </c>
      <c r="M39" s="29">
        <v>1</v>
      </c>
      <c r="N39" s="29">
        <v>1</v>
      </c>
      <c r="O39" s="30">
        <v>6110</v>
      </c>
      <c r="P39" s="48">
        <v>0.21640000000000001</v>
      </c>
      <c r="Q39" s="48">
        <v>0.21640000000000001</v>
      </c>
      <c r="R39" s="54">
        <f t="shared" si="21"/>
        <v>3.2068609198549092E-2</v>
      </c>
      <c r="S39" s="54">
        <f t="shared" si="22"/>
        <v>0</v>
      </c>
      <c r="T39" s="54">
        <f t="shared" si="23"/>
        <v>9.750454470335481E-3</v>
      </c>
      <c r="U39" s="55">
        <f t="shared" si="24"/>
        <v>7.5000000000000067E-3</v>
      </c>
      <c r="V39" s="56">
        <f t="shared" si="25"/>
        <v>7.5000000000000067E-3</v>
      </c>
    </row>
    <row r="40" spans="1:22">
      <c r="A40" s="168">
        <v>32</v>
      </c>
      <c r="B40" s="166" t="s">
        <v>69</v>
      </c>
      <c r="C40" s="167" t="s">
        <v>70</v>
      </c>
      <c r="D40" s="42">
        <v>58030095561.68</v>
      </c>
      <c r="E40" s="28">
        <f t="shared" si="28"/>
        <v>1.9058460958659668E-2</v>
      </c>
      <c r="F40" s="43">
        <v>100</v>
      </c>
      <c r="G40" s="43">
        <v>100</v>
      </c>
      <c r="H40" s="30">
        <v>3848</v>
      </c>
      <c r="I40" s="48">
        <v>0.20780000000000001</v>
      </c>
      <c r="J40" s="48">
        <v>0.20780000000000001</v>
      </c>
      <c r="K40" s="42">
        <v>60845704724.010002</v>
      </c>
      <c r="L40" s="28">
        <f t="shared" si="29"/>
        <v>1.9983173847303363E-2</v>
      </c>
      <c r="M40" s="43">
        <v>100</v>
      </c>
      <c r="N40" s="43">
        <v>100</v>
      </c>
      <c r="O40" s="30">
        <v>3848</v>
      </c>
      <c r="P40" s="48">
        <v>0.2059</v>
      </c>
      <c r="Q40" s="48">
        <v>0.2059</v>
      </c>
      <c r="R40" s="54">
        <f t="shared" si="21"/>
        <v>4.8519809162425036E-2</v>
      </c>
      <c r="S40" s="54">
        <f t="shared" si="22"/>
        <v>0</v>
      </c>
      <c r="T40" s="54">
        <f t="shared" si="23"/>
        <v>0</v>
      </c>
      <c r="U40" s="55">
        <f t="shared" si="24"/>
        <v>-1.9000000000000128E-3</v>
      </c>
      <c r="V40" s="56">
        <f t="shared" si="25"/>
        <v>-1.9000000000000128E-3</v>
      </c>
    </row>
    <row r="41" spans="1:22">
      <c r="A41" s="168">
        <v>33</v>
      </c>
      <c r="B41" s="166" t="s">
        <v>71</v>
      </c>
      <c r="C41" s="167" t="s">
        <v>70</v>
      </c>
      <c r="D41" s="42">
        <v>7508545798.1800003</v>
      </c>
      <c r="E41" s="28">
        <f t="shared" si="28"/>
        <v>2.4659846854606622E-3</v>
      </c>
      <c r="F41" s="43">
        <v>1000000</v>
      </c>
      <c r="G41" s="43">
        <v>1000000</v>
      </c>
      <c r="H41" s="30">
        <v>26</v>
      </c>
      <c r="I41" s="48">
        <v>0.217</v>
      </c>
      <c r="J41" s="48">
        <v>0.217</v>
      </c>
      <c r="K41" s="42">
        <v>7484990358.7700005</v>
      </c>
      <c r="L41" s="28">
        <f t="shared" si="29"/>
        <v>2.4582485199759374E-3</v>
      </c>
      <c r="M41" s="43">
        <v>1000000</v>
      </c>
      <c r="N41" s="43">
        <v>1000000</v>
      </c>
      <c r="O41" s="30">
        <v>26</v>
      </c>
      <c r="P41" s="48">
        <v>0.2157</v>
      </c>
      <c r="Q41" s="48">
        <v>0.2157</v>
      </c>
      <c r="R41" s="54">
        <f t="shared" si="21"/>
        <v>-3.1371506604793513E-3</v>
      </c>
      <c r="S41" s="54">
        <f t="shared" si="22"/>
        <v>0</v>
      </c>
      <c r="T41" s="54">
        <f t="shared" si="23"/>
        <v>0</v>
      </c>
      <c r="U41" s="55">
        <f t="shared" si="24"/>
        <v>-1.2999999999999956E-3</v>
      </c>
      <c r="V41" s="56">
        <f t="shared" si="25"/>
        <v>-1.2999999999999956E-3</v>
      </c>
    </row>
    <row r="42" spans="1:22">
      <c r="A42" s="168">
        <v>34</v>
      </c>
      <c r="B42" s="166" t="s">
        <v>72</v>
      </c>
      <c r="C42" s="167" t="s">
        <v>73</v>
      </c>
      <c r="D42" s="42">
        <v>5111608874.3199997</v>
      </c>
      <c r="E42" s="28">
        <f t="shared" si="28"/>
        <v>1.6787736987890921E-3</v>
      </c>
      <c r="F42" s="29">
        <v>1</v>
      </c>
      <c r="G42" s="29">
        <v>1</v>
      </c>
      <c r="H42" s="30">
        <v>914</v>
      </c>
      <c r="I42" s="48">
        <v>0.20899999999999999</v>
      </c>
      <c r="J42" s="48">
        <v>0.20899999999999999</v>
      </c>
      <c r="K42" s="42">
        <v>5082128831.8900003</v>
      </c>
      <c r="L42" s="28">
        <f t="shared" si="29"/>
        <v>1.6690917530284722E-3</v>
      </c>
      <c r="M42" s="29">
        <v>1</v>
      </c>
      <c r="N42" s="29">
        <v>1</v>
      </c>
      <c r="O42" s="30">
        <v>917</v>
      </c>
      <c r="P42" s="48">
        <v>0.20710000000000001</v>
      </c>
      <c r="Q42" s="48">
        <v>0.20710000000000001</v>
      </c>
      <c r="R42" s="54">
        <f t="shared" si="21"/>
        <v>-5.767272722704375E-3</v>
      </c>
      <c r="S42" s="54">
        <f t="shared" si="22"/>
        <v>0</v>
      </c>
      <c r="T42" s="54">
        <f t="shared" si="23"/>
        <v>3.2822757111597373E-3</v>
      </c>
      <c r="U42" s="55">
        <f t="shared" si="24"/>
        <v>-1.899999999999985E-3</v>
      </c>
      <c r="V42" s="56">
        <f t="shared" si="25"/>
        <v>-1.899999999999985E-3</v>
      </c>
    </row>
    <row r="43" spans="1:22">
      <c r="A43" s="168">
        <v>35</v>
      </c>
      <c r="B43" s="166" t="s">
        <v>74</v>
      </c>
      <c r="C43" s="167" t="s">
        <v>31</v>
      </c>
      <c r="D43" s="42">
        <v>519299073374.15997</v>
      </c>
      <c r="E43" s="28">
        <f t="shared" si="28"/>
        <v>0.17055014333467772</v>
      </c>
      <c r="F43" s="29">
        <v>100</v>
      </c>
      <c r="G43" s="29">
        <v>100</v>
      </c>
      <c r="H43" s="30">
        <v>16160</v>
      </c>
      <c r="I43" s="48">
        <v>0.2099</v>
      </c>
      <c r="J43" s="48">
        <v>0.2099</v>
      </c>
      <c r="K43" s="42">
        <v>521699901100.16998</v>
      </c>
      <c r="L43" s="28">
        <f t="shared" si="29"/>
        <v>0.1713386321531391</v>
      </c>
      <c r="M43" s="29">
        <v>100</v>
      </c>
      <c r="N43" s="29">
        <v>100</v>
      </c>
      <c r="O43" s="30">
        <v>16207</v>
      </c>
      <c r="P43" s="48">
        <v>0.2099</v>
      </c>
      <c r="Q43" s="48">
        <v>0.2099</v>
      </c>
      <c r="R43" s="54">
        <f t="shared" si="21"/>
        <v>4.6232081840827596E-3</v>
      </c>
      <c r="S43" s="54">
        <f t="shared" si="22"/>
        <v>0</v>
      </c>
      <c r="T43" s="54">
        <f t="shared" si="23"/>
        <v>2.9084158415841584E-3</v>
      </c>
      <c r="U43" s="55">
        <f t="shared" si="24"/>
        <v>0</v>
      </c>
      <c r="V43" s="56">
        <f t="shared" si="25"/>
        <v>0</v>
      </c>
    </row>
    <row r="44" spans="1:22">
      <c r="A44" s="168">
        <v>36</v>
      </c>
      <c r="B44" s="166" t="s">
        <v>75</v>
      </c>
      <c r="C44" s="167" t="s">
        <v>76</v>
      </c>
      <c r="D44" s="42">
        <v>2200366745.8299999</v>
      </c>
      <c r="E44" s="28">
        <f t="shared" si="28"/>
        <v>7.2265267382785642E-4</v>
      </c>
      <c r="F44" s="29">
        <v>1</v>
      </c>
      <c r="G44" s="29">
        <v>1</v>
      </c>
      <c r="H44" s="44">
        <v>1291</v>
      </c>
      <c r="I44" s="51">
        <v>0.20530000000000001</v>
      </c>
      <c r="J44" s="51">
        <v>0.20530000000000001</v>
      </c>
      <c r="K44" s="42">
        <v>2240128907.9899998</v>
      </c>
      <c r="L44" s="28">
        <f t="shared" si="29"/>
        <v>7.3571151179500709E-4</v>
      </c>
      <c r="M44" s="29">
        <v>1</v>
      </c>
      <c r="N44" s="29">
        <v>1</v>
      </c>
      <c r="O44" s="44">
        <v>1303</v>
      </c>
      <c r="P44" s="51">
        <v>0.20830000000000001</v>
      </c>
      <c r="Q44" s="51">
        <v>0.20830000000000001</v>
      </c>
      <c r="R44" s="54">
        <f t="shared" si="21"/>
        <v>1.8070697639543342E-2</v>
      </c>
      <c r="S44" s="54">
        <f t="shared" si="22"/>
        <v>0</v>
      </c>
      <c r="T44" s="54">
        <f t="shared" si="23"/>
        <v>9.2951200619674663E-3</v>
      </c>
      <c r="U44" s="55">
        <f t="shared" si="24"/>
        <v>3.0000000000000027E-3</v>
      </c>
      <c r="V44" s="56">
        <f t="shared" si="25"/>
        <v>3.0000000000000027E-3</v>
      </c>
    </row>
    <row r="45" spans="1:22">
      <c r="A45" s="168">
        <v>37</v>
      </c>
      <c r="B45" s="166" t="s">
        <v>298</v>
      </c>
      <c r="C45" s="167" t="s">
        <v>299</v>
      </c>
      <c r="D45" s="42">
        <v>1471611386.21</v>
      </c>
      <c r="E45" s="28">
        <f t="shared" si="28"/>
        <v>4.8331211380811236E-4</v>
      </c>
      <c r="F45" s="29">
        <v>1</v>
      </c>
      <c r="G45" s="29">
        <v>1</v>
      </c>
      <c r="H45" s="44">
        <v>224</v>
      </c>
      <c r="I45" s="51">
        <v>0.19239999999999999</v>
      </c>
      <c r="J45" s="51">
        <v>0.19239999999999999</v>
      </c>
      <c r="K45" s="42">
        <v>1622044486.21</v>
      </c>
      <c r="L45" s="28">
        <f t="shared" si="29"/>
        <v>5.3271791497886518E-4</v>
      </c>
      <c r="M45" s="29">
        <v>1</v>
      </c>
      <c r="N45" s="29">
        <v>1</v>
      </c>
      <c r="O45" s="44">
        <v>232</v>
      </c>
      <c r="P45" s="51">
        <v>0.19420000000000001</v>
      </c>
      <c r="Q45" s="51">
        <v>0.19420000000000001</v>
      </c>
      <c r="R45" s="54">
        <f t="shared" si="21"/>
        <v>0.10222338683273349</v>
      </c>
      <c r="S45" s="54">
        <f t="shared" si="22"/>
        <v>0</v>
      </c>
      <c r="T45" s="54">
        <f t="shared" si="23"/>
        <v>3.5714285714285712E-2</v>
      </c>
      <c r="U45" s="55">
        <f t="shared" si="24"/>
        <v>1.8000000000000238E-3</v>
      </c>
      <c r="V45" s="56">
        <f t="shared" si="25"/>
        <v>1.8000000000000238E-3</v>
      </c>
    </row>
    <row r="46" spans="1:22">
      <c r="A46" s="168">
        <v>38</v>
      </c>
      <c r="B46" s="166" t="s">
        <v>77</v>
      </c>
      <c r="C46" s="167" t="s">
        <v>78</v>
      </c>
      <c r="D46" s="42">
        <v>932091671.59000003</v>
      </c>
      <c r="E46" s="28">
        <f t="shared" si="28"/>
        <v>3.0612103187057998E-4</v>
      </c>
      <c r="F46" s="29">
        <v>10</v>
      </c>
      <c r="G46" s="29">
        <v>10</v>
      </c>
      <c r="H46" s="30">
        <v>462</v>
      </c>
      <c r="I46" s="48">
        <v>0.1663</v>
      </c>
      <c r="J46" s="48">
        <v>0.1663</v>
      </c>
      <c r="K46" s="42">
        <v>924373627.63</v>
      </c>
      <c r="L46" s="28">
        <f t="shared" si="29"/>
        <v>3.0358624301550161E-4</v>
      </c>
      <c r="M46" s="29">
        <v>10</v>
      </c>
      <c r="N46" s="29">
        <v>10</v>
      </c>
      <c r="O46" s="30">
        <v>465</v>
      </c>
      <c r="P46" s="48">
        <v>0.17599999999999999</v>
      </c>
      <c r="Q46" s="48">
        <v>0.17599999999999999</v>
      </c>
      <c r="R46" s="54">
        <f t="shared" si="21"/>
        <v>-8.2803485915009661E-3</v>
      </c>
      <c r="S46" s="54">
        <f t="shared" si="22"/>
        <v>0</v>
      </c>
      <c r="T46" s="54">
        <f t="shared" si="23"/>
        <v>6.4935064935064939E-3</v>
      </c>
      <c r="U46" s="55">
        <f t="shared" si="24"/>
        <v>9.6999999999999864E-3</v>
      </c>
      <c r="V46" s="56">
        <f t="shared" si="25"/>
        <v>9.6999999999999864E-3</v>
      </c>
    </row>
    <row r="47" spans="1:22">
      <c r="A47" s="168">
        <v>39</v>
      </c>
      <c r="B47" s="166" t="s">
        <v>79</v>
      </c>
      <c r="C47" s="167" t="s">
        <v>80</v>
      </c>
      <c r="D47" s="42">
        <v>6896520107.96</v>
      </c>
      <c r="E47" s="28">
        <f t="shared" si="28"/>
        <v>2.2649809199170282E-3</v>
      </c>
      <c r="F47" s="29">
        <v>100</v>
      </c>
      <c r="G47" s="29">
        <v>100</v>
      </c>
      <c r="H47" s="30">
        <v>917</v>
      </c>
      <c r="I47" s="48">
        <v>0.23139999999999999</v>
      </c>
      <c r="J47" s="48">
        <v>0.23139999999999999</v>
      </c>
      <c r="K47" s="42">
        <v>7012788320.6099997</v>
      </c>
      <c r="L47" s="28">
        <f t="shared" si="29"/>
        <v>2.3031661610419182E-3</v>
      </c>
      <c r="M47" s="29">
        <v>100</v>
      </c>
      <c r="N47" s="29">
        <v>100</v>
      </c>
      <c r="O47" s="30">
        <v>918</v>
      </c>
      <c r="P47" s="48">
        <v>0.22739999999999999</v>
      </c>
      <c r="Q47" s="48">
        <v>0.22739999999999999</v>
      </c>
      <c r="R47" s="54">
        <f t="shared" si="21"/>
        <v>1.6858968121589647E-2</v>
      </c>
      <c r="S47" s="54">
        <f t="shared" si="22"/>
        <v>0</v>
      </c>
      <c r="T47" s="54">
        <f t="shared" si="23"/>
        <v>1.0905125408942203E-3</v>
      </c>
      <c r="U47" s="55">
        <f t="shared" si="24"/>
        <v>-4.0000000000000036E-3</v>
      </c>
      <c r="V47" s="56">
        <f t="shared" si="25"/>
        <v>-4.0000000000000036E-3</v>
      </c>
    </row>
    <row r="48" spans="1:22">
      <c r="A48" s="168">
        <v>40</v>
      </c>
      <c r="B48" s="166" t="s">
        <v>81</v>
      </c>
      <c r="C48" s="166" t="s">
        <v>82</v>
      </c>
      <c r="D48" s="130">
        <v>98621533.029831171</v>
      </c>
      <c r="E48" s="28">
        <f>(D48/$D$189)</f>
        <v>1.6209552659723759E-3</v>
      </c>
      <c r="F48" s="31">
        <v>1</v>
      </c>
      <c r="G48" s="31">
        <v>1</v>
      </c>
      <c r="H48" s="30">
        <v>89</v>
      </c>
      <c r="I48" s="48">
        <v>0.1782</v>
      </c>
      <c r="J48" s="48">
        <v>0.1782</v>
      </c>
      <c r="K48" s="130">
        <v>98971693.073411062</v>
      </c>
      <c r="L48" s="52">
        <f>(K48/$K$189)</f>
        <v>1.6010705764170905E-3</v>
      </c>
      <c r="M48" s="31">
        <v>1</v>
      </c>
      <c r="N48" s="31">
        <v>1</v>
      </c>
      <c r="O48" s="30">
        <v>89</v>
      </c>
      <c r="P48" s="48">
        <v>0.1789</v>
      </c>
      <c r="Q48" s="48">
        <v>0.1789</v>
      </c>
      <c r="R48" s="55">
        <f t="shared" si="21"/>
        <v>3.5505435052806821E-3</v>
      </c>
      <c r="S48" s="55">
        <f t="shared" si="22"/>
        <v>0</v>
      </c>
      <c r="T48" s="55">
        <f t="shared" si="23"/>
        <v>0</v>
      </c>
      <c r="U48" s="55">
        <f t="shared" si="24"/>
        <v>7.0000000000000617E-4</v>
      </c>
      <c r="V48" s="56">
        <f t="shared" si="25"/>
        <v>7.0000000000000617E-4</v>
      </c>
    </row>
    <row r="49" spans="1:22">
      <c r="A49" s="168">
        <v>41</v>
      </c>
      <c r="B49" s="166" t="s">
        <v>285</v>
      </c>
      <c r="C49" s="167" t="s">
        <v>37</v>
      </c>
      <c r="D49" s="42">
        <v>365974424.85000002</v>
      </c>
      <c r="E49" s="28">
        <f t="shared" ref="E49" si="30">(D49/$K$69)</f>
        <v>1.2019468898613208E-4</v>
      </c>
      <c r="F49" s="29">
        <v>100</v>
      </c>
      <c r="G49" s="29">
        <v>100</v>
      </c>
      <c r="H49" s="30">
        <v>1903</v>
      </c>
      <c r="I49" s="48">
        <v>0.19370000000000001</v>
      </c>
      <c r="J49" s="48">
        <v>0.19370000000000001</v>
      </c>
      <c r="K49" s="42">
        <v>420309601.98000002</v>
      </c>
      <c r="L49" s="28">
        <f t="shared" ref="L49" si="31">(K49/$K$69)</f>
        <v>1.3803965101817433E-4</v>
      </c>
      <c r="M49" s="29">
        <v>100</v>
      </c>
      <c r="N49" s="29">
        <v>100</v>
      </c>
      <c r="O49" s="30">
        <v>2405</v>
      </c>
      <c r="P49" s="48">
        <v>0.17910000000000001</v>
      </c>
      <c r="Q49" s="48">
        <v>0.17910000000000001</v>
      </c>
      <c r="R49" s="54">
        <f t="shared" ref="R49" si="32">((K49-D49)/D49)</f>
        <v>0.14846714262142788</v>
      </c>
      <c r="S49" s="54">
        <f t="shared" ref="S49" si="33">((N49-G49)/G49)</f>
        <v>0</v>
      </c>
      <c r="T49" s="54">
        <f t="shared" ref="T49" si="34">((O49-H49)/H49)</f>
        <v>0.26379400945874937</v>
      </c>
      <c r="U49" s="55">
        <f t="shared" ref="U49" si="35">P49-I49</f>
        <v>-1.4600000000000002E-2</v>
      </c>
      <c r="V49" s="56">
        <f t="shared" ref="V49" si="36">Q49-J49</f>
        <v>-1.4600000000000002E-2</v>
      </c>
    </row>
    <row r="50" spans="1:22">
      <c r="A50" s="168">
        <v>42</v>
      </c>
      <c r="B50" s="166" t="s">
        <v>83</v>
      </c>
      <c r="C50" s="167" t="s">
        <v>37</v>
      </c>
      <c r="D50" s="42">
        <v>87048223615.559998</v>
      </c>
      <c r="E50" s="28">
        <f t="shared" ref="E50:E68" si="37">(D50/$K$69)</f>
        <v>2.8588703072778426E-2</v>
      </c>
      <c r="F50" s="29">
        <v>100</v>
      </c>
      <c r="G50" s="29">
        <v>100</v>
      </c>
      <c r="H50" s="30">
        <v>12107</v>
      </c>
      <c r="I50" s="48">
        <v>0.19040000000000001</v>
      </c>
      <c r="J50" s="48">
        <v>0.19040000000000001</v>
      </c>
      <c r="K50" s="42">
        <v>89351497504.929993</v>
      </c>
      <c r="L50" s="28">
        <f t="shared" ref="L50:L68" si="38">(K50/$K$69)</f>
        <v>2.9345152895457079E-2</v>
      </c>
      <c r="M50" s="29">
        <v>100</v>
      </c>
      <c r="N50" s="29">
        <v>100</v>
      </c>
      <c r="O50" s="30">
        <v>12253</v>
      </c>
      <c r="P50" s="48">
        <v>0.20710000000000001</v>
      </c>
      <c r="Q50" s="48">
        <v>0.20710000000000001</v>
      </c>
      <c r="R50" s="54">
        <f t="shared" si="21"/>
        <v>2.6459746031604045E-2</v>
      </c>
      <c r="S50" s="54">
        <f t="shared" si="22"/>
        <v>0</v>
      </c>
      <c r="T50" s="54">
        <f t="shared" si="23"/>
        <v>1.2059139340877179E-2</v>
      </c>
      <c r="U50" s="55">
        <f t="shared" si="24"/>
        <v>1.6699999999999993E-2</v>
      </c>
      <c r="V50" s="56">
        <f t="shared" si="25"/>
        <v>1.6699999999999993E-2</v>
      </c>
    </row>
    <row r="51" spans="1:22">
      <c r="A51" s="168">
        <v>43</v>
      </c>
      <c r="B51" s="166" t="s">
        <v>84</v>
      </c>
      <c r="C51" s="167" t="s">
        <v>41</v>
      </c>
      <c r="D51" s="42">
        <v>20173434071.709999</v>
      </c>
      <c r="E51" s="28">
        <f t="shared" si="37"/>
        <v>6.625434646219442E-3</v>
      </c>
      <c r="F51" s="29">
        <v>1</v>
      </c>
      <c r="G51" s="29">
        <v>1</v>
      </c>
      <c r="H51" s="30">
        <v>1755</v>
      </c>
      <c r="I51" s="48">
        <v>0.2031</v>
      </c>
      <c r="J51" s="48">
        <v>0.2031</v>
      </c>
      <c r="K51" s="42">
        <v>20470552102.310001</v>
      </c>
      <c r="L51" s="28">
        <f t="shared" si="38"/>
        <v>6.7230152607522103E-3</v>
      </c>
      <c r="M51" s="29">
        <v>1</v>
      </c>
      <c r="N51" s="29">
        <v>1</v>
      </c>
      <c r="O51" s="30">
        <v>1775</v>
      </c>
      <c r="P51" s="48">
        <v>0.20599999999999999</v>
      </c>
      <c r="Q51" s="48">
        <v>0.20599999999999999</v>
      </c>
      <c r="R51" s="54">
        <f t="shared" si="21"/>
        <v>1.4728183091874408E-2</v>
      </c>
      <c r="S51" s="54">
        <f t="shared" si="22"/>
        <v>0</v>
      </c>
      <c r="T51" s="54">
        <f t="shared" si="23"/>
        <v>1.1396011396011397E-2</v>
      </c>
      <c r="U51" s="55">
        <f t="shared" si="24"/>
        <v>2.8999999999999859E-3</v>
      </c>
      <c r="V51" s="56">
        <f t="shared" si="25"/>
        <v>2.8999999999999859E-3</v>
      </c>
    </row>
    <row r="52" spans="1:22">
      <c r="A52" s="168">
        <v>44</v>
      </c>
      <c r="B52" s="166" t="s">
        <v>309</v>
      </c>
      <c r="C52" s="167" t="s">
        <v>308</v>
      </c>
      <c r="D52" s="42">
        <v>1694542892.8293931</v>
      </c>
      <c r="E52" s="28">
        <f t="shared" si="37"/>
        <v>5.5652811275205545E-4</v>
      </c>
      <c r="F52" s="29">
        <v>100</v>
      </c>
      <c r="G52" s="29">
        <v>100</v>
      </c>
      <c r="H52" s="30">
        <v>139</v>
      </c>
      <c r="I52" s="48">
        <v>0.21290000000000001</v>
      </c>
      <c r="J52" s="48">
        <v>0.21290000000000001</v>
      </c>
      <c r="K52" s="42">
        <v>1727589643.0481439</v>
      </c>
      <c r="L52" s="28">
        <f t="shared" si="38"/>
        <v>5.6738145002056307E-4</v>
      </c>
      <c r="M52" s="29">
        <v>100</v>
      </c>
      <c r="N52" s="29">
        <v>100</v>
      </c>
      <c r="O52" s="30">
        <v>139</v>
      </c>
      <c r="P52" s="48">
        <v>0.21379999999999999</v>
      </c>
      <c r="Q52" s="48">
        <v>0.21379999999999999</v>
      </c>
      <c r="R52" s="54">
        <f t="shared" si="21"/>
        <v>1.950186705724059E-2</v>
      </c>
      <c r="S52" s="54">
        <f t="shared" si="22"/>
        <v>0</v>
      </c>
      <c r="T52" s="54">
        <f t="shared" si="23"/>
        <v>0</v>
      </c>
      <c r="U52" s="55">
        <f t="shared" si="24"/>
        <v>8.9999999999998415E-4</v>
      </c>
      <c r="V52" s="56">
        <f t="shared" si="25"/>
        <v>8.9999999999998415E-4</v>
      </c>
    </row>
    <row r="53" spans="1:22">
      <c r="A53" s="168">
        <v>45</v>
      </c>
      <c r="B53" s="166" t="s">
        <v>85</v>
      </c>
      <c r="C53" s="167" t="s">
        <v>43</v>
      </c>
      <c r="D53" s="45">
        <v>43655862389.869995</v>
      </c>
      <c r="E53" s="28">
        <f t="shared" si="37"/>
        <v>1.4337621555174103E-2</v>
      </c>
      <c r="F53" s="29">
        <v>10</v>
      </c>
      <c r="G53" s="29">
        <v>10</v>
      </c>
      <c r="H53" s="30">
        <v>4731</v>
      </c>
      <c r="I53" s="48">
        <v>0.22270000000000001</v>
      </c>
      <c r="J53" s="48">
        <v>0.22270000000000001</v>
      </c>
      <c r="K53" s="45">
        <v>43556703687.810005</v>
      </c>
      <c r="L53" s="28">
        <f t="shared" si="38"/>
        <v>1.4305055483489575E-2</v>
      </c>
      <c r="M53" s="29">
        <v>10</v>
      </c>
      <c r="N53" s="29">
        <v>10</v>
      </c>
      <c r="O53" s="30">
        <v>4811</v>
      </c>
      <c r="P53" s="48">
        <v>0.22120000000000001</v>
      </c>
      <c r="Q53" s="48">
        <v>0.22120000000000001</v>
      </c>
      <c r="R53" s="54">
        <f t="shared" si="21"/>
        <v>-2.2713719677428463E-3</v>
      </c>
      <c r="S53" s="54">
        <f t="shared" si="22"/>
        <v>0</v>
      </c>
      <c r="T53" s="54">
        <f t="shared" si="23"/>
        <v>1.6909744240118367E-2</v>
      </c>
      <c r="U53" s="55">
        <f t="shared" si="24"/>
        <v>-1.5000000000000013E-3</v>
      </c>
      <c r="V53" s="56">
        <f t="shared" si="25"/>
        <v>-1.5000000000000013E-3</v>
      </c>
    </row>
    <row r="54" spans="1:22">
      <c r="A54" s="168">
        <v>46</v>
      </c>
      <c r="B54" s="166" t="s">
        <v>86</v>
      </c>
      <c r="C54" s="167" t="s">
        <v>87</v>
      </c>
      <c r="D54" s="42">
        <v>20028548534</v>
      </c>
      <c r="E54" s="28">
        <f t="shared" si="37"/>
        <v>6.5778507961982841E-3</v>
      </c>
      <c r="F54" s="29">
        <v>100</v>
      </c>
      <c r="G54" s="29">
        <v>100</v>
      </c>
      <c r="H54" s="30">
        <v>4138</v>
      </c>
      <c r="I54" s="48">
        <v>0.21379999999999999</v>
      </c>
      <c r="J54" s="48">
        <v>0.21379999999999999</v>
      </c>
      <c r="K54" s="42">
        <v>20706100185</v>
      </c>
      <c r="L54" s="28">
        <f t="shared" si="38"/>
        <v>6.8003748427825882E-3</v>
      </c>
      <c r="M54" s="29">
        <v>100</v>
      </c>
      <c r="N54" s="29">
        <v>100</v>
      </c>
      <c r="O54" s="30">
        <v>4174</v>
      </c>
      <c r="P54" s="48">
        <v>0.21790000000000001</v>
      </c>
      <c r="Q54" s="48">
        <v>0.21790000000000001</v>
      </c>
      <c r="R54" s="54">
        <f t="shared" si="21"/>
        <v>3.3829293712912045E-2</v>
      </c>
      <c r="S54" s="54">
        <f t="shared" si="22"/>
        <v>0</v>
      </c>
      <c r="T54" s="54">
        <f t="shared" si="23"/>
        <v>8.6998550024166271E-3</v>
      </c>
      <c r="U54" s="55">
        <f t="shared" si="24"/>
        <v>4.1000000000000203E-3</v>
      </c>
      <c r="V54" s="56">
        <f t="shared" si="25"/>
        <v>4.1000000000000203E-3</v>
      </c>
    </row>
    <row r="55" spans="1:22">
      <c r="A55" s="168">
        <v>47</v>
      </c>
      <c r="B55" s="166" t="s">
        <v>88</v>
      </c>
      <c r="C55" s="167" t="s">
        <v>89</v>
      </c>
      <c r="D55" s="42">
        <v>279189862.44999999</v>
      </c>
      <c r="E55" s="28">
        <f t="shared" si="37"/>
        <v>9.1692578515596094E-5</v>
      </c>
      <c r="F55" s="29">
        <v>1</v>
      </c>
      <c r="G55" s="29">
        <v>1</v>
      </c>
      <c r="H55" s="30">
        <v>97</v>
      </c>
      <c r="I55" s="48">
        <v>0.1472</v>
      </c>
      <c r="J55" s="48">
        <v>0.1472</v>
      </c>
      <c r="K55" s="42">
        <v>281939889.38999999</v>
      </c>
      <c r="L55" s="28">
        <f t="shared" si="38"/>
        <v>9.2595752645570505E-5</v>
      </c>
      <c r="M55" s="29">
        <v>1</v>
      </c>
      <c r="N55" s="29">
        <v>1</v>
      </c>
      <c r="O55" s="30">
        <v>98</v>
      </c>
      <c r="P55" s="48">
        <v>0.19819999999999999</v>
      </c>
      <c r="Q55" s="48">
        <v>0.19819999999999999</v>
      </c>
      <c r="R55" s="54">
        <f t="shared" si="21"/>
        <v>9.8500243378016605E-3</v>
      </c>
      <c r="S55" s="54">
        <f t="shared" si="22"/>
        <v>0</v>
      </c>
      <c r="T55" s="54">
        <f t="shared" si="23"/>
        <v>1.0309278350515464E-2</v>
      </c>
      <c r="U55" s="55">
        <f t="shared" si="24"/>
        <v>5.099999999999999E-2</v>
      </c>
      <c r="V55" s="56">
        <f t="shared" si="25"/>
        <v>5.099999999999999E-2</v>
      </c>
    </row>
    <row r="56" spans="1:22">
      <c r="A56" s="168">
        <v>48</v>
      </c>
      <c r="B56" s="166" t="s">
        <v>90</v>
      </c>
      <c r="C56" s="167" t="s">
        <v>45</v>
      </c>
      <c r="D56" s="45">
        <v>1347299792.3199999</v>
      </c>
      <c r="E56" s="28">
        <f t="shared" si="37"/>
        <v>4.4248523534221149E-4</v>
      </c>
      <c r="F56" s="29">
        <v>10</v>
      </c>
      <c r="G56" s="29">
        <v>10</v>
      </c>
      <c r="H56" s="30">
        <v>810</v>
      </c>
      <c r="I56" s="48">
        <v>0.18240000000000001</v>
      </c>
      <c r="J56" s="48">
        <v>0.18240000000000001</v>
      </c>
      <c r="K56" s="45">
        <v>1347012077.73</v>
      </c>
      <c r="L56" s="28">
        <f t="shared" si="38"/>
        <v>4.4239074304080003E-4</v>
      </c>
      <c r="M56" s="29">
        <v>10</v>
      </c>
      <c r="N56" s="29">
        <v>10</v>
      </c>
      <c r="O56" s="30">
        <v>811</v>
      </c>
      <c r="P56" s="48">
        <v>8.0000000000000004E-4</v>
      </c>
      <c r="Q56" s="48">
        <v>0.18179999999999999</v>
      </c>
      <c r="R56" s="54">
        <f t="shared" si="21"/>
        <v>-2.1354904946914628E-4</v>
      </c>
      <c r="S56" s="54">
        <f t="shared" si="22"/>
        <v>0</v>
      </c>
      <c r="T56" s="54">
        <f t="shared" si="23"/>
        <v>1.2345679012345679E-3</v>
      </c>
      <c r="U56" s="55">
        <f t="shared" si="24"/>
        <v>-0.18160000000000001</v>
      </c>
      <c r="V56" s="56">
        <f t="shared" si="25"/>
        <v>-6.0000000000001719E-4</v>
      </c>
    </row>
    <row r="57" spans="1:22">
      <c r="A57" s="168">
        <v>49</v>
      </c>
      <c r="B57" s="166" t="s">
        <v>91</v>
      </c>
      <c r="C57" s="167" t="s">
        <v>92</v>
      </c>
      <c r="D57" s="45">
        <v>794255885</v>
      </c>
      <c r="E57" s="28">
        <f t="shared" si="37"/>
        <v>2.6085248747124328E-4</v>
      </c>
      <c r="F57" s="29">
        <v>1</v>
      </c>
      <c r="G57" s="29">
        <v>1</v>
      </c>
      <c r="H57" s="30">
        <v>80</v>
      </c>
      <c r="I57" s="48">
        <v>0.2011</v>
      </c>
      <c r="J57" s="48">
        <v>0.2011</v>
      </c>
      <c r="K57" s="45">
        <v>802955885</v>
      </c>
      <c r="L57" s="28">
        <f t="shared" si="38"/>
        <v>2.637097740005081E-4</v>
      </c>
      <c r="M57" s="29">
        <v>1</v>
      </c>
      <c r="N57" s="29">
        <v>1</v>
      </c>
      <c r="O57" s="30">
        <v>82</v>
      </c>
      <c r="P57" s="48">
        <v>0.20949999999999999</v>
      </c>
      <c r="Q57" s="48">
        <v>0.20949999999999999</v>
      </c>
      <c r="R57" s="54">
        <f t="shared" si="21"/>
        <v>1.095364877277554E-2</v>
      </c>
      <c r="S57" s="54">
        <f t="shared" si="22"/>
        <v>0</v>
      </c>
      <c r="T57" s="54">
        <f t="shared" si="23"/>
        <v>2.5000000000000001E-2</v>
      </c>
      <c r="U57" s="55">
        <f t="shared" si="24"/>
        <v>8.3999999999999908E-3</v>
      </c>
      <c r="V57" s="56">
        <f t="shared" si="25"/>
        <v>8.3999999999999908E-3</v>
      </c>
    </row>
    <row r="58" spans="1:22">
      <c r="A58" s="168">
        <v>50</v>
      </c>
      <c r="B58" s="166" t="s">
        <v>304</v>
      </c>
      <c r="C58" s="167" t="s">
        <v>303</v>
      </c>
      <c r="D58" s="45">
        <v>494075402.47000003</v>
      </c>
      <c r="E58" s="28">
        <f t="shared" si="37"/>
        <v>1.6226609102512997E-4</v>
      </c>
      <c r="F58" s="29">
        <v>1</v>
      </c>
      <c r="G58" s="29">
        <v>1</v>
      </c>
      <c r="H58" s="30">
        <v>387</v>
      </c>
      <c r="I58" s="48">
        <v>0.17330000000000001</v>
      </c>
      <c r="J58" s="48">
        <v>0.13139999999999999</v>
      </c>
      <c r="K58" s="45">
        <v>526407248.64999998</v>
      </c>
      <c r="L58" s="28">
        <f t="shared" si="38"/>
        <v>1.7288463683620773E-4</v>
      </c>
      <c r="M58" s="29">
        <v>1</v>
      </c>
      <c r="N58" s="29">
        <v>1</v>
      </c>
      <c r="O58" s="30">
        <v>424</v>
      </c>
      <c r="P58" s="48">
        <v>0.18190000000000001</v>
      </c>
      <c r="Q58" s="48">
        <v>0.18190000000000001</v>
      </c>
      <c r="R58" s="54">
        <f t="shared" si="21"/>
        <v>6.5439092936756996E-2</v>
      </c>
      <c r="S58" s="54">
        <f t="shared" si="22"/>
        <v>0</v>
      </c>
      <c r="T58" s="54">
        <f t="shared" si="23"/>
        <v>9.5607235142118857E-2</v>
      </c>
      <c r="U58" s="55">
        <f t="shared" si="24"/>
        <v>8.5999999999999965E-3</v>
      </c>
      <c r="V58" s="56">
        <f t="shared" si="25"/>
        <v>5.0500000000000017E-2</v>
      </c>
    </row>
    <row r="59" spans="1:22">
      <c r="A59" s="168">
        <v>51</v>
      </c>
      <c r="B59" s="166" t="s">
        <v>93</v>
      </c>
      <c r="C59" s="167" t="s">
        <v>94</v>
      </c>
      <c r="D59" s="45">
        <v>11389126572.4224</v>
      </c>
      <c r="E59" s="28">
        <f t="shared" si="37"/>
        <v>3.7404595328131788E-3</v>
      </c>
      <c r="F59" s="29">
        <v>100</v>
      </c>
      <c r="G59" s="29">
        <v>100</v>
      </c>
      <c r="H59" s="30">
        <v>126</v>
      </c>
      <c r="I59" s="48">
        <v>0.2089</v>
      </c>
      <c r="J59" s="48">
        <v>0.2089</v>
      </c>
      <c r="K59" s="45">
        <v>11494586805.202301</v>
      </c>
      <c r="L59" s="28">
        <f t="shared" si="38"/>
        <v>3.7750951767781381E-3</v>
      </c>
      <c r="M59" s="29">
        <v>100</v>
      </c>
      <c r="N59" s="29">
        <v>100</v>
      </c>
      <c r="O59" s="30">
        <v>127</v>
      </c>
      <c r="P59" s="48">
        <v>0.2011</v>
      </c>
      <c r="Q59" s="48">
        <v>0.2011</v>
      </c>
      <c r="R59" s="54">
        <f t="shared" si="21"/>
        <v>9.2597296297735974E-3</v>
      </c>
      <c r="S59" s="54">
        <f t="shared" si="22"/>
        <v>0</v>
      </c>
      <c r="T59" s="54">
        <f t="shared" si="23"/>
        <v>7.9365079365079361E-3</v>
      </c>
      <c r="U59" s="55">
        <f t="shared" si="24"/>
        <v>-7.8000000000000014E-3</v>
      </c>
      <c r="V59" s="56">
        <f t="shared" si="25"/>
        <v>-7.8000000000000014E-3</v>
      </c>
    </row>
    <row r="60" spans="1:22">
      <c r="A60" s="168">
        <v>52</v>
      </c>
      <c r="B60" s="166" t="s">
        <v>95</v>
      </c>
      <c r="C60" s="167" t="s">
        <v>96</v>
      </c>
      <c r="D60" s="45">
        <v>51743000</v>
      </c>
      <c r="E60" s="28">
        <f t="shared" si="37"/>
        <v>1.6993629526867831E-5</v>
      </c>
      <c r="F60" s="29">
        <v>1000</v>
      </c>
      <c r="G60" s="29">
        <v>1000</v>
      </c>
      <c r="H60" s="30">
        <v>23</v>
      </c>
      <c r="I60" s="48">
        <v>0.188</v>
      </c>
      <c r="J60" s="48">
        <v>0.188</v>
      </c>
      <c r="K60" s="45">
        <v>51743000</v>
      </c>
      <c r="L60" s="28">
        <f t="shared" si="38"/>
        <v>1.6993629526867831E-5</v>
      </c>
      <c r="M60" s="29">
        <v>1000</v>
      </c>
      <c r="N60" s="29">
        <v>1000</v>
      </c>
      <c r="O60" s="30">
        <v>23</v>
      </c>
      <c r="P60" s="48">
        <v>0.188</v>
      </c>
      <c r="Q60" s="48">
        <v>0.188</v>
      </c>
      <c r="R60" s="54">
        <f t="shared" si="21"/>
        <v>0</v>
      </c>
      <c r="S60" s="54">
        <f t="shared" si="22"/>
        <v>0</v>
      </c>
      <c r="T60" s="54">
        <f t="shared" si="23"/>
        <v>0</v>
      </c>
      <c r="U60" s="55">
        <f t="shared" si="24"/>
        <v>0</v>
      </c>
      <c r="V60" s="56">
        <f t="shared" si="25"/>
        <v>0</v>
      </c>
    </row>
    <row r="61" spans="1:22">
      <c r="A61" s="168">
        <v>53</v>
      </c>
      <c r="B61" s="166" t="s">
        <v>97</v>
      </c>
      <c r="C61" s="167" t="s">
        <v>49</v>
      </c>
      <c r="D61" s="42">
        <v>1454674705564.3799</v>
      </c>
      <c r="E61" s="28">
        <f t="shared" si="37"/>
        <v>0.47774970582429732</v>
      </c>
      <c r="F61" s="29">
        <v>100</v>
      </c>
      <c r="G61" s="29">
        <v>100</v>
      </c>
      <c r="H61" s="30">
        <v>184681</v>
      </c>
      <c r="I61" s="48">
        <v>0.2059</v>
      </c>
      <c r="J61" s="48">
        <v>0.2059</v>
      </c>
      <c r="K61" s="42">
        <v>1482313225645.4299</v>
      </c>
      <c r="L61" s="28">
        <f t="shared" si="38"/>
        <v>0.4868268519296306</v>
      </c>
      <c r="M61" s="29">
        <v>100</v>
      </c>
      <c r="N61" s="29">
        <v>100</v>
      </c>
      <c r="O61" s="30">
        <v>186951</v>
      </c>
      <c r="P61" s="48">
        <v>0.20549999999999999</v>
      </c>
      <c r="Q61" s="48">
        <v>0.20549999999999999</v>
      </c>
      <c r="R61" s="54">
        <f t="shared" si="21"/>
        <v>1.8999794232571705E-2</v>
      </c>
      <c r="S61" s="54">
        <f t="shared" si="22"/>
        <v>0</v>
      </c>
      <c r="T61" s="54">
        <f t="shared" si="23"/>
        <v>1.2291464741906314E-2</v>
      </c>
      <c r="U61" s="55">
        <f t="shared" si="24"/>
        <v>-4.0000000000001146E-4</v>
      </c>
      <c r="V61" s="56">
        <f t="shared" si="25"/>
        <v>-4.0000000000001146E-4</v>
      </c>
    </row>
    <row r="62" spans="1:22">
      <c r="A62" s="168">
        <v>54</v>
      </c>
      <c r="B62" s="166" t="s">
        <v>98</v>
      </c>
      <c r="C62" s="166" t="s">
        <v>99</v>
      </c>
      <c r="D62" s="42">
        <v>3579792069.2399998</v>
      </c>
      <c r="E62" s="28">
        <f t="shared" si="37"/>
        <v>1.1756886962078765E-3</v>
      </c>
      <c r="F62" s="29">
        <v>100</v>
      </c>
      <c r="G62" s="29">
        <v>100</v>
      </c>
      <c r="H62" s="30">
        <v>612</v>
      </c>
      <c r="I62" s="48">
        <v>0.21199999999999999</v>
      </c>
      <c r="J62" s="48">
        <v>0.21199999999999999</v>
      </c>
      <c r="K62" s="42">
        <v>3622947467.27</v>
      </c>
      <c r="L62" s="28">
        <f t="shared" si="38"/>
        <v>1.189861953386748E-3</v>
      </c>
      <c r="M62" s="29">
        <v>100</v>
      </c>
      <c r="N62" s="29">
        <v>100</v>
      </c>
      <c r="O62" s="30">
        <v>624</v>
      </c>
      <c r="P62" s="48">
        <v>0.21179999999999999</v>
      </c>
      <c r="Q62" s="48">
        <v>0.21179999999999999</v>
      </c>
      <c r="R62" s="54">
        <f t="shared" si="21"/>
        <v>1.2055280640688783E-2</v>
      </c>
      <c r="S62" s="54">
        <f t="shared" si="22"/>
        <v>0</v>
      </c>
      <c r="T62" s="54">
        <f t="shared" si="23"/>
        <v>1.9607843137254902E-2</v>
      </c>
      <c r="U62" s="55">
        <f t="shared" si="24"/>
        <v>-2.0000000000000573E-4</v>
      </c>
      <c r="V62" s="56">
        <f t="shared" si="25"/>
        <v>-2.0000000000000573E-4</v>
      </c>
    </row>
    <row r="63" spans="1:22">
      <c r="A63" s="168">
        <v>55</v>
      </c>
      <c r="B63" s="166" t="s">
        <v>100</v>
      </c>
      <c r="C63" s="167" t="s">
        <v>101</v>
      </c>
      <c r="D63" s="42">
        <v>4748067090.9700003</v>
      </c>
      <c r="E63" s="28">
        <f t="shared" si="37"/>
        <v>1.5593779470200269E-3</v>
      </c>
      <c r="F63" s="29">
        <v>1</v>
      </c>
      <c r="G63" s="29">
        <v>1</v>
      </c>
      <c r="H63" s="30">
        <v>483</v>
      </c>
      <c r="I63" s="48">
        <v>0.217278</v>
      </c>
      <c r="J63" s="48">
        <v>0.217278</v>
      </c>
      <c r="K63" s="42">
        <v>4903829742.71</v>
      </c>
      <c r="L63" s="28">
        <f t="shared" si="38"/>
        <v>1.6105340995004028E-3</v>
      </c>
      <c r="M63" s="29">
        <v>1</v>
      </c>
      <c r="N63" s="29">
        <v>1</v>
      </c>
      <c r="O63" s="30">
        <v>486</v>
      </c>
      <c r="P63" s="48">
        <v>0.2185</v>
      </c>
      <c r="Q63" s="48">
        <v>0.2185</v>
      </c>
      <c r="R63" s="54">
        <f t="shared" si="21"/>
        <v>3.2805486686621026E-2</v>
      </c>
      <c r="S63" s="54">
        <f t="shared" si="22"/>
        <v>0</v>
      </c>
      <c r="T63" s="54">
        <f t="shared" si="23"/>
        <v>6.2111801242236021E-3</v>
      </c>
      <c r="U63" s="55">
        <f t="shared" si="24"/>
        <v>1.2220000000000009E-3</v>
      </c>
      <c r="V63" s="56">
        <f t="shared" si="25"/>
        <v>1.2220000000000009E-3</v>
      </c>
    </row>
    <row r="64" spans="1:22">
      <c r="A64" s="168">
        <v>56</v>
      </c>
      <c r="B64" s="166" t="s">
        <v>102</v>
      </c>
      <c r="C64" s="167" t="s">
        <v>52</v>
      </c>
      <c r="D64" s="42">
        <v>137056232294.25</v>
      </c>
      <c r="E64" s="28">
        <f t="shared" si="37"/>
        <v>4.5012520262776093E-2</v>
      </c>
      <c r="F64" s="29">
        <v>1</v>
      </c>
      <c r="G64" s="29">
        <v>1</v>
      </c>
      <c r="H64" s="30">
        <v>56277</v>
      </c>
      <c r="I64" s="48">
        <v>0.1983</v>
      </c>
      <c r="J64" s="48">
        <v>0.1983</v>
      </c>
      <c r="K64" s="42">
        <v>137056232294.25</v>
      </c>
      <c r="L64" s="28">
        <f t="shared" si="38"/>
        <v>4.5012520262776093E-2</v>
      </c>
      <c r="M64" s="29">
        <v>1</v>
      </c>
      <c r="N64" s="29">
        <v>1</v>
      </c>
      <c r="O64" s="30">
        <v>56718</v>
      </c>
      <c r="P64" s="48">
        <v>0.1933</v>
      </c>
      <c r="Q64" s="48">
        <v>0.1933</v>
      </c>
      <c r="R64" s="54">
        <f t="shared" si="21"/>
        <v>0</v>
      </c>
      <c r="S64" s="54">
        <f t="shared" si="22"/>
        <v>0</v>
      </c>
      <c r="T64" s="54">
        <f t="shared" si="23"/>
        <v>7.8362386054693749E-3</v>
      </c>
      <c r="U64" s="55">
        <f t="shared" si="24"/>
        <v>-5.0000000000000044E-3</v>
      </c>
      <c r="V64" s="56">
        <f t="shared" si="25"/>
        <v>-5.0000000000000044E-3</v>
      </c>
    </row>
    <row r="65" spans="1:22">
      <c r="A65" s="168">
        <v>57</v>
      </c>
      <c r="B65" s="166" t="s">
        <v>311</v>
      </c>
      <c r="C65" s="167" t="s">
        <v>103</v>
      </c>
      <c r="D65" s="42">
        <v>1488338733.5600002</v>
      </c>
      <c r="E65" s="28">
        <f t="shared" si="37"/>
        <v>4.8880577176828354E-4</v>
      </c>
      <c r="F65" s="29">
        <v>1</v>
      </c>
      <c r="G65" s="29">
        <v>1</v>
      </c>
      <c r="H65" s="30">
        <v>155</v>
      </c>
      <c r="I65" s="48">
        <v>0.20399999999999999</v>
      </c>
      <c r="J65" s="48">
        <v>0.20399999999999999</v>
      </c>
      <c r="K65" s="42">
        <v>1508759422.8699999</v>
      </c>
      <c r="L65" s="28">
        <f t="shared" si="38"/>
        <v>4.9551241090434845E-4</v>
      </c>
      <c r="M65" s="29">
        <v>1</v>
      </c>
      <c r="N65" s="29">
        <v>1</v>
      </c>
      <c r="O65" s="30">
        <v>153</v>
      </c>
      <c r="P65" s="48">
        <v>0.20399999999999999</v>
      </c>
      <c r="Q65" s="48">
        <v>0.20399999999999999</v>
      </c>
      <c r="R65" s="54">
        <f t="shared" si="21"/>
        <v>1.3720458152127017E-2</v>
      </c>
      <c r="S65" s="54">
        <f t="shared" si="22"/>
        <v>0</v>
      </c>
      <c r="T65" s="54">
        <f t="shared" si="23"/>
        <v>-1.2903225806451613E-2</v>
      </c>
      <c r="U65" s="55">
        <f t="shared" si="24"/>
        <v>0</v>
      </c>
      <c r="V65" s="56">
        <f t="shared" si="25"/>
        <v>0</v>
      </c>
    </row>
    <row r="66" spans="1:22">
      <c r="A66" s="168">
        <v>58</v>
      </c>
      <c r="B66" s="166" t="s">
        <v>104</v>
      </c>
      <c r="C66" s="167" t="s">
        <v>105</v>
      </c>
      <c r="D66" s="42">
        <v>4716080715.29</v>
      </c>
      <c r="E66" s="28">
        <f t="shared" si="37"/>
        <v>1.5488728619222718E-3</v>
      </c>
      <c r="F66" s="29">
        <v>1</v>
      </c>
      <c r="G66" s="29">
        <v>1</v>
      </c>
      <c r="H66" s="30">
        <v>426</v>
      </c>
      <c r="I66" s="48">
        <v>0.21410000000000001</v>
      </c>
      <c r="J66" s="48">
        <v>0.21410000000000001</v>
      </c>
      <c r="K66" s="42">
        <v>4813541369.5900002</v>
      </c>
      <c r="L66" s="28">
        <f t="shared" si="38"/>
        <v>1.5808812544124704E-3</v>
      </c>
      <c r="M66" s="29">
        <v>1</v>
      </c>
      <c r="N66" s="29">
        <v>1</v>
      </c>
      <c r="O66" s="30">
        <v>416</v>
      </c>
      <c r="P66" s="48">
        <v>0.21160000000000001</v>
      </c>
      <c r="Q66" s="48">
        <v>0.21160000000000001</v>
      </c>
      <c r="R66" s="54">
        <f t="shared" si="21"/>
        <v>2.066560353473661E-2</v>
      </c>
      <c r="S66" s="54">
        <f t="shared" si="22"/>
        <v>0</v>
      </c>
      <c r="T66" s="54">
        <f t="shared" si="23"/>
        <v>-2.3474178403755867E-2</v>
      </c>
      <c r="U66" s="55">
        <f t="shared" si="24"/>
        <v>-2.5000000000000022E-3</v>
      </c>
      <c r="V66" s="56">
        <f t="shared" si="25"/>
        <v>-2.5000000000000022E-3</v>
      </c>
    </row>
    <row r="67" spans="1:22">
      <c r="A67" s="168">
        <v>59</v>
      </c>
      <c r="B67" s="166" t="s">
        <v>106</v>
      </c>
      <c r="C67" s="167" t="s">
        <v>107</v>
      </c>
      <c r="D67" s="42">
        <v>6495176940.4099998</v>
      </c>
      <c r="E67" s="28">
        <f t="shared" si="37"/>
        <v>2.1331702962097761E-3</v>
      </c>
      <c r="F67" s="29">
        <v>1</v>
      </c>
      <c r="G67" s="29">
        <v>1</v>
      </c>
      <c r="H67" s="30">
        <v>3599</v>
      </c>
      <c r="I67" s="48">
        <v>0.23089999999999999</v>
      </c>
      <c r="J67" s="48">
        <v>0.23089999999999999</v>
      </c>
      <c r="K67" s="42">
        <v>5674007768.5200005</v>
      </c>
      <c r="L67" s="28">
        <f t="shared" si="38"/>
        <v>1.8634788464294482E-3</v>
      </c>
      <c r="M67" s="29">
        <v>1</v>
      </c>
      <c r="N67" s="29">
        <v>1</v>
      </c>
      <c r="O67" s="30">
        <v>3663</v>
      </c>
      <c r="P67" s="48">
        <v>0.21110000000000001</v>
      </c>
      <c r="Q67" s="48">
        <v>0.21110000000000001</v>
      </c>
      <c r="R67" s="54">
        <f t="shared" si="21"/>
        <v>-0.12642752913797667</v>
      </c>
      <c r="S67" s="54">
        <f t="shared" si="22"/>
        <v>0</v>
      </c>
      <c r="T67" s="54">
        <f t="shared" si="23"/>
        <v>1.7782717421505972E-2</v>
      </c>
      <c r="U67" s="55">
        <f t="shared" si="24"/>
        <v>-1.9799999999999984E-2</v>
      </c>
      <c r="V67" s="56">
        <f t="shared" si="25"/>
        <v>-1.9799999999999984E-2</v>
      </c>
    </row>
    <row r="68" spans="1:22">
      <c r="A68" s="168">
        <v>60</v>
      </c>
      <c r="B68" s="166" t="s">
        <v>108</v>
      </c>
      <c r="C68" s="167" t="s">
        <v>109</v>
      </c>
      <c r="D68" s="42">
        <v>89735841220.899994</v>
      </c>
      <c r="E68" s="28">
        <f t="shared" si="37"/>
        <v>2.947138049571555E-2</v>
      </c>
      <c r="F68" s="29">
        <v>1</v>
      </c>
      <c r="G68" s="29">
        <v>1</v>
      </c>
      <c r="H68" s="30">
        <v>5432</v>
      </c>
      <c r="I68" s="48">
        <v>0.20150000000000001</v>
      </c>
      <c r="J68" s="48">
        <v>0.20150000000000001</v>
      </c>
      <c r="K68" s="42">
        <v>97585424416.089996</v>
      </c>
      <c r="L68" s="28">
        <f t="shared" si="38"/>
        <v>3.2049369958239683E-2</v>
      </c>
      <c r="M68" s="29">
        <v>1</v>
      </c>
      <c r="N68" s="29">
        <v>1</v>
      </c>
      <c r="O68" s="30">
        <v>5463</v>
      </c>
      <c r="P68" s="48">
        <v>0.20330000000000001</v>
      </c>
      <c r="Q68" s="48">
        <v>0.20330000000000001</v>
      </c>
      <c r="R68" s="54">
        <f t="shared" si="21"/>
        <v>8.7474336768815955E-2</v>
      </c>
      <c r="S68" s="54">
        <f t="shared" si="22"/>
        <v>0</v>
      </c>
      <c r="T68" s="54">
        <f t="shared" si="23"/>
        <v>5.7069219440353458E-3</v>
      </c>
      <c r="U68" s="55">
        <f t="shared" si="24"/>
        <v>1.799999999999996E-3</v>
      </c>
      <c r="V68" s="56">
        <f t="shared" si="25"/>
        <v>1.799999999999996E-3</v>
      </c>
    </row>
    <row r="69" spans="1:22">
      <c r="A69" s="34"/>
      <c r="B69" s="35"/>
      <c r="C69" s="36" t="s">
        <v>53</v>
      </c>
      <c r="D69" s="46">
        <f>SUM(D28:D68)</f>
        <v>2990664241362.4419</v>
      </c>
      <c r="E69" s="38">
        <f>(D69/$D$221)</f>
        <v>0.52829246577685551</v>
      </c>
      <c r="F69" s="39"/>
      <c r="G69" s="43"/>
      <c r="H69" s="41">
        <f>SUM(H28:H68)</f>
        <v>432276</v>
      </c>
      <c r="I69" s="53"/>
      <c r="J69" s="53"/>
      <c r="K69" s="46">
        <f>SUM(K28:K68)</f>
        <v>3044846889135.2236</v>
      </c>
      <c r="L69" s="38">
        <f>(K69/$K$221)</f>
        <v>0.53354015653425946</v>
      </c>
      <c r="M69" s="39"/>
      <c r="N69" s="43"/>
      <c r="O69" s="41">
        <f>SUM(O28:O68)</f>
        <v>436731</v>
      </c>
      <c r="P69" s="53"/>
      <c r="Q69" s="53"/>
      <c r="R69" s="54">
        <f t="shared" si="21"/>
        <v>1.8117262052826773E-2</v>
      </c>
      <c r="S69" s="54" t="e">
        <f t="shared" si="22"/>
        <v>#DIV/0!</v>
      </c>
      <c r="T69" s="54">
        <f t="shared" si="23"/>
        <v>1.030591566499181E-2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</row>
    <row r="71" spans="1:22" ht="15" customHeight="1">
      <c r="A71" s="177" t="s">
        <v>110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</row>
    <row r="72" spans="1:22">
      <c r="A72" s="168">
        <v>61</v>
      </c>
      <c r="B72" s="166" t="s">
        <v>111</v>
      </c>
      <c r="C72" s="167" t="s">
        <v>21</v>
      </c>
      <c r="D72" s="27">
        <v>531071878.06999999</v>
      </c>
      <c r="E72" s="28">
        <f>(D72/$D$109)</f>
        <v>2.5390731128407252E-3</v>
      </c>
      <c r="F72" s="58">
        <v>1.4574</v>
      </c>
      <c r="G72" s="58">
        <v>1.4574</v>
      </c>
      <c r="H72" s="30">
        <v>476</v>
      </c>
      <c r="I72" s="48">
        <v>5.4900000000000001E-4</v>
      </c>
      <c r="J72" s="48">
        <v>0.1179</v>
      </c>
      <c r="K72" s="27">
        <v>531949599.48000002</v>
      </c>
      <c r="L72" s="28">
        <f t="shared" ref="L72:L94" si="39">(K72/$K$109)</f>
        <v>2.5260344465374441E-3</v>
      </c>
      <c r="M72" s="58">
        <v>1.4593</v>
      </c>
      <c r="N72" s="58">
        <v>1.4593</v>
      </c>
      <c r="O72" s="30">
        <v>477</v>
      </c>
      <c r="P72" s="48">
        <v>-4.1100000000000002E-4</v>
      </c>
      <c r="Q72" s="48">
        <v>0.11940000000000001</v>
      </c>
      <c r="R72" s="54">
        <f>((K72-D72)/D72)</f>
        <v>1.6527356206278629E-3</v>
      </c>
      <c r="S72" s="54">
        <f>((N72-G72)/G72)</f>
        <v>1.3036915054206208E-3</v>
      </c>
      <c r="T72" s="54">
        <f>((O72-H72)/H72)</f>
        <v>2.1008403361344537E-3</v>
      </c>
      <c r="U72" s="55">
        <f>P72-I72</f>
        <v>-9.6000000000000002E-4</v>
      </c>
      <c r="V72" s="56">
        <f>Q72-J72</f>
        <v>1.5000000000000013E-3</v>
      </c>
    </row>
    <row r="73" spans="1:22">
      <c r="A73" s="168">
        <v>62</v>
      </c>
      <c r="B73" s="166" t="s">
        <v>112</v>
      </c>
      <c r="C73" s="167" t="s">
        <v>23</v>
      </c>
      <c r="D73" s="27">
        <v>1289464630.6600001</v>
      </c>
      <c r="E73" s="28">
        <f>(D73/$D$109)</f>
        <v>6.1649752300315819E-3</v>
      </c>
      <c r="F73" s="58">
        <v>1.2531000000000001</v>
      </c>
      <c r="G73" s="58">
        <v>1.2531000000000001</v>
      </c>
      <c r="H73" s="30">
        <v>994</v>
      </c>
      <c r="I73" s="48">
        <v>0.2039</v>
      </c>
      <c r="J73" s="48">
        <v>0.15820000000000001</v>
      </c>
      <c r="K73" s="27">
        <v>1293872613.47</v>
      </c>
      <c r="L73" s="28">
        <f t="shared" si="39"/>
        <v>6.1441286810848149E-3</v>
      </c>
      <c r="M73" s="58">
        <v>1.2608999999999999</v>
      </c>
      <c r="N73" s="58">
        <v>1.2608999999999999</v>
      </c>
      <c r="O73" s="30">
        <v>1005</v>
      </c>
      <c r="P73" s="48">
        <v>0.1202</v>
      </c>
      <c r="Q73" s="48">
        <v>0.15690000000000001</v>
      </c>
      <c r="R73" s="54">
        <f t="shared" ref="R73:R109" si="40">((K73-D73)/D73)</f>
        <v>3.4184596499895921E-3</v>
      </c>
      <c r="S73" s="54">
        <f t="shared" ref="S73:S109" si="41">((N73-G73)/G73)</f>
        <v>6.2245630835526342E-3</v>
      </c>
      <c r="T73" s="54">
        <f t="shared" ref="T73:T109" si="42">((O73-H73)/H73)</f>
        <v>1.1066398390342052E-2</v>
      </c>
      <c r="U73" s="55">
        <f t="shared" ref="U73:U109" si="43">P73-I73</f>
        <v>-8.3699999999999997E-2</v>
      </c>
      <c r="V73" s="56">
        <f t="shared" ref="V73:V109" si="44">Q73-J73</f>
        <v>-1.2999999999999956E-3</v>
      </c>
    </row>
    <row r="74" spans="1:22">
      <c r="A74" s="168">
        <v>63</v>
      </c>
      <c r="B74" s="166" t="s">
        <v>113</v>
      </c>
      <c r="C74" s="167" t="s">
        <v>23</v>
      </c>
      <c r="D74" s="27">
        <v>789847506.59000003</v>
      </c>
      <c r="E74" s="28">
        <f>(D74/$D$109)</f>
        <v>3.7762883896530035E-3</v>
      </c>
      <c r="F74" s="58">
        <v>1.1243000000000001</v>
      </c>
      <c r="G74" s="58">
        <v>1.1243000000000001</v>
      </c>
      <c r="H74" s="30">
        <v>328</v>
      </c>
      <c r="I74" s="48">
        <v>0.1206</v>
      </c>
      <c r="J74" s="48">
        <v>0.12180000000000001</v>
      </c>
      <c r="K74" s="27">
        <v>792006436.61000001</v>
      </c>
      <c r="L74" s="28">
        <f t="shared" si="39"/>
        <v>3.7609494258702861E-3</v>
      </c>
      <c r="M74" s="58">
        <v>1.1294999999999999</v>
      </c>
      <c r="N74" s="58">
        <v>1.1294999999999999</v>
      </c>
      <c r="O74" s="30">
        <v>336</v>
      </c>
      <c r="P74" s="48">
        <v>0.1203</v>
      </c>
      <c r="Q74" s="48">
        <v>0.122</v>
      </c>
      <c r="R74" s="54">
        <f t="shared" si="40"/>
        <v>2.7333504277562461E-3</v>
      </c>
      <c r="S74" s="54">
        <f t="shared" si="41"/>
        <v>4.6251000622608476E-3</v>
      </c>
      <c r="T74" s="54">
        <f t="shared" si="42"/>
        <v>2.4390243902439025E-2</v>
      </c>
      <c r="U74" s="55">
        <f t="shared" si="43"/>
        <v>-2.9999999999999472E-4</v>
      </c>
      <c r="V74" s="56">
        <f t="shared" si="44"/>
        <v>1.9999999999999185E-4</v>
      </c>
    </row>
    <row r="75" spans="1:22">
      <c r="A75" s="168">
        <v>64</v>
      </c>
      <c r="B75" s="166" t="s">
        <v>114</v>
      </c>
      <c r="C75" s="167" t="s">
        <v>115</v>
      </c>
      <c r="D75" s="27">
        <v>283589193.20999998</v>
      </c>
      <c r="E75" s="28">
        <f>(D75/$D$109)</f>
        <v>1.3558497922889357E-3</v>
      </c>
      <c r="F75" s="33">
        <v>1114.21</v>
      </c>
      <c r="G75" s="33">
        <v>1114.21</v>
      </c>
      <c r="H75" s="30">
        <v>110</v>
      </c>
      <c r="I75" s="48">
        <v>3.0000000000000001E-3</v>
      </c>
      <c r="J75" s="48">
        <v>0.1056</v>
      </c>
      <c r="K75" s="27">
        <v>284875782.56</v>
      </c>
      <c r="L75" s="28">
        <f t="shared" si="39"/>
        <v>1.3527710904083993E-3</v>
      </c>
      <c r="M75" s="33">
        <v>1119.31</v>
      </c>
      <c r="N75" s="33">
        <v>1119.31</v>
      </c>
      <c r="O75" s="30">
        <v>109</v>
      </c>
      <c r="P75" s="48">
        <v>3.3E-3</v>
      </c>
      <c r="Q75" s="48">
        <v>0.1116</v>
      </c>
      <c r="R75" s="54">
        <f t="shared" si="40"/>
        <v>4.5368066936432748E-3</v>
      </c>
      <c r="S75" s="54">
        <f t="shared" si="41"/>
        <v>4.5772340941114412E-3</v>
      </c>
      <c r="T75" s="54">
        <f t="shared" si="42"/>
        <v>-9.0909090909090905E-3</v>
      </c>
      <c r="U75" s="55">
        <f t="shared" si="43"/>
        <v>2.9999999999999992E-4</v>
      </c>
      <c r="V75" s="56">
        <f t="shared" si="44"/>
        <v>6.0000000000000053E-3</v>
      </c>
    </row>
    <row r="76" spans="1:22" ht="15" customHeight="1">
      <c r="A76" s="168">
        <v>65</v>
      </c>
      <c r="B76" s="166" t="s">
        <v>116</v>
      </c>
      <c r="C76" s="167" t="s">
        <v>27</v>
      </c>
      <c r="D76" s="27">
        <v>1528294765.27</v>
      </c>
      <c r="E76" s="28">
        <f>(D76/$K$109)</f>
        <v>7.2573138983630789E-3</v>
      </c>
      <c r="F76" s="33">
        <v>1.1108</v>
      </c>
      <c r="G76" s="33">
        <v>1.1108</v>
      </c>
      <c r="H76" s="30">
        <v>910</v>
      </c>
      <c r="I76" s="48">
        <v>3.5000000000000001E-3</v>
      </c>
      <c r="J76" s="48">
        <v>6.0999999999999999E-2</v>
      </c>
      <c r="K76" s="27">
        <v>1539349316.0999999</v>
      </c>
      <c r="L76" s="28">
        <f t="shared" si="39"/>
        <v>7.3098079245168274E-3</v>
      </c>
      <c r="M76" s="33">
        <v>1.1146</v>
      </c>
      <c r="N76" s="33">
        <v>1.1146</v>
      </c>
      <c r="O76" s="30">
        <v>922</v>
      </c>
      <c r="P76" s="48">
        <v>3.3999999999999998E-3</v>
      </c>
      <c r="Q76" s="48">
        <v>6.4399999999999999E-2</v>
      </c>
      <c r="R76" s="54">
        <f t="shared" si="40"/>
        <v>7.2332583224198532E-3</v>
      </c>
      <c r="S76" s="54">
        <f t="shared" si="41"/>
        <v>3.4209578682031197E-3</v>
      </c>
      <c r="T76" s="54">
        <f t="shared" si="42"/>
        <v>1.3186813186813187E-2</v>
      </c>
      <c r="U76" s="55">
        <f t="shared" si="43"/>
        <v>-1.0000000000000026E-4</v>
      </c>
      <c r="V76" s="56">
        <f t="shared" si="44"/>
        <v>3.4000000000000002E-3</v>
      </c>
    </row>
    <row r="77" spans="1:22">
      <c r="A77" s="168">
        <v>66</v>
      </c>
      <c r="B77" s="166" t="s">
        <v>117</v>
      </c>
      <c r="C77" s="167" t="s">
        <v>118</v>
      </c>
      <c r="D77" s="27">
        <v>454075287.52805835</v>
      </c>
      <c r="E77" s="28">
        <f t="shared" ref="E77:E94" si="45">(D77/$D$109)</f>
        <v>2.1709497365174886E-3</v>
      </c>
      <c r="F77" s="33">
        <v>2.6038999999999999</v>
      </c>
      <c r="G77" s="33">
        <v>2.6038999999999999</v>
      </c>
      <c r="H77" s="30">
        <v>1391</v>
      </c>
      <c r="I77" s="48">
        <v>0.14860000000000001</v>
      </c>
      <c r="J77" s="48">
        <v>0.13930000000000001</v>
      </c>
      <c r="K77" s="27">
        <v>455176774.08930784</v>
      </c>
      <c r="L77" s="28">
        <f t="shared" si="39"/>
        <v>2.1614683265808407E-3</v>
      </c>
      <c r="M77" s="33">
        <v>2.6101999999999999</v>
      </c>
      <c r="N77" s="33">
        <v>2.6101999999999999</v>
      </c>
      <c r="O77" s="30">
        <v>1391</v>
      </c>
      <c r="P77" s="48">
        <v>0.12620000000000001</v>
      </c>
      <c r="Q77" s="48">
        <v>0.1399</v>
      </c>
      <c r="R77" s="54">
        <f t="shared" si="40"/>
        <v>2.4257795821610996E-3</v>
      </c>
      <c r="S77" s="54">
        <f t="shared" si="41"/>
        <v>2.4194477514497379E-3</v>
      </c>
      <c r="T77" s="54">
        <f t="shared" si="42"/>
        <v>0</v>
      </c>
      <c r="U77" s="55">
        <f t="shared" si="43"/>
        <v>-2.2400000000000003E-2</v>
      </c>
      <c r="V77" s="56">
        <f t="shared" si="44"/>
        <v>5.9999999999998943E-4</v>
      </c>
    </row>
    <row r="78" spans="1:22">
      <c r="A78" s="168">
        <v>67</v>
      </c>
      <c r="B78" s="166" t="s">
        <v>119</v>
      </c>
      <c r="C78" s="167" t="s">
        <v>63</v>
      </c>
      <c r="D78" s="27">
        <v>156234399.31</v>
      </c>
      <c r="E78" s="28">
        <f t="shared" si="45"/>
        <v>7.4696209490602173E-4</v>
      </c>
      <c r="F78" s="33">
        <v>12.05</v>
      </c>
      <c r="G78" s="33">
        <v>12.1</v>
      </c>
      <c r="H78" s="30">
        <v>30</v>
      </c>
      <c r="I78" s="48">
        <v>0.107</v>
      </c>
      <c r="J78" s="48">
        <v>0.26</v>
      </c>
      <c r="K78" s="27">
        <v>150918922.21000001</v>
      </c>
      <c r="L78" s="28">
        <f t="shared" si="39"/>
        <v>7.1665886488010808E-4</v>
      </c>
      <c r="M78" s="33">
        <v>11.64</v>
      </c>
      <c r="N78" s="33">
        <v>11.91</v>
      </c>
      <c r="O78" s="30">
        <v>30</v>
      </c>
      <c r="P78" s="48">
        <v>-0.93799999999999994</v>
      </c>
      <c r="Q78" s="48">
        <v>0.159</v>
      </c>
      <c r="R78" s="54">
        <f t="shared" si="40"/>
        <v>-3.4022450391690211E-2</v>
      </c>
      <c r="S78" s="54">
        <f t="shared" si="41"/>
        <v>-1.5702479338842935E-2</v>
      </c>
      <c r="T78" s="54">
        <f t="shared" si="42"/>
        <v>0</v>
      </c>
      <c r="U78" s="55">
        <f t="shared" si="43"/>
        <v>-1.0449999999999999</v>
      </c>
      <c r="V78" s="56">
        <f t="shared" si="44"/>
        <v>-0.10100000000000001</v>
      </c>
    </row>
    <row r="79" spans="1:22">
      <c r="A79" s="168">
        <v>68</v>
      </c>
      <c r="B79" s="166" t="s">
        <v>120</v>
      </c>
      <c r="C79" s="167" t="s">
        <v>65</v>
      </c>
      <c r="D79" s="27">
        <v>2056379832.7321401</v>
      </c>
      <c r="E79" s="28">
        <f t="shared" si="45"/>
        <v>9.8316234744967434E-3</v>
      </c>
      <c r="F79" s="27">
        <v>4596.8237653311999</v>
      </c>
      <c r="G79" s="27">
        <v>4596.8237653311999</v>
      </c>
      <c r="H79" s="30">
        <v>1105</v>
      </c>
      <c r="I79" s="48">
        <v>0.10213447963620979</v>
      </c>
      <c r="J79" s="48">
        <v>0.11796400919258464</v>
      </c>
      <c r="K79" s="27">
        <v>2060830898.9598501</v>
      </c>
      <c r="L79" s="28">
        <f t="shared" si="39"/>
        <v>9.7861335817342431E-3</v>
      </c>
      <c r="M79" s="27">
        <v>4605.85639085823</v>
      </c>
      <c r="N79" s="27">
        <v>4605.85639085823</v>
      </c>
      <c r="O79" s="30">
        <v>1107</v>
      </c>
      <c r="P79" s="48">
        <v>0.10245920368603142</v>
      </c>
      <c r="Q79" s="48">
        <v>0.11749417314509342</v>
      </c>
      <c r="R79" s="54">
        <f t="shared" si="40"/>
        <v>2.1645156001147167E-3</v>
      </c>
      <c r="S79" s="54">
        <f t="shared" si="41"/>
        <v>1.964971029595123E-3</v>
      </c>
      <c r="T79" s="54">
        <f t="shared" si="42"/>
        <v>1.8099547511312218E-3</v>
      </c>
      <c r="U79" s="55">
        <f t="shared" si="43"/>
        <v>3.2472404982163139E-4</v>
      </c>
      <c r="V79" s="56">
        <f t="shared" si="44"/>
        <v>-4.6983604749122054E-4</v>
      </c>
    </row>
    <row r="80" spans="1:22">
      <c r="A80" s="168">
        <v>69</v>
      </c>
      <c r="B80" s="166" t="s">
        <v>121</v>
      </c>
      <c r="C80" s="167" t="s">
        <v>67</v>
      </c>
      <c r="D80" s="27">
        <v>337090671.41000003</v>
      </c>
      <c r="E80" s="28">
        <f t="shared" si="45"/>
        <v>1.6116422196502445E-3</v>
      </c>
      <c r="F80" s="58">
        <v>110.71</v>
      </c>
      <c r="G80" s="58">
        <v>110.71</v>
      </c>
      <c r="H80" s="30">
        <v>137</v>
      </c>
      <c r="I80" s="48">
        <v>1.6999999999999999E-3</v>
      </c>
      <c r="J80" s="48">
        <v>0.1235</v>
      </c>
      <c r="K80" s="27">
        <v>340177541.86000001</v>
      </c>
      <c r="L80" s="28">
        <f t="shared" si="39"/>
        <v>1.615378956045442E-3</v>
      </c>
      <c r="M80" s="58">
        <v>110.93</v>
      </c>
      <c r="N80" s="58">
        <v>110.93</v>
      </c>
      <c r="O80" s="30">
        <v>138</v>
      </c>
      <c r="P80" s="48">
        <v>2E-3</v>
      </c>
      <c r="Q80" s="48">
        <v>0.1235</v>
      </c>
      <c r="R80" s="54">
        <f t="shared" si="40"/>
        <v>9.1573891294234547E-3</v>
      </c>
      <c r="S80" s="54">
        <f t="shared" si="41"/>
        <v>1.9871736970464553E-3</v>
      </c>
      <c r="T80" s="54">
        <f t="shared" si="42"/>
        <v>7.2992700729927005E-3</v>
      </c>
      <c r="U80" s="55">
        <f t="shared" si="43"/>
        <v>3.0000000000000014E-4</v>
      </c>
      <c r="V80" s="56">
        <f t="shared" si="44"/>
        <v>0</v>
      </c>
    </row>
    <row r="81" spans="1:22" ht="13.5" customHeight="1">
      <c r="A81" s="168">
        <v>70</v>
      </c>
      <c r="B81" s="166" t="s">
        <v>122</v>
      </c>
      <c r="C81" s="167" t="s">
        <v>296</v>
      </c>
      <c r="D81" s="27">
        <v>379670913.86000001</v>
      </c>
      <c r="E81" s="28">
        <f t="shared" si="45"/>
        <v>1.8152198391919515E-3</v>
      </c>
      <c r="F81" s="58">
        <v>1.4288000000000001</v>
      </c>
      <c r="G81" s="58">
        <v>1.4288000000000001</v>
      </c>
      <c r="H81" s="30">
        <v>418</v>
      </c>
      <c r="I81" s="48">
        <v>1.399972000559746E-4</v>
      </c>
      <c r="J81" s="48">
        <v>8.7556737374959392E-2</v>
      </c>
      <c r="K81" s="27">
        <v>381221106.43000001</v>
      </c>
      <c r="L81" s="28">
        <f t="shared" si="39"/>
        <v>1.8102798602172888E-3</v>
      </c>
      <c r="M81" s="58">
        <v>1.4336</v>
      </c>
      <c r="N81" s="58">
        <v>1.4336</v>
      </c>
      <c r="O81" s="30">
        <v>419</v>
      </c>
      <c r="P81" s="48">
        <v>3.3594624860022737E-3</v>
      </c>
      <c r="Q81" s="48">
        <v>9.1061666181093126E-2</v>
      </c>
      <c r="R81" s="54">
        <f t="shared" si="40"/>
        <v>4.0829900669494303E-3</v>
      </c>
      <c r="S81" s="54">
        <f t="shared" si="41"/>
        <v>3.3594624860021805E-3</v>
      </c>
      <c r="T81" s="54">
        <f t="shared" si="42"/>
        <v>2.3923444976076554E-3</v>
      </c>
      <c r="U81" s="55">
        <f t="shared" si="43"/>
        <v>3.2194652859462991E-3</v>
      </c>
      <c r="V81" s="56">
        <f t="shared" si="44"/>
        <v>3.5049288061337336E-3</v>
      </c>
    </row>
    <row r="82" spans="1:22" ht="13.5" customHeight="1">
      <c r="A82" s="168">
        <v>71</v>
      </c>
      <c r="B82" s="166" t="s">
        <v>294</v>
      </c>
      <c r="C82" s="167" t="s">
        <v>296</v>
      </c>
      <c r="D82" s="27">
        <v>25989367.620000001</v>
      </c>
      <c r="E82" s="28">
        <f t="shared" si="45"/>
        <v>1.2425607016415473E-4</v>
      </c>
      <c r="F82" s="58">
        <v>0.88370000000000004</v>
      </c>
      <c r="G82" s="58">
        <v>0.88370000000000004</v>
      </c>
      <c r="H82" s="30">
        <v>1</v>
      </c>
      <c r="I82" s="48">
        <v>-1.8072969614819634E-3</v>
      </c>
      <c r="J82" s="48">
        <v>-0.10845439870863594</v>
      </c>
      <c r="K82" s="27">
        <v>26067388.809999999</v>
      </c>
      <c r="L82" s="28">
        <f t="shared" si="39"/>
        <v>1.2378451291196132E-4</v>
      </c>
      <c r="M82" s="58">
        <v>0.88349999999999995</v>
      </c>
      <c r="N82" s="58">
        <v>0.88349999999999995</v>
      </c>
      <c r="O82" s="30">
        <v>1</v>
      </c>
      <c r="P82" s="48">
        <v>-2.2632114971155026E-4</v>
      </c>
      <c r="Q82" s="48">
        <v>-0.10865617433414043</v>
      </c>
      <c r="R82" s="54">
        <f t="shared" ref="R82" si="46">((K82-D82)/D82)</f>
        <v>3.0020426483927513E-3</v>
      </c>
      <c r="S82" s="54">
        <f t="shared" ref="S82" si="47">((N82-G82)/G82)</f>
        <v>-2.2632114971154124E-4</v>
      </c>
      <c r="T82" s="54">
        <f t="shared" ref="T82" si="48">((O82-H82)/H82)</f>
        <v>0</v>
      </c>
      <c r="U82" s="55">
        <f t="shared" ref="U82" si="49">P82-I82</f>
        <v>1.5809758117704131E-3</v>
      </c>
      <c r="V82" s="56">
        <f t="shared" ref="V82" si="50">Q82-J82</f>
        <v>-2.0177562550449668E-4</v>
      </c>
    </row>
    <row r="83" spans="1:22">
      <c r="A83" s="168">
        <v>72</v>
      </c>
      <c r="B83" s="166" t="s">
        <v>124</v>
      </c>
      <c r="C83" s="167" t="s">
        <v>29</v>
      </c>
      <c r="D83" s="27">
        <v>140606466.03999999</v>
      </c>
      <c r="E83" s="28">
        <f t="shared" si="45"/>
        <v>6.7224440260544053E-4</v>
      </c>
      <c r="F83" s="58">
        <v>132.72579999999999</v>
      </c>
      <c r="G83" s="58">
        <v>132.72579999999999</v>
      </c>
      <c r="H83" s="30">
        <v>244</v>
      </c>
      <c r="I83" s="48">
        <v>1.9680000000000001E-3</v>
      </c>
      <c r="J83" s="48">
        <v>6.0400000000000002E-2</v>
      </c>
      <c r="K83" s="27">
        <v>144175867.24000001</v>
      </c>
      <c r="L83" s="28">
        <f t="shared" si="39"/>
        <v>6.846385585470155E-4</v>
      </c>
      <c r="M83" s="58">
        <v>133.0489</v>
      </c>
      <c r="N83" s="58">
        <v>133.0489</v>
      </c>
      <c r="O83" s="30">
        <v>250</v>
      </c>
      <c r="P83" s="48">
        <v>-1.1051E-2</v>
      </c>
      <c r="Q83" s="48">
        <v>6.3399999999999998E-2</v>
      </c>
      <c r="R83" s="54">
        <f t="shared" si="40"/>
        <v>2.5385754300834132E-2</v>
      </c>
      <c r="S83" s="54">
        <f t="shared" si="41"/>
        <v>2.4343420796861712E-3</v>
      </c>
      <c r="T83" s="54">
        <f t="shared" si="42"/>
        <v>2.4590163934426229E-2</v>
      </c>
      <c r="U83" s="55">
        <f t="shared" si="43"/>
        <v>-1.3018999999999999E-2</v>
      </c>
      <c r="V83" s="56">
        <f t="shared" si="44"/>
        <v>2.9999999999999957E-3</v>
      </c>
    </row>
    <row r="84" spans="1:22">
      <c r="A84" s="168">
        <v>73</v>
      </c>
      <c r="B84" s="166" t="s">
        <v>125</v>
      </c>
      <c r="C84" s="167" t="s">
        <v>96</v>
      </c>
      <c r="D84" s="27">
        <v>1522797028.1000004</v>
      </c>
      <c r="E84" s="28">
        <f t="shared" si="45"/>
        <v>7.2805455344649881E-3</v>
      </c>
      <c r="F84" s="33">
        <v>1000</v>
      </c>
      <c r="G84" s="33">
        <v>1000</v>
      </c>
      <c r="H84" s="30">
        <v>364</v>
      </c>
      <c r="I84" s="48">
        <v>1.83E-2</v>
      </c>
      <c r="J84" s="48">
        <v>0.2072</v>
      </c>
      <c r="K84" s="27">
        <v>1525175367.3700004</v>
      </c>
      <c r="L84" s="28">
        <f t="shared" si="39"/>
        <v>7.2425010165495423E-3</v>
      </c>
      <c r="M84" s="33">
        <v>1000</v>
      </c>
      <c r="N84" s="33">
        <v>1000</v>
      </c>
      <c r="O84" s="30">
        <v>366</v>
      </c>
      <c r="P84" s="48">
        <v>1.84E-2</v>
      </c>
      <c r="Q84" s="48">
        <v>0.2072</v>
      </c>
      <c r="R84" s="54">
        <f t="shared" si="40"/>
        <v>1.5618228996463462E-3</v>
      </c>
      <c r="S84" s="54">
        <f t="shared" si="41"/>
        <v>0</v>
      </c>
      <c r="T84" s="54">
        <f t="shared" si="42"/>
        <v>5.4945054945054949E-3</v>
      </c>
      <c r="U84" s="55">
        <f t="shared" si="43"/>
        <v>9.9999999999999395E-5</v>
      </c>
      <c r="V84" s="56">
        <f t="shared" si="44"/>
        <v>0</v>
      </c>
    </row>
    <row r="85" spans="1:22">
      <c r="A85" s="168">
        <v>74</v>
      </c>
      <c r="B85" s="166" t="s">
        <v>126</v>
      </c>
      <c r="C85" s="167" t="s">
        <v>70</v>
      </c>
      <c r="D85" s="27">
        <v>154906585.13</v>
      </c>
      <c r="E85" s="28">
        <f t="shared" si="45"/>
        <v>7.4061376914729598E-4</v>
      </c>
      <c r="F85" s="33">
        <v>1058.4000000000001</v>
      </c>
      <c r="G85" s="33">
        <v>1072.29</v>
      </c>
      <c r="H85" s="30">
        <v>71</v>
      </c>
      <c r="I85" s="48">
        <v>2.8999999999999998E-3</v>
      </c>
      <c r="J85" s="48">
        <v>5.3999999999999999E-2</v>
      </c>
      <c r="K85" s="27">
        <v>155340328.97</v>
      </c>
      <c r="L85" s="28">
        <f t="shared" si="39"/>
        <v>7.3765451143916415E-4</v>
      </c>
      <c r="M85" s="33">
        <v>1061.3599999999999</v>
      </c>
      <c r="N85" s="33">
        <v>1076.1099999999999</v>
      </c>
      <c r="O85" s="30">
        <v>71</v>
      </c>
      <c r="P85" s="48">
        <v>3.3999999999999998E-3</v>
      </c>
      <c r="Q85" s="48">
        <v>5.7299999999999997E-2</v>
      </c>
      <c r="R85" s="54">
        <f t="shared" si="40"/>
        <v>2.8000348702800406E-3</v>
      </c>
      <c r="S85" s="54">
        <f t="shared" si="41"/>
        <v>3.5624691081703051E-3</v>
      </c>
      <c r="T85" s="54">
        <f t="shared" si="42"/>
        <v>0</v>
      </c>
      <c r="U85" s="55">
        <f t="shared" si="43"/>
        <v>5.0000000000000001E-4</v>
      </c>
      <c r="V85" s="56">
        <f t="shared" si="44"/>
        <v>3.2999999999999974E-3</v>
      </c>
    </row>
    <row r="86" spans="1:22">
      <c r="A86" s="168">
        <v>75</v>
      </c>
      <c r="B86" s="166" t="s">
        <v>127</v>
      </c>
      <c r="C86" s="167" t="s">
        <v>73</v>
      </c>
      <c r="D86" s="27">
        <v>667516919.88999999</v>
      </c>
      <c r="E86" s="28">
        <f t="shared" si="45"/>
        <v>3.1914216015700154E-3</v>
      </c>
      <c r="F86" s="59">
        <v>1.1994</v>
      </c>
      <c r="G86" s="59">
        <v>1.1994</v>
      </c>
      <c r="H86" s="30">
        <v>47</v>
      </c>
      <c r="I86" s="48">
        <v>1.5E-3</v>
      </c>
      <c r="J86" s="48">
        <v>0.12</v>
      </c>
      <c r="K86" s="27">
        <v>669098808.51999998</v>
      </c>
      <c r="L86" s="28">
        <f t="shared" si="39"/>
        <v>3.1773059705484889E-3</v>
      </c>
      <c r="M86" s="59">
        <v>1.2016</v>
      </c>
      <c r="N86" s="59">
        <v>1.2016</v>
      </c>
      <c r="O86" s="30">
        <v>48</v>
      </c>
      <c r="P86" s="48">
        <v>1.5E-3</v>
      </c>
      <c r="Q86" s="48">
        <v>0.11996</v>
      </c>
      <c r="R86" s="54">
        <f t="shared" si="40"/>
        <v>2.3698105364290609E-3</v>
      </c>
      <c r="S86" s="54">
        <f t="shared" si="41"/>
        <v>1.8342504585625978E-3</v>
      </c>
      <c r="T86" s="54">
        <f t="shared" si="42"/>
        <v>2.1276595744680851E-2</v>
      </c>
      <c r="U86" s="55">
        <f t="shared" si="43"/>
        <v>0</v>
      </c>
      <c r="V86" s="56">
        <f t="shared" si="44"/>
        <v>-3.999999999999837E-5</v>
      </c>
    </row>
    <row r="87" spans="1:22">
      <c r="A87" s="168">
        <v>76</v>
      </c>
      <c r="B87" s="166" t="s">
        <v>128</v>
      </c>
      <c r="C87" s="167" t="s">
        <v>31</v>
      </c>
      <c r="D87" s="27">
        <v>12197976973.719999</v>
      </c>
      <c r="E87" s="28">
        <f t="shared" si="45"/>
        <v>5.8318951998698E-2</v>
      </c>
      <c r="F87" s="59">
        <v>1716.63</v>
      </c>
      <c r="G87" s="59">
        <v>1716.63</v>
      </c>
      <c r="H87" s="30">
        <v>2088</v>
      </c>
      <c r="I87" s="48">
        <v>8.9999999999999998E-4</v>
      </c>
      <c r="J87" s="48">
        <v>1.4E-2</v>
      </c>
      <c r="K87" s="27">
        <v>12110182151.889999</v>
      </c>
      <c r="L87" s="28">
        <f t="shared" si="39"/>
        <v>5.7506833917011391E-2</v>
      </c>
      <c r="M87" s="59">
        <v>1717.85</v>
      </c>
      <c r="N87" s="59">
        <v>1717.85</v>
      </c>
      <c r="O87" s="30">
        <v>2091</v>
      </c>
      <c r="P87" s="48">
        <v>6.9999999999999999E-4</v>
      </c>
      <c r="Q87" s="48">
        <v>1.47E-2</v>
      </c>
      <c r="R87" s="54">
        <f t="shared" si="40"/>
        <v>-7.1974903723092754E-3</v>
      </c>
      <c r="S87" s="54">
        <f t="shared" si="41"/>
        <v>7.1069479153912016E-4</v>
      </c>
      <c r="T87" s="54">
        <f t="shared" si="42"/>
        <v>1.4367816091954023E-3</v>
      </c>
      <c r="U87" s="55">
        <f t="shared" si="43"/>
        <v>-1.9999999999999998E-4</v>
      </c>
      <c r="V87" s="56">
        <f t="shared" si="44"/>
        <v>6.9999999999999923E-4</v>
      </c>
    </row>
    <row r="88" spans="1:22">
      <c r="A88" s="168">
        <v>77</v>
      </c>
      <c r="B88" s="166" t="s">
        <v>129</v>
      </c>
      <c r="C88" s="167" t="s">
        <v>78</v>
      </c>
      <c r="D88" s="27">
        <v>23514817.039999999</v>
      </c>
      <c r="E88" s="28">
        <f t="shared" si="45"/>
        <v>1.1242515780841848E-4</v>
      </c>
      <c r="F88" s="58">
        <v>0.71709999999999996</v>
      </c>
      <c r="G88" s="58">
        <v>0.71709999999999996</v>
      </c>
      <c r="H88" s="30">
        <v>746</v>
      </c>
      <c r="I88" s="48">
        <v>-8.9999999999999993E-3</v>
      </c>
      <c r="J88" s="48">
        <v>5.9999999999999995E-4</v>
      </c>
      <c r="K88" s="27">
        <v>23565364.719999999</v>
      </c>
      <c r="L88" s="28">
        <f t="shared" si="39"/>
        <v>1.1190331393449292E-4</v>
      </c>
      <c r="M88" s="58">
        <v>0.71870000000000001</v>
      </c>
      <c r="N88" s="58">
        <v>0.71870000000000001</v>
      </c>
      <c r="O88" s="30">
        <v>746</v>
      </c>
      <c r="P88" s="48">
        <v>2.2000000000000001E-3</v>
      </c>
      <c r="Q88" s="48">
        <v>2.8E-3</v>
      </c>
      <c r="R88" s="54">
        <f t="shared" si="40"/>
        <v>2.1496097509079194E-3</v>
      </c>
      <c r="S88" s="54">
        <f t="shared" si="41"/>
        <v>2.2312090363966613E-3</v>
      </c>
      <c r="T88" s="54">
        <f t="shared" si="42"/>
        <v>0</v>
      </c>
      <c r="U88" s="55">
        <f t="shared" si="43"/>
        <v>1.12E-2</v>
      </c>
      <c r="V88" s="56">
        <f t="shared" si="44"/>
        <v>2.2000000000000001E-3</v>
      </c>
    </row>
    <row r="89" spans="1:22">
      <c r="A89" s="168">
        <v>78</v>
      </c>
      <c r="B89" s="166" t="s">
        <v>130</v>
      </c>
      <c r="C89" s="167" t="s">
        <v>37</v>
      </c>
      <c r="D89" s="27">
        <v>10454096502.34</v>
      </c>
      <c r="E89" s="28">
        <f t="shared" si="45"/>
        <v>4.9981398835498243E-2</v>
      </c>
      <c r="F89" s="58">
        <v>1</v>
      </c>
      <c r="G89" s="58">
        <v>1</v>
      </c>
      <c r="H89" s="30">
        <v>4290</v>
      </c>
      <c r="I89" s="48">
        <v>0.06</v>
      </c>
      <c r="J89" s="48">
        <v>0.06</v>
      </c>
      <c r="K89" s="27">
        <v>10466595397.41</v>
      </c>
      <c r="L89" s="28">
        <f t="shared" si="39"/>
        <v>4.9702040452089806E-2</v>
      </c>
      <c r="M89" s="58">
        <v>1</v>
      </c>
      <c r="N89" s="58">
        <v>1</v>
      </c>
      <c r="O89" s="30">
        <v>4293</v>
      </c>
      <c r="P89" s="48">
        <v>0.06</v>
      </c>
      <c r="Q89" s="48">
        <v>0.06</v>
      </c>
      <c r="R89" s="54">
        <f t="shared" si="40"/>
        <v>1.1955978278182142E-3</v>
      </c>
      <c r="S89" s="54">
        <f t="shared" si="41"/>
        <v>0</v>
      </c>
      <c r="T89" s="54">
        <f t="shared" si="42"/>
        <v>6.993006993006993E-4</v>
      </c>
      <c r="U89" s="55">
        <f t="shared" si="43"/>
        <v>0</v>
      </c>
      <c r="V89" s="56">
        <f t="shared" si="44"/>
        <v>0</v>
      </c>
    </row>
    <row r="90" spans="1:22">
      <c r="A90" s="168">
        <v>79</v>
      </c>
      <c r="B90" s="166" t="s">
        <v>131</v>
      </c>
      <c r="C90" s="167" t="s">
        <v>132</v>
      </c>
      <c r="D90" s="27">
        <v>1573739790.0999999</v>
      </c>
      <c r="E90" s="28">
        <f t="shared" si="45"/>
        <v>7.5241046507151504E-3</v>
      </c>
      <c r="F90" s="27">
        <v>256.19740000000002</v>
      </c>
      <c r="G90" s="27">
        <v>258.02980000000002</v>
      </c>
      <c r="H90" s="30">
        <v>529</v>
      </c>
      <c r="I90" s="48">
        <v>3.0000000000000001E-3</v>
      </c>
      <c r="J90" s="48">
        <v>0.18729999999999999</v>
      </c>
      <c r="K90" s="27">
        <v>1578658208.24</v>
      </c>
      <c r="L90" s="28">
        <f t="shared" si="39"/>
        <v>7.496471502603793E-3</v>
      </c>
      <c r="M90" s="27">
        <v>256.7</v>
      </c>
      <c r="N90" s="27">
        <v>258.67</v>
      </c>
      <c r="O90" s="30">
        <v>529</v>
      </c>
      <c r="P90" s="48">
        <v>3.0000000000000001E-3</v>
      </c>
      <c r="Q90" s="48">
        <v>0.18729999999999999</v>
      </c>
      <c r="R90" s="54">
        <f t="shared" si="40"/>
        <v>3.1253058294265883E-3</v>
      </c>
      <c r="S90" s="54">
        <f t="shared" si="41"/>
        <v>2.4811087711574128E-3</v>
      </c>
      <c r="T90" s="54">
        <f t="shared" si="42"/>
        <v>0</v>
      </c>
      <c r="U90" s="55">
        <f t="shared" si="43"/>
        <v>0</v>
      </c>
      <c r="V90" s="56">
        <f t="shared" si="44"/>
        <v>0</v>
      </c>
    </row>
    <row r="91" spans="1:22">
      <c r="A91" s="168">
        <v>80</v>
      </c>
      <c r="B91" s="166" t="s">
        <v>133</v>
      </c>
      <c r="C91" s="167" t="s">
        <v>41</v>
      </c>
      <c r="D91" s="27">
        <v>1134628779.1199999</v>
      </c>
      <c r="E91" s="28">
        <f t="shared" si="45"/>
        <v>5.4246996406372714E-3</v>
      </c>
      <c r="F91" s="58">
        <v>3.78</v>
      </c>
      <c r="G91" s="58">
        <v>3.78</v>
      </c>
      <c r="H91" s="44">
        <v>770</v>
      </c>
      <c r="I91" s="51">
        <v>1.2999999999999999E-3</v>
      </c>
      <c r="J91" s="51">
        <v>0.1075</v>
      </c>
      <c r="K91" s="27">
        <v>1136508335.3</v>
      </c>
      <c r="L91" s="28">
        <f t="shared" si="39"/>
        <v>5.3968631737876978E-3</v>
      </c>
      <c r="M91" s="58">
        <v>3.79</v>
      </c>
      <c r="N91" s="58">
        <v>3.79</v>
      </c>
      <c r="O91" s="44">
        <v>770</v>
      </c>
      <c r="P91" s="51">
        <v>1.6999999999999999E-3</v>
      </c>
      <c r="Q91" s="51">
        <v>0.1067</v>
      </c>
      <c r="R91" s="54">
        <f t="shared" si="40"/>
        <v>1.6565384331761978E-3</v>
      </c>
      <c r="S91" s="54">
        <f t="shared" si="41"/>
        <v>2.6455026455027069E-3</v>
      </c>
      <c r="T91" s="54">
        <f t="shared" si="42"/>
        <v>0</v>
      </c>
      <c r="U91" s="55">
        <f t="shared" si="43"/>
        <v>3.9999999999999996E-4</v>
      </c>
      <c r="V91" s="56">
        <f t="shared" si="44"/>
        <v>-7.9999999999999516E-4</v>
      </c>
    </row>
    <row r="92" spans="1:22">
      <c r="A92" s="168">
        <v>81</v>
      </c>
      <c r="B92" s="166" t="s">
        <v>134</v>
      </c>
      <c r="C92" s="167" t="s">
        <v>43</v>
      </c>
      <c r="D92" s="27">
        <v>593615278.57000005</v>
      </c>
      <c r="E92" s="28">
        <f t="shared" si="45"/>
        <v>2.8380952850790521E-3</v>
      </c>
      <c r="F92" s="58">
        <v>110.81063</v>
      </c>
      <c r="G92" s="58">
        <v>110.81063</v>
      </c>
      <c r="H92" s="44">
        <v>59</v>
      </c>
      <c r="I92" s="51">
        <v>0.14860000000000001</v>
      </c>
      <c r="J92" s="51">
        <v>0.1721</v>
      </c>
      <c r="K92" s="27">
        <v>596404512.16999996</v>
      </c>
      <c r="L92" s="28">
        <f t="shared" si="39"/>
        <v>2.8321072960379627E-3</v>
      </c>
      <c r="M92" s="58">
        <v>111.07368</v>
      </c>
      <c r="N92" s="58">
        <v>111.07368</v>
      </c>
      <c r="O92" s="44">
        <v>59</v>
      </c>
      <c r="P92" s="51">
        <v>0.14949999999999999</v>
      </c>
      <c r="Q92" s="51">
        <v>0.1729</v>
      </c>
      <c r="R92" s="54">
        <f t="shared" si="40"/>
        <v>4.6987227261385146E-3</v>
      </c>
      <c r="S92" s="54">
        <f t="shared" si="41"/>
        <v>2.373869727119074E-3</v>
      </c>
      <c r="T92" s="54">
        <f t="shared" si="42"/>
        <v>0</v>
      </c>
      <c r="U92" s="55">
        <f t="shared" si="43"/>
        <v>8.9999999999998415E-4</v>
      </c>
      <c r="V92" s="56">
        <f t="shared" si="44"/>
        <v>7.9999999999999516E-4</v>
      </c>
    </row>
    <row r="93" spans="1:22">
      <c r="A93" s="168">
        <v>82</v>
      </c>
      <c r="B93" s="167" t="s">
        <v>135</v>
      </c>
      <c r="C93" s="173" t="s">
        <v>47</v>
      </c>
      <c r="D93" s="27">
        <v>1396616045.99</v>
      </c>
      <c r="E93" s="28">
        <f t="shared" si="45"/>
        <v>6.6772698720600036E-3</v>
      </c>
      <c r="F93" s="58">
        <v>101.61</v>
      </c>
      <c r="G93" s="58">
        <v>101.61</v>
      </c>
      <c r="H93" s="30">
        <v>289</v>
      </c>
      <c r="I93" s="48">
        <v>1.4E-3</v>
      </c>
      <c r="J93" s="48">
        <v>4.3499999999999997E-2</v>
      </c>
      <c r="K93" s="27">
        <v>1439052002.8599999</v>
      </c>
      <c r="L93" s="28">
        <f t="shared" si="39"/>
        <v>6.8335325999615325E-3</v>
      </c>
      <c r="M93" s="58">
        <v>104.58</v>
      </c>
      <c r="N93" s="58">
        <v>104.58</v>
      </c>
      <c r="O93" s="30">
        <v>289</v>
      </c>
      <c r="P93" s="48">
        <v>2E-3</v>
      </c>
      <c r="Q93" s="48">
        <v>4.3700000000000003E-2</v>
      </c>
      <c r="R93" s="54">
        <f t="shared" si="40"/>
        <v>3.0384841268180397E-2</v>
      </c>
      <c r="S93" s="54">
        <f t="shared" si="41"/>
        <v>2.9229406554472974E-2</v>
      </c>
      <c r="T93" s="54">
        <f t="shared" si="42"/>
        <v>0</v>
      </c>
      <c r="U93" s="55">
        <f t="shared" si="43"/>
        <v>6.0000000000000006E-4</v>
      </c>
      <c r="V93" s="56">
        <f t="shared" si="44"/>
        <v>2.0000000000000573E-4</v>
      </c>
    </row>
    <row r="94" spans="1:22">
      <c r="A94" s="168">
        <v>83</v>
      </c>
      <c r="B94" s="166" t="s">
        <v>136</v>
      </c>
      <c r="C94" s="167" t="s">
        <v>19</v>
      </c>
      <c r="D94" s="27">
        <v>1451032211.27</v>
      </c>
      <c r="E94" s="28">
        <f t="shared" si="45"/>
        <v>6.9374354501517384E-3</v>
      </c>
      <c r="F94" s="58">
        <v>362.14170000000001</v>
      </c>
      <c r="G94" s="58">
        <v>362.14170000000001</v>
      </c>
      <c r="H94" s="30">
        <v>90</v>
      </c>
      <c r="I94" s="48">
        <v>2.5999999999999999E-3</v>
      </c>
      <c r="J94" s="48">
        <v>5.5199999999999999E-2</v>
      </c>
      <c r="K94" s="27">
        <v>1458218147.45</v>
      </c>
      <c r="L94" s="28">
        <f t="shared" si="39"/>
        <v>6.9245456235430608E-3</v>
      </c>
      <c r="M94" s="58">
        <v>363.084</v>
      </c>
      <c r="N94" s="58">
        <v>363.084</v>
      </c>
      <c r="O94" s="30">
        <v>90</v>
      </c>
      <c r="P94" s="48">
        <v>2.5999999999999999E-3</v>
      </c>
      <c r="Q94" s="48">
        <v>5.7799999999999997E-2</v>
      </c>
      <c r="R94" s="54">
        <f t="shared" si="40"/>
        <v>4.9522926673768704E-3</v>
      </c>
      <c r="S94" s="54">
        <f t="shared" si="41"/>
        <v>2.6020201484667155E-3</v>
      </c>
      <c r="T94" s="54">
        <f t="shared" si="42"/>
        <v>0</v>
      </c>
      <c r="U94" s="55">
        <f t="shared" si="43"/>
        <v>0</v>
      </c>
      <c r="V94" s="56">
        <f t="shared" si="44"/>
        <v>2.5999999999999981E-3</v>
      </c>
    </row>
    <row r="95" spans="1:22">
      <c r="A95" s="168">
        <v>84</v>
      </c>
      <c r="B95" s="166" t="s">
        <v>137</v>
      </c>
      <c r="C95" s="167" t="s">
        <v>87</v>
      </c>
      <c r="D95" s="42">
        <v>1529529721</v>
      </c>
      <c r="E95" s="28">
        <f>(D95/$K$69)</f>
        <v>5.0233386987626378E-4</v>
      </c>
      <c r="F95" s="58">
        <v>103.8</v>
      </c>
      <c r="G95" s="58">
        <v>103.8</v>
      </c>
      <c r="H95" s="30">
        <v>394</v>
      </c>
      <c r="I95" s="48">
        <v>2.8E-3</v>
      </c>
      <c r="J95" s="48">
        <v>0.14480000000000001</v>
      </c>
      <c r="K95" s="42">
        <v>1527986903</v>
      </c>
      <c r="L95" s="28">
        <f>(K95/$K$69)</f>
        <v>5.0182717182011352E-4</v>
      </c>
      <c r="M95" s="58">
        <v>104.09</v>
      </c>
      <c r="N95" s="58">
        <v>104.09</v>
      </c>
      <c r="O95" s="30">
        <v>395</v>
      </c>
      <c r="P95" s="48">
        <v>2.8E-3</v>
      </c>
      <c r="Q95" s="48">
        <v>0.14499999999999999</v>
      </c>
      <c r="R95" s="54">
        <f t="shared" si="40"/>
        <v>-1.0086878200649232E-3</v>
      </c>
      <c r="S95" s="54">
        <f t="shared" si="41"/>
        <v>2.7938342967245306E-3</v>
      </c>
      <c r="T95" s="54">
        <f t="shared" si="42"/>
        <v>2.5380710659898475E-3</v>
      </c>
      <c r="U95" s="55">
        <f t="shared" si="43"/>
        <v>0</v>
      </c>
      <c r="V95" s="56">
        <f t="shared" si="44"/>
        <v>1.9999999999997797E-4</v>
      </c>
    </row>
    <row r="96" spans="1:22">
      <c r="A96" s="168">
        <v>85</v>
      </c>
      <c r="B96" s="166" t="s">
        <v>138</v>
      </c>
      <c r="C96" s="167" t="s">
        <v>45</v>
      </c>
      <c r="D96" s="27">
        <v>62160230.950000003</v>
      </c>
      <c r="E96" s="28">
        <f t="shared" ref="E96:E108" si="51">(D96/$D$109)</f>
        <v>2.9719022529811227E-4</v>
      </c>
      <c r="F96" s="27">
        <v>12.696312000000001</v>
      </c>
      <c r="G96" s="27">
        <v>13.13852</v>
      </c>
      <c r="H96" s="30">
        <v>58</v>
      </c>
      <c r="I96" s="48">
        <v>1.1000000000000001E-3</v>
      </c>
      <c r="J96" s="48">
        <v>3.8699999999999998E-2</v>
      </c>
      <c r="K96" s="27">
        <v>62269923.920000002</v>
      </c>
      <c r="L96" s="28">
        <f t="shared" ref="L96:L108" si="52">(K96/$K$109)</f>
        <v>2.9569713551612494E-4</v>
      </c>
      <c r="M96" s="27">
        <v>12.718717</v>
      </c>
      <c r="N96" s="27">
        <v>13.167417</v>
      </c>
      <c r="O96" s="30">
        <v>58</v>
      </c>
      <c r="P96" s="48">
        <v>8.0000000000000004E-4</v>
      </c>
      <c r="Q96" s="48">
        <v>4.0300000000000002E-2</v>
      </c>
      <c r="R96" s="54">
        <f t="shared" si="40"/>
        <v>1.7646808630462272E-3</v>
      </c>
      <c r="S96" s="54">
        <f t="shared" si="41"/>
        <v>2.1994105881028166E-3</v>
      </c>
      <c r="T96" s="54">
        <f t="shared" si="42"/>
        <v>0</v>
      </c>
      <c r="U96" s="55">
        <f t="shared" si="43"/>
        <v>-3.0000000000000003E-4</v>
      </c>
      <c r="V96" s="56">
        <f t="shared" si="44"/>
        <v>1.6000000000000042E-3</v>
      </c>
    </row>
    <row r="97" spans="1:28">
      <c r="A97" s="168">
        <v>86</v>
      </c>
      <c r="B97" s="166" t="s">
        <v>139</v>
      </c>
      <c r="C97" s="167" t="s">
        <v>140</v>
      </c>
      <c r="D97" s="27">
        <v>539482831.94000006</v>
      </c>
      <c r="E97" s="28">
        <f t="shared" si="51"/>
        <v>2.57928617571702E-3</v>
      </c>
      <c r="F97" s="27">
        <v>141.13999999999999</v>
      </c>
      <c r="G97" s="27">
        <v>141.13999999999999</v>
      </c>
      <c r="H97" s="30">
        <v>134</v>
      </c>
      <c r="I97" s="48">
        <v>0.19370000000000001</v>
      </c>
      <c r="J97" s="48">
        <v>0.1971</v>
      </c>
      <c r="K97" s="27">
        <v>543077709.21000004</v>
      </c>
      <c r="L97" s="28">
        <f t="shared" si="52"/>
        <v>2.5788777770527922E-3</v>
      </c>
      <c r="M97" s="27">
        <v>141.62</v>
      </c>
      <c r="N97" s="27">
        <v>141.62</v>
      </c>
      <c r="O97" s="30">
        <v>132</v>
      </c>
      <c r="P97" s="48">
        <v>0.1928</v>
      </c>
      <c r="Q97" s="48">
        <v>0.19689999999999999</v>
      </c>
      <c r="R97" s="54">
        <f t="shared" si="40"/>
        <v>6.6635619470459704E-3</v>
      </c>
      <c r="S97" s="54">
        <f t="shared" si="41"/>
        <v>3.4008785602948721E-3</v>
      </c>
      <c r="T97" s="54">
        <f t="shared" si="42"/>
        <v>-1.4925373134328358E-2</v>
      </c>
      <c r="U97" s="55">
        <f t="shared" si="43"/>
        <v>-9.000000000000119E-4</v>
      </c>
      <c r="V97" s="56">
        <f t="shared" si="44"/>
        <v>-2.0000000000000573E-4</v>
      </c>
    </row>
    <row r="98" spans="1:28">
      <c r="A98" s="168">
        <v>87</v>
      </c>
      <c r="B98" s="166" t="s">
        <v>141</v>
      </c>
      <c r="C98" s="167" t="s">
        <v>142</v>
      </c>
      <c r="D98" s="27">
        <v>9538654490.2288723</v>
      </c>
      <c r="E98" s="28">
        <f t="shared" si="51"/>
        <v>4.5604638748401698E-2</v>
      </c>
      <c r="F98" s="27">
        <v>1.0716618674589062</v>
      </c>
      <c r="G98" s="27">
        <v>1.0716618674589062</v>
      </c>
      <c r="H98" s="30">
        <v>4714</v>
      </c>
      <c r="I98" s="48">
        <v>0.1903</v>
      </c>
      <c r="J98" s="48">
        <v>0.1903</v>
      </c>
      <c r="K98" s="27">
        <v>9159240333.8065491</v>
      </c>
      <c r="L98" s="28">
        <f t="shared" si="52"/>
        <v>4.3493888537424003E-2</v>
      </c>
      <c r="M98" s="27">
        <v>1.0741892632207879</v>
      </c>
      <c r="N98" s="27">
        <v>1.0741892632207879</v>
      </c>
      <c r="O98" s="30">
        <v>4726</v>
      </c>
      <c r="P98" s="48">
        <v>0.19040000000000001</v>
      </c>
      <c r="Q98" s="48">
        <v>0.19040000000000001</v>
      </c>
      <c r="R98" s="54">
        <f t="shared" si="40"/>
        <v>-3.9776485961514209E-2</v>
      </c>
      <c r="S98" s="54">
        <f t="shared" si="41"/>
        <v>2.3583891884429412E-3</v>
      </c>
      <c r="T98" s="54">
        <f t="shared" si="42"/>
        <v>2.5456088247772591E-3</v>
      </c>
      <c r="U98" s="55">
        <f t="shared" si="43"/>
        <v>1.0000000000001674E-4</v>
      </c>
      <c r="V98" s="56">
        <f t="shared" si="44"/>
        <v>1.0000000000001674E-4</v>
      </c>
    </row>
    <row r="99" spans="1:28" ht="14.25" customHeight="1">
      <c r="A99" s="168">
        <v>88</v>
      </c>
      <c r="B99" s="166" t="s">
        <v>143</v>
      </c>
      <c r="C99" s="167" t="s">
        <v>49</v>
      </c>
      <c r="D99" s="27">
        <v>8043482988.8299999</v>
      </c>
      <c r="E99" s="28">
        <f t="shared" si="51"/>
        <v>3.8456171817552114E-2</v>
      </c>
      <c r="F99" s="27">
        <v>5173.67</v>
      </c>
      <c r="G99" s="27">
        <v>5173.67</v>
      </c>
      <c r="H99" s="30">
        <v>246</v>
      </c>
      <c r="I99" s="48">
        <v>0</v>
      </c>
      <c r="J99" s="48">
        <v>1.1999999999999999E-3</v>
      </c>
      <c r="K99" s="27">
        <v>8003473774.4899998</v>
      </c>
      <c r="L99" s="28">
        <f t="shared" si="52"/>
        <v>3.8005575088473971E-2</v>
      </c>
      <c r="M99" s="27">
        <v>5173.71</v>
      </c>
      <c r="N99" s="27">
        <v>5173.71</v>
      </c>
      <c r="O99" s="30">
        <v>245</v>
      </c>
      <c r="P99" s="48">
        <v>0</v>
      </c>
      <c r="Q99" s="48">
        <v>1.1999999999999999E-3</v>
      </c>
      <c r="R99" s="54">
        <f t="shared" si="40"/>
        <v>-4.974115615780008E-3</v>
      </c>
      <c r="S99" s="54">
        <f t="shared" si="41"/>
        <v>7.7314556204712738E-6</v>
      </c>
      <c r="T99" s="54">
        <f t="shared" si="42"/>
        <v>-4.0650406504065045E-3</v>
      </c>
      <c r="U99" s="55">
        <f t="shared" si="43"/>
        <v>0</v>
      </c>
      <c r="V99" s="56">
        <f t="shared" si="44"/>
        <v>0</v>
      </c>
    </row>
    <row r="100" spans="1:28" ht="13.5" customHeight="1">
      <c r="A100" s="168">
        <v>89</v>
      </c>
      <c r="B100" s="166" t="s">
        <v>144</v>
      </c>
      <c r="C100" s="167" t="s">
        <v>49</v>
      </c>
      <c r="D100" s="27">
        <v>17743474961.049999</v>
      </c>
      <c r="E100" s="28">
        <f t="shared" si="51"/>
        <v>8.4832170676577293E-2</v>
      </c>
      <c r="F100" s="58">
        <v>259.08999999999997</v>
      </c>
      <c r="G100" s="58">
        <v>259.08999999999997</v>
      </c>
      <c r="H100" s="30">
        <v>6206</v>
      </c>
      <c r="I100" s="48">
        <v>0</v>
      </c>
      <c r="J100" s="48">
        <v>8.9999999999999998E-4</v>
      </c>
      <c r="K100" s="27">
        <v>17704709860.849998</v>
      </c>
      <c r="L100" s="28">
        <f t="shared" si="52"/>
        <v>8.407320358578392E-2</v>
      </c>
      <c r="M100" s="58">
        <v>259.08999999999997</v>
      </c>
      <c r="N100" s="58">
        <v>259.08999999999997</v>
      </c>
      <c r="O100" s="30">
        <v>6205</v>
      </c>
      <c r="P100" s="48">
        <v>0</v>
      </c>
      <c r="Q100" s="48">
        <v>8.9999999999999998E-4</v>
      </c>
      <c r="R100" s="54">
        <f t="shared" si="40"/>
        <v>-2.1847524391415364E-3</v>
      </c>
      <c r="S100" s="54">
        <f t="shared" si="41"/>
        <v>0</v>
      </c>
      <c r="T100" s="54">
        <f t="shared" si="42"/>
        <v>-1.6113438607798906E-4</v>
      </c>
      <c r="U100" s="55">
        <f t="shared" si="43"/>
        <v>0</v>
      </c>
      <c r="V100" s="56">
        <f t="shared" si="44"/>
        <v>0</v>
      </c>
    </row>
    <row r="101" spans="1:28" ht="13.5" customHeight="1">
      <c r="A101" s="168">
        <v>90</v>
      </c>
      <c r="B101" s="166" t="s">
        <v>145</v>
      </c>
      <c r="C101" s="167" t="s">
        <v>49</v>
      </c>
      <c r="D101" s="27">
        <v>466677109.04000002</v>
      </c>
      <c r="E101" s="28">
        <f t="shared" si="51"/>
        <v>2.2311994832938968E-3</v>
      </c>
      <c r="F101" s="33">
        <v>7706.86</v>
      </c>
      <c r="G101" s="33">
        <v>7741.71</v>
      </c>
      <c r="H101" s="30">
        <v>15</v>
      </c>
      <c r="I101" s="48">
        <v>7.9000000000000008E-3</v>
      </c>
      <c r="J101" s="48">
        <v>0.1346</v>
      </c>
      <c r="K101" s="27">
        <v>472971189.85000002</v>
      </c>
      <c r="L101" s="28">
        <f t="shared" si="52"/>
        <v>2.2459675107356115E-3</v>
      </c>
      <c r="M101" s="33">
        <v>7811.12</v>
      </c>
      <c r="N101" s="33">
        <v>7845.9</v>
      </c>
      <c r="O101" s="30">
        <v>15</v>
      </c>
      <c r="P101" s="48">
        <v>1.3100000000000001E-2</v>
      </c>
      <c r="Q101" s="48">
        <v>0.14990000000000001</v>
      </c>
      <c r="R101" s="54">
        <f t="shared" si="40"/>
        <v>1.3487014229062008E-2</v>
      </c>
      <c r="S101" s="54">
        <f t="shared" si="41"/>
        <v>1.3458266972025509E-2</v>
      </c>
      <c r="T101" s="54">
        <f t="shared" si="42"/>
        <v>0</v>
      </c>
      <c r="U101" s="55">
        <f t="shared" si="43"/>
        <v>5.1999999999999998E-3</v>
      </c>
      <c r="V101" s="56">
        <f t="shared" si="44"/>
        <v>1.5300000000000008E-2</v>
      </c>
    </row>
    <row r="102" spans="1:28" ht="15" customHeight="1">
      <c r="A102" s="168">
        <v>91</v>
      </c>
      <c r="B102" s="166" t="s">
        <v>146</v>
      </c>
      <c r="C102" s="167" t="s">
        <v>49</v>
      </c>
      <c r="D102" s="27">
        <v>6198806922.8800001</v>
      </c>
      <c r="E102" s="28">
        <f t="shared" si="51"/>
        <v>2.9636711412350455E-2</v>
      </c>
      <c r="F102" s="58">
        <v>147.41</v>
      </c>
      <c r="G102" s="58">
        <v>147.41</v>
      </c>
      <c r="H102" s="30">
        <v>4618</v>
      </c>
      <c r="I102" s="48">
        <v>3.0000000000000001E-3</v>
      </c>
      <c r="J102" s="48">
        <v>6.9099999999999995E-2</v>
      </c>
      <c r="K102" s="27">
        <v>6183120858.3500004</v>
      </c>
      <c r="L102" s="28">
        <f t="shared" si="52"/>
        <v>2.9361383654699973E-2</v>
      </c>
      <c r="M102" s="58">
        <v>147.80000000000001</v>
      </c>
      <c r="N102" s="58">
        <v>147.80000000000001</v>
      </c>
      <c r="O102" s="30">
        <v>4635</v>
      </c>
      <c r="P102" s="48">
        <v>2.5999999999999999E-3</v>
      </c>
      <c r="Q102" s="48">
        <v>7.1900000000000006E-2</v>
      </c>
      <c r="R102" s="54">
        <f t="shared" si="40"/>
        <v>-2.5304973562092978E-3</v>
      </c>
      <c r="S102" s="54">
        <f t="shared" si="41"/>
        <v>2.6456821111187491E-3</v>
      </c>
      <c r="T102" s="54">
        <f t="shared" si="42"/>
        <v>3.6812472932005198E-3</v>
      </c>
      <c r="U102" s="55">
        <f t="shared" si="43"/>
        <v>-4.0000000000000018E-4</v>
      </c>
      <c r="V102" s="56">
        <f t="shared" si="44"/>
        <v>2.8000000000000108E-3</v>
      </c>
    </row>
    <row r="103" spans="1:28" ht="15" customHeight="1">
      <c r="A103" s="168">
        <v>92</v>
      </c>
      <c r="B103" s="166" t="s">
        <v>147</v>
      </c>
      <c r="C103" s="167" t="s">
        <v>49</v>
      </c>
      <c r="D103" s="27">
        <v>7494233766.2200003</v>
      </c>
      <c r="E103" s="28">
        <f t="shared" si="51"/>
        <v>3.5830192188493502E-2</v>
      </c>
      <c r="F103" s="58">
        <v>367.44</v>
      </c>
      <c r="G103" s="58">
        <v>368</v>
      </c>
      <c r="H103" s="30">
        <v>10237</v>
      </c>
      <c r="I103" s="48">
        <v>2.7000000000000001E-3</v>
      </c>
      <c r="J103" s="48">
        <v>3.8800000000000001E-2</v>
      </c>
      <c r="K103" s="27">
        <v>7544980436.5900002</v>
      </c>
      <c r="L103" s="28">
        <f t="shared" si="52"/>
        <v>3.5828357611150025E-2</v>
      </c>
      <c r="M103" s="58">
        <v>369.45</v>
      </c>
      <c r="N103" s="58">
        <v>370.03</v>
      </c>
      <c r="O103" s="30">
        <v>10250</v>
      </c>
      <c r="P103" s="48">
        <v>5.4999999999999997E-3</v>
      </c>
      <c r="Q103" s="48">
        <v>4.4499999999999998E-2</v>
      </c>
      <c r="R103" s="54">
        <f t="shared" si="40"/>
        <v>6.7714288015325525E-3</v>
      </c>
      <c r="S103" s="54">
        <f t="shared" si="41"/>
        <v>5.5163043478260124E-3</v>
      </c>
      <c r="T103" s="54">
        <f t="shared" si="42"/>
        <v>1.2699032919800722E-3</v>
      </c>
      <c r="U103" s="55">
        <f t="shared" si="43"/>
        <v>2.7999999999999995E-3</v>
      </c>
      <c r="V103" s="56">
        <f t="shared" si="44"/>
        <v>5.6999999999999967E-3</v>
      </c>
    </row>
    <row r="104" spans="1:28">
      <c r="A104" s="168">
        <v>93</v>
      </c>
      <c r="B104" s="166" t="s">
        <v>148</v>
      </c>
      <c r="C104" s="167" t="s">
        <v>52</v>
      </c>
      <c r="D104" s="27">
        <v>86906112270.039993</v>
      </c>
      <c r="E104" s="28">
        <f t="shared" si="51"/>
        <v>0.41550114422984175</v>
      </c>
      <c r="F104" s="27">
        <v>2.028</v>
      </c>
      <c r="G104" s="27">
        <v>2.028</v>
      </c>
      <c r="H104" s="30">
        <v>6487</v>
      </c>
      <c r="I104" s="48">
        <v>8.3000000000000004E-2</v>
      </c>
      <c r="J104" s="48">
        <v>8.1799999999999998E-2</v>
      </c>
      <c r="K104" s="27">
        <v>87035160990.660004</v>
      </c>
      <c r="L104" s="28">
        <f t="shared" si="52"/>
        <v>0.41329820520074506</v>
      </c>
      <c r="M104" s="27">
        <v>2.0310000000000001</v>
      </c>
      <c r="N104" s="27">
        <v>2.0310000000000001</v>
      </c>
      <c r="O104" s="30">
        <v>6489</v>
      </c>
      <c r="P104" s="48">
        <v>9.4100000000000003E-2</v>
      </c>
      <c r="Q104" s="48">
        <v>8.2299999999999998E-2</v>
      </c>
      <c r="R104" s="54">
        <f t="shared" si="40"/>
        <v>1.4849211091047577E-3</v>
      </c>
      <c r="S104" s="54">
        <f t="shared" si="41"/>
        <v>1.4792899408284585E-3</v>
      </c>
      <c r="T104" s="54">
        <f t="shared" si="42"/>
        <v>3.0830892554339451E-4</v>
      </c>
      <c r="U104" s="55">
        <f t="shared" si="43"/>
        <v>1.1099999999999999E-2</v>
      </c>
      <c r="V104" s="56">
        <f t="shared" si="44"/>
        <v>5.0000000000000044E-4</v>
      </c>
    </row>
    <row r="105" spans="1:28">
      <c r="A105" s="168">
        <v>94</v>
      </c>
      <c r="B105" s="166" t="s">
        <v>149</v>
      </c>
      <c r="C105" s="167" t="s">
        <v>52</v>
      </c>
      <c r="D105" s="27">
        <v>29123562402.720001</v>
      </c>
      <c r="E105" s="28">
        <f t="shared" si="51"/>
        <v>0.13924076438696031</v>
      </c>
      <c r="F105" s="27">
        <v>117.7443</v>
      </c>
      <c r="G105" s="27">
        <v>117.7443</v>
      </c>
      <c r="H105" s="30">
        <v>634</v>
      </c>
      <c r="I105" s="48">
        <v>0.20150000000000001</v>
      </c>
      <c r="J105" s="48">
        <v>0.2147</v>
      </c>
      <c r="K105" s="27">
        <v>30816865271.34</v>
      </c>
      <c r="L105" s="28">
        <f t="shared" si="52"/>
        <v>0.14633804271270079</v>
      </c>
      <c r="M105" s="27">
        <v>118.15170000000001</v>
      </c>
      <c r="N105" s="27">
        <v>118.15170000000001</v>
      </c>
      <c r="O105" s="30">
        <v>661</v>
      </c>
      <c r="P105" s="48">
        <v>0.23380000000000001</v>
      </c>
      <c r="Q105" s="48">
        <v>0.2155</v>
      </c>
      <c r="R105" s="54">
        <f t="shared" ref="R105:R107" si="53">((K105-D105)/D105)</f>
        <v>5.8142024152301248E-2</v>
      </c>
      <c r="S105" s="54">
        <f t="shared" ref="S105:S107" si="54">((N105-G105)/G105)</f>
        <v>3.4600401038522438E-3</v>
      </c>
      <c r="T105" s="54">
        <f t="shared" ref="T105:T107" si="55">((O105-H105)/H105)</f>
        <v>4.2586750788643532E-2</v>
      </c>
      <c r="U105" s="55">
        <f t="shared" ref="U105:U107" si="56">P105-I105</f>
        <v>3.2299999999999995E-2</v>
      </c>
      <c r="V105" s="56">
        <f t="shared" ref="V105:V107" si="57">Q105-J105</f>
        <v>7.9999999999999516E-4</v>
      </c>
    </row>
    <row r="106" spans="1:28">
      <c r="A106" s="168">
        <v>95</v>
      </c>
      <c r="B106" s="166" t="s">
        <v>150</v>
      </c>
      <c r="C106" s="166" t="s">
        <v>151</v>
      </c>
      <c r="D106" s="27">
        <v>104912992.20999999</v>
      </c>
      <c r="E106" s="28">
        <f t="shared" si="51"/>
        <v>5.0159266326839467E-4</v>
      </c>
      <c r="F106" s="27">
        <v>115.72346647230178</v>
      </c>
      <c r="G106" s="27">
        <v>115.72346647230178</v>
      </c>
      <c r="H106" s="60">
        <v>72</v>
      </c>
      <c r="I106" s="61">
        <v>2.3191613405719063E-3</v>
      </c>
      <c r="J106" s="61">
        <v>4.8187523865223181E-2</v>
      </c>
      <c r="K106" s="27">
        <v>105150905.33</v>
      </c>
      <c r="L106" s="62">
        <f t="shared" si="52"/>
        <v>4.9932326146654837E-4</v>
      </c>
      <c r="M106" s="27">
        <v>115.9527594440504</v>
      </c>
      <c r="N106" s="27">
        <v>115.9527594440504</v>
      </c>
      <c r="O106" s="60">
        <v>72</v>
      </c>
      <c r="P106" s="61">
        <v>1.9813869972820177E-3</v>
      </c>
      <c r="Q106" s="61">
        <v>5.0264388995722831E-2</v>
      </c>
      <c r="R106" s="54">
        <f t="shared" si="53"/>
        <v>2.2677183729902959E-3</v>
      </c>
      <c r="S106" s="54">
        <f t="shared" si="54"/>
        <v>1.9813869972820177E-3</v>
      </c>
      <c r="T106" s="54">
        <f t="shared" si="55"/>
        <v>0</v>
      </c>
      <c r="U106" s="55">
        <f t="shared" si="56"/>
        <v>-3.3777434328988859E-4</v>
      </c>
      <c r="V106" s="56">
        <f t="shared" si="57"/>
        <v>2.0768651304996499E-3</v>
      </c>
    </row>
    <row r="107" spans="1:28">
      <c r="A107" s="168">
        <v>96</v>
      </c>
      <c r="B107" s="166" t="s">
        <v>152</v>
      </c>
      <c r="C107" s="167" t="s">
        <v>107</v>
      </c>
      <c r="D107" s="27">
        <v>295536409.00999999</v>
      </c>
      <c r="E107" s="28">
        <f t="shared" si="51"/>
        <v>1.4129698463978589E-3</v>
      </c>
      <c r="F107" s="27">
        <v>1.2121</v>
      </c>
      <c r="G107" s="27">
        <v>1.2121</v>
      </c>
      <c r="H107" s="30">
        <v>502</v>
      </c>
      <c r="I107" s="48">
        <v>2.5959999999999998E-3</v>
      </c>
      <c r="J107" s="48">
        <v>0.12590000000000001</v>
      </c>
      <c r="K107" s="27">
        <v>297320374.10000002</v>
      </c>
      <c r="L107" s="28">
        <f t="shared" si="52"/>
        <v>1.4118659124251051E-3</v>
      </c>
      <c r="M107" s="27">
        <v>1.22</v>
      </c>
      <c r="N107" s="27">
        <v>1.22</v>
      </c>
      <c r="O107" s="30">
        <v>505</v>
      </c>
      <c r="P107" s="48">
        <v>4.9399999999999997E-4</v>
      </c>
      <c r="Q107" s="48">
        <v>0.13156599999999999</v>
      </c>
      <c r="R107" s="54">
        <f t="shared" si="53"/>
        <v>6.0363631539546445E-3</v>
      </c>
      <c r="S107" s="54">
        <f t="shared" si="54"/>
        <v>6.5176140582460344E-3</v>
      </c>
      <c r="T107" s="54">
        <f t="shared" si="55"/>
        <v>5.9760956175298804E-3</v>
      </c>
      <c r="U107" s="55">
        <f t="shared" si="56"/>
        <v>-2.1019999999999997E-3</v>
      </c>
      <c r="V107" s="56">
        <f t="shared" si="57"/>
        <v>5.6659999999999766E-3</v>
      </c>
    </row>
    <row r="108" spans="1:28">
      <c r="A108" s="168">
        <v>97</v>
      </c>
      <c r="B108" s="166" t="s">
        <v>153</v>
      </c>
      <c r="C108" s="167" t="s">
        <v>109</v>
      </c>
      <c r="D108" s="27">
        <v>1970359402.5999999</v>
      </c>
      <c r="E108" s="28">
        <f t="shared" si="51"/>
        <v>9.4203568073607333E-3</v>
      </c>
      <c r="F108" s="58">
        <v>28.85</v>
      </c>
      <c r="G108" s="58">
        <v>28.85</v>
      </c>
      <c r="H108" s="30">
        <v>1302</v>
      </c>
      <c r="I108" s="48">
        <v>0</v>
      </c>
      <c r="J108" s="48">
        <v>0.115</v>
      </c>
      <c r="K108" s="27">
        <v>1971085707.7</v>
      </c>
      <c r="L108" s="28">
        <f t="shared" si="52"/>
        <v>9.3599664321488696E-3</v>
      </c>
      <c r="M108" s="58">
        <v>28.8963</v>
      </c>
      <c r="N108" s="58">
        <v>28.8963</v>
      </c>
      <c r="O108" s="30">
        <v>1299</v>
      </c>
      <c r="P108" s="48">
        <v>0</v>
      </c>
      <c r="Q108" s="48">
        <v>0.11600000000000001</v>
      </c>
      <c r="R108" s="54">
        <f t="shared" si="40"/>
        <v>3.686155424445625E-4</v>
      </c>
      <c r="S108" s="54">
        <f t="shared" si="41"/>
        <v>1.6048526863084462E-3</v>
      </c>
      <c r="T108" s="54">
        <f t="shared" si="42"/>
        <v>-2.304147465437788E-3</v>
      </c>
      <c r="U108" s="55">
        <f t="shared" si="43"/>
        <v>0</v>
      </c>
      <c r="V108" s="56">
        <f t="shared" si="44"/>
        <v>1.0000000000000009E-3</v>
      </c>
    </row>
    <row r="109" spans="1:28">
      <c r="A109" s="34"/>
      <c r="B109" s="35"/>
      <c r="C109" s="36" t="s">
        <v>53</v>
      </c>
      <c r="D109" s="46">
        <f>SUM(D72:D108)</f>
        <v>209159742342.28909</v>
      </c>
      <c r="E109" s="38">
        <f>(D109/$D$221)</f>
        <v>3.69474829354033E-2</v>
      </c>
      <c r="F109" s="39"/>
      <c r="G109" s="43"/>
      <c r="H109" s="41">
        <f>SUM(H72:H108)</f>
        <v>51106</v>
      </c>
      <c r="I109" s="51"/>
      <c r="J109" s="51"/>
      <c r="K109" s="46">
        <f>SUM(K72:K108)</f>
        <v>210586835111.91571</v>
      </c>
      <c r="L109" s="38">
        <f>(K109/$K$221)</f>
        <v>3.6900552658520221E-2</v>
      </c>
      <c r="M109" s="39"/>
      <c r="N109" s="43"/>
      <c r="O109" s="41">
        <f>SUM(O72:O108)</f>
        <v>51224</v>
      </c>
      <c r="P109" s="51"/>
      <c r="Q109" s="51"/>
      <c r="R109" s="54">
        <f t="shared" si="40"/>
        <v>6.8229801473516146E-3</v>
      </c>
      <c r="S109" s="54" t="e">
        <f t="shared" si="41"/>
        <v>#DIV/0!</v>
      </c>
      <c r="T109" s="54">
        <f t="shared" si="42"/>
        <v>2.3089265448283957E-3</v>
      </c>
      <c r="U109" s="55">
        <f t="shared" si="43"/>
        <v>0</v>
      </c>
      <c r="V109" s="56">
        <f t="shared" si="44"/>
        <v>0</v>
      </c>
    </row>
    <row r="110" spans="1:28" ht="3.75" customHeight="1">
      <c r="A110" s="34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</row>
    <row r="111" spans="1:28" ht="15" customHeight="1">
      <c r="A111" s="177" t="s">
        <v>154</v>
      </c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</row>
    <row r="112" spans="1:28">
      <c r="A112" s="179" t="s">
        <v>155</v>
      </c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Z112" s="63"/>
      <c r="AB112" s="66"/>
    </row>
    <row r="113" spans="1:27" ht="16.5" customHeight="1">
      <c r="A113" s="168">
        <v>98</v>
      </c>
      <c r="B113" s="166" t="s">
        <v>156</v>
      </c>
      <c r="C113" s="167" t="s">
        <v>19</v>
      </c>
      <c r="D113" s="27">
        <v>3188991408.7554317</v>
      </c>
      <c r="E113" s="28">
        <f t="shared" ref="E113:E118" si="58">(D113/$D$149)</f>
        <v>1.6454771066100648E-3</v>
      </c>
      <c r="F113" s="27">
        <v>179475.99913431998</v>
      </c>
      <c r="G113" s="27">
        <v>179475.99913431998</v>
      </c>
      <c r="H113" s="30">
        <v>196</v>
      </c>
      <c r="I113" s="48">
        <v>6.9999999999999999E-4</v>
      </c>
      <c r="J113" s="48">
        <v>2.76E-2</v>
      </c>
      <c r="K113" s="27">
        <f>1944840.11*W132</f>
        <v>3020561708.8307271</v>
      </c>
      <c r="L113" s="28">
        <f t="shared" ref="L113:L129" si="59">(K113/$K$149)</f>
        <v>1.5694479229381021E-3</v>
      </c>
      <c r="M113" s="27">
        <f>113.296*W132</f>
        <v>175961.79634720003</v>
      </c>
      <c r="N113" s="27">
        <f>113.296*W132</f>
        <v>175961.79634720003</v>
      </c>
      <c r="O113" s="30">
        <v>166</v>
      </c>
      <c r="P113" s="48">
        <v>1.2999999999999999E-3</v>
      </c>
      <c r="Q113" s="48">
        <v>2.8899999999999999E-2</v>
      </c>
      <c r="R113" s="55">
        <f>((K113-D113)/D113)</f>
        <v>-5.2815977949102609E-2</v>
      </c>
      <c r="S113" s="55">
        <f>((N113-G113)/G113)</f>
        <v>-1.9580349484445109E-2</v>
      </c>
      <c r="T113" s="55">
        <f>((O113-H113)/H113)</f>
        <v>-0.15306122448979592</v>
      </c>
      <c r="U113" s="55">
        <f>P113-I113</f>
        <v>5.9999999999999995E-4</v>
      </c>
      <c r="V113" s="56">
        <f>Q113-J113</f>
        <v>1.2999999999999991E-3</v>
      </c>
      <c r="X113" s="63"/>
      <c r="Y113" s="67"/>
      <c r="Z113" s="63"/>
      <c r="AA113" s="68"/>
    </row>
    <row r="114" spans="1:27" ht="16.5" customHeight="1">
      <c r="A114" s="168">
        <v>99</v>
      </c>
      <c r="B114" s="166" t="s">
        <v>157</v>
      </c>
      <c r="C114" s="167" t="s">
        <v>57</v>
      </c>
      <c r="D114" s="27">
        <v>4511594515.4276924</v>
      </c>
      <c r="E114" s="28">
        <f t="shared" si="58"/>
        <v>2.3279226996541376E-3</v>
      </c>
      <c r="F114" s="27">
        <v>158615.24</v>
      </c>
      <c r="G114" s="27">
        <v>158615.24</v>
      </c>
      <c r="H114" s="30">
        <v>68</v>
      </c>
      <c r="I114" s="48">
        <v>-2.8760000000000001E-3</v>
      </c>
      <c r="J114" s="48">
        <v>6.7084000000000005E-2</v>
      </c>
      <c r="K114" s="27">
        <f>2932474.85*W132</f>
        <v>4554472729.3901453</v>
      </c>
      <c r="L114" s="28">
        <f t="shared" si="59"/>
        <v>2.3664498375656818E-3</v>
      </c>
      <c r="M114" s="27">
        <f>100*W132</f>
        <v>155311.57</v>
      </c>
      <c r="N114" s="27">
        <f>100*W132</f>
        <v>155311.57</v>
      </c>
      <c r="O114" s="30">
        <v>70</v>
      </c>
      <c r="P114" s="48">
        <v>1.1993E-2</v>
      </c>
      <c r="Q114" s="48">
        <v>7.9076999999999995E-2</v>
      </c>
      <c r="R114" s="55">
        <f>((K114-D114)/D114)</f>
        <v>9.5040043638292479E-3</v>
      </c>
      <c r="S114" s="55">
        <f>((N114-G114)/G114)</f>
        <v>-2.0828200367127295E-2</v>
      </c>
      <c r="T114" s="55">
        <f>((O114-H114)/H114)</f>
        <v>2.9411764705882353E-2</v>
      </c>
      <c r="U114" s="55">
        <f>P114-I114</f>
        <v>1.4869E-2</v>
      </c>
      <c r="V114" s="56">
        <f>Q114-J114</f>
        <v>1.199299999999999E-2</v>
      </c>
      <c r="X114" s="63"/>
      <c r="Y114" s="67"/>
      <c r="Z114" s="63"/>
      <c r="AA114" s="68"/>
    </row>
    <row r="115" spans="1:27">
      <c r="A115" s="168">
        <v>100</v>
      </c>
      <c r="B115" s="166" t="s">
        <v>158</v>
      </c>
      <c r="C115" s="167" t="s">
        <v>23</v>
      </c>
      <c r="D115" s="27">
        <v>16792289194.705002</v>
      </c>
      <c r="E115" s="28">
        <f t="shared" si="58"/>
        <v>8.6645976409971976E-3</v>
      </c>
      <c r="F115" s="27">
        <v>1857.8076659999999</v>
      </c>
      <c r="G115" s="27">
        <v>1857.8076659999999</v>
      </c>
      <c r="H115" s="30">
        <v>306</v>
      </c>
      <c r="I115" s="48">
        <v>8.9300000000000004E-2</v>
      </c>
      <c r="J115" s="48">
        <v>7.2999999999999995E-2</v>
      </c>
      <c r="K115" s="27">
        <f>10478281.39*1560.1226</f>
        <v>16347403605.698414</v>
      </c>
      <c r="L115" s="28">
        <f t="shared" si="59"/>
        <v>8.4939163995182611E-3</v>
      </c>
      <c r="M115" s="27">
        <f>1.1719*1560.1226</f>
        <v>1828.3076749399997</v>
      </c>
      <c r="N115" s="27">
        <f>1.1719*1560.1226</f>
        <v>1828.3076749399997</v>
      </c>
      <c r="O115" s="30">
        <v>307</v>
      </c>
      <c r="P115" s="48">
        <v>7.3700000000000002E-2</v>
      </c>
      <c r="Q115" s="48">
        <v>8.4699999999999998E-2</v>
      </c>
      <c r="R115" s="55">
        <f t="shared" ref="R115:R127" si="60">((K115-D115)/D115)</f>
        <v>-2.6493444928692076E-2</v>
      </c>
      <c r="S115" s="55">
        <f t="shared" ref="S115:S127" si="61">((N115-G115)/G115)</f>
        <v>-1.5878926327995993E-2</v>
      </c>
      <c r="T115" s="55">
        <f t="shared" ref="T115:T127" si="62">((O115-H115)/H115)</f>
        <v>3.2679738562091504E-3</v>
      </c>
      <c r="U115" s="55">
        <f t="shared" ref="U115:U127" si="63">P115-I115</f>
        <v>-1.5600000000000003E-2</v>
      </c>
      <c r="V115" s="56">
        <f t="shared" ref="V115:V127" si="64">Q115-J115</f>
        <v>1.1700000000000002E-2</v>
      </c>
    </row>
    <row r="116" spans="1:27">
      <c r="A116" s="168">
        <v>101</v>
      </c>
      <c r="B116" s="166" t="s">
        <v>288</v>
      </c>
      <c r="C116" s="167" t="s">
        <v>23</v>
      </c>
      <c r="D116" s="27">
        <v>3244906652.7335696</v>
      </c>
      <c r="E116" s="28">
        <f t="shared" si="58"/>
        <v>1.6743286280108234E-3</v>
      </c>
      <c r="F116" s="27">
        <v>1619.6271959999999</v>
      </c>
      <c r="G116" s="27">
        <v>1619.6271959999999</v>
      </c>
      <c r="H116" s="30">
        <v>70</v>
      </c>
      <c r="I116" s="48">
        <v>6.1400000000000003E-2</v>
      </c>
      <c r="J116" s="48">
        <v>4.87E-2</v>
      </c>
      <c r="K116" s="27">
        <f>2074595.53*1560.1226</f>
        <v>3236623372.211978</v>
      </c>
      <c r="L116" s="28">
        <f t="shared" si="59"/>
        <v>1.6817109923628686E-3</v>
      </c>
      <c r="M116" s="27">
        <f>1.0212*1560.1226</f>
        <v>1593.1971991200001</v>
      </c>
      <c r="N116" s="27">
        <f>1.0212*1560.1226</f>
        <v>1593.1971991200001</v>
      </c>
      <c r="O116" s="30">
        <v>73</v>
      </c>
      <c r="P116" s="48">
        <v>6.13E-2</v>
      </c>
      <c r="Q116" s="48">
        <v>4.9299999999999997E-2</v>
      </c>
      <c r="R116" s="55">
        <f t="shared" si="60"/>
        <v>-2.5527022525019863E-3</v>
      </c>
      <c r="S116" s="55">
        <f t="shared" ref="S116" si="65">((N116-G116)/G116)</f>
        <v>-1.6318568214508954E-2</v>
      </c>
      <c r="T116" s="55">
        <f t="shared" ref="T116" si="66">((O116-H116)/H116)</f>
        <v>4.2857142857142858E-2</v>
      </c>
      <c r="U116" s="55">
        <f t="shared" ref="U116" si="67">P116-I116</f>
        <v>-1.0000000000000286E-4</v>
      </c>
      <c r="V116" s="56">
        <f t="shared" ref="V116" si="68">Q116-J116</f>
        <v>5.9999999999999637E-4</v>
      </c>
    </row>
    <row r="117" spans="1:27">
      <c r="A117" s="168">
        <v>102</v>
      </c>
      <c r="B117" s="166" t="s">
        <v>159</v>
      </c>
      <c r="C117" s="167" t="s">
        <v>27</v>
      </c>
      <c r="D117" s="27">
        <v>14695263922.430168</v>
      </c>
      <c r="E117" s="28">
        <f t="shared" si="58"/>
        <v>7.5825605216630794E-3</v>
      </c>
      <c r="F117" s="27">
        <v>1706.3827519200001</v>
      </c>
      <c r="G117" s="27">
        <v>1706.3827519200001</v>
      </c>
      <c r="H117" s="30">
        <v>428</v>
      </c>
      <c r="I117" s="48">
        <v>1.8E-3</v>
      </c>
      <c r="J117" s="48">
        <v>3.5099999999999999E-2</v>
      </c>
      <c r="K117" s="27">
        <f>11306380.73*W132</f>
        <v>17560117421.940464</v>
      </c>
      <c r="L117" s="28">
        <f t="shared" si="59"/>
        <v>9.1240280686343336E-3</v>
      </c>
      <c r="M117" s="27">
        <f>1.0772*W132</f>
        <v>1673.01623204</v>
      </c>
      <c r="N117" s="27">
        <f>1.0772*W132</f>
        <v>1673.01623204</v>
      </c>
      <c r="O117" s="30">
        <v>444</v>
      </c>
      <c r="P117" s="48">
        <v>1.2999999999999999E-3</v>
      </c>
      <c r="Q117" s="48">
        <v>3.6400000000000002E-2</v>
      </c>
      <c r="R117" s="55">
        <f t="shared" si="60"/>
        <v>0.19495080283230004</v>
      </c>
      <c r="S117" s="55">
        <f t="shared" ref="S117:T120" si="69">((N117-G117)/G117)</f>
        <v>-1.9553948164593545E-2</v>
      </c>
      <c r="T117" s="55">
        <f t="shared" si="69"/>
        <v>3.7383177570093455E-2</v>
      </c>
      <c r="U117" s="55">
        <f t="shared" si="63"/>
        <v>-5.0000000000000001E-4</v>
      </c>
      <c r="V117" s="56">
        <f t="shared" si="64"/>
        <v>1.3000000000000025E-3</v>
      </c>
    </row>
    <row r="118" spans="1:27">
      <c r="A118" s="168">
        <v>103</v>
      </c>
      <c r="B118" s="166" t="s">
        <v>160</v>
      </c>
      <c r="C118" s="167" t="s">
        <v>63</v>
      </c>
      <c r="D118" s="27">
        <v>798465295.53271604</v>
      </c>
      <c r="E118" s="28">
        <f t="shared" si="58"/>
        <v>4.1199746120811374E-4</v>
      </c>
      <c r="F118" s="27">
        <v>1792.3522119999998</v>
      </c>
      <c r="G118" s="27">
        <v>1792.3522119999998</v>
      </c>
      <c r="H118" s="30">
        <v>31</v>
      </c>
      <c r="I118" s="48">
        <v>0.01</v>
      </c>
      <c r="J118" s="48">
        <v>0.192</v>
      </c>
      <c r="K118" s="27">
        <f>504583.8*W132</f>
        <v>783677021.74566007</v>
      </c>
      <c r="L118" s="28">
        <f t="shared" si="59"/>
        <v>4.0718925570607179E-4</v>
      </c>
      <c r="M118" s="27">
        <f>1.11*W132</f>
        <v>1723.9584270000003</v>
      </c>
      <c r="N118" s="27">
        <f>1.12*W132</f>
        <v>1739.4895840000001</v>
      </c>
      <c r="O118" s="30">
        <v>31</v>
      </c>
      <c r="P118" s="48">
        <v>-0.60299999999999998</v>
      </c>
      <c r="Q118" s="48">
        <v>0.151</v>
      </c>
      <c r="R118" s="55">
        <f t="shared" si="60"/>
        <v>-1.8520872315671032E-2</v>
      </c>
      <c r="S118" s="55">
        <f t="shared" si="69"/>
        <v>-2.949343753201987E-2</v>
      </c>
      <c r="T118" s="55">
        <f t="shared" si="69"/>
        <v>0</v>
      </c>
      <c r="U118" s="55">
        <f t="shared" si="63"/>
        <v>-0.61299999999999999</v>
      </c>
      <c r="V118" s="56">
        <f t="shared" si="64"/>
        <v>-4.1000000000000009E-2</v>
      </c>
    </row>
    <row r="119" spans="1:27">
      <c r="A119" s="168">
        <v>104</v>
      </c>
      <c r="B119" s="166" t="s">
        <v>161</v>
      </c>
      <c r="C119" s="167" t="s">
        <v>29</v>
      </c>
      <c r="D119" s="27">
        <v>453188690.85725194</v>
      </c>
      <c r="E119" s="28">
        <v>0</v>
      </c>
      <c r="F119" s="27">
        <v>2061.5222742800001</v>
      </c>
      <c r="G119" s="27">
        <v>2061.5222742800001</v>
      </c>
      <c r="H119" s="30">
        <v>43</v>
      </c>
      <c r="I119" s="48">
        <v>7.6999999999999996E-4</v>
      </c>
      <c r="J119" s="48">
        <v>5.1999999999999998E-2</v>
      </c>
      <c r="K119" s="27">
        <f>286046.69*W132</f>
        <v>444263605.17203301</v>
      </c>
      <c r="L119" s="28">
        <f t="shared" si="59"/>
        <v>2.3083408305673992E-4</v>
      </c>
      <c r="M119" s="27">
        <f>1.3012*W132</f>
        <v>2020.9141488400001</v>
      </c>
      <c r="N119" s="27">
        <f>1.3012*W132</f>
        <v>2020.9141488400001</v>
      </c>
      <c r="O119" s="30">
        <v>43</v>
      </c>
      <c r="P119" s="48">
        <v>7.6999999999999996E-4</v>
      </c>
      <c r="Q119" s="48">
        <v>5.5800000000000002E-2</v>
      </c>
      <c r="R119" s="55">
        <f t="shared" si="60"/>
        <v>-1.9693972654825597E-2</v>
      </c>
      <c r="S119" s="55">
        <f t="shared" si="69"/>
        <v>-1.969812596576612E-2</v>
      </c>
      <c r="T119" s="55">
        <f t="shared" si="69"/>
        <v>0</v>
      </c>
      <c r="U119" s="55">
        <f t="shared" si="63"/>
        <v>0</v>
      </c>
      <c r="V119" s="56">
        <f t="shared" si="64"/>
        <v>3.8000000000000048E-3</v>
      </c>
    </row>
    <row r="120" spans="1:27">
      <c r="A120" s="168">
        <v>105</v>
      </c>
      <c r="B120" s="166" t="s">
        <v>162</v>
      </c>
      <c r="C120" s="167" t="s">
        <v>70</v>
      </c>
      <c r="D120" s="27">
        <v>836064245.09851587</v>
      </c>
      <c r="E120" s="28">
        <f t="shared" ref="E120:E129" si="70">(D120/$D$149)</f>
        <v>4.3139801856717394E-4</v>
      </c>
      <c r="F120" s="27">
        <v>168560.41554799999</v>
      </c>
      <c r="G120" s="27">
        <v>170098.98337599999</v>
      </c>
      <c r="H120" s="30">
        <v>52</v>
      </c>
      <c r="I120" s="48">
        <v>6.9999999999999999E-4</v>
      </c>
      <c r="J120" s="48">
        <v>1.46E-2</v>
      </c>
      <c r="K120" s="27">
        <f>527256.91*W132</f>
        <v>818890984.85448706</v>
      </c>
      <c r="L120" s="28">
        <f t="shared" si="59"/>
        <v>4.2548601193455533E-4</v>
      </c>
      <c r="M120" s="27">
        <f>106.3*W132</f>
        <v>165096.19891000001</v>
      </c>
      <c r="N120" s="27">
        <f>107.33*W132</f>
        <v>166695.908081</v>
      </c>
      <c r="O120" s="30">
        <v>52</v>
      </c>
      <c r="P120" s="48">
        <v>5.9999999999999995E-4</v>
      </c>
      <c r="Q120" s="48">
        <v>1.52E-2</v>
      </c>
      <c r="R120" s="55">
        <f t="shared" si="60"/>
        <v>-2.0540598817265811E-2</v>
      </c>
      <c r="S120" s="55">
        <f t="shared" si="69"/>
        <v>-2.0006441117155688E-2</v>
      </c>
      <c r="T120" s="55">
        <f t="shared" si="69"/>
        <v>0</v>
      </c>
      <c r="U120" s="55">
        <f t="shared" si="63"/>
        <v>-1.0000000000000005E-4</v>
      </c>
      <c r="V120" s="56">
        <f t="shared" si="64"/>
        <v>5.9999999999999984E-4</v>
      </c>
    </row>
    <row r="121" spans="1:27">
      <c r="A121" s="168">
        <v>106</v>
      </c>
      <c r="B121" s="166" t="s">
        <v>163</v>
      </c>
      <c r="C121" s="167" t="s">
        <v>73</v>
      </c>
      <c r="D121" s="27">
        <v>5294462650.980916</v>
      </c>
      <c r="E121" s="28">
        <f t="shared" si="70"/>
        <v>2.7318722339835758E-3</v>
      </c>
      <c r="F121" s="27">
        <v>181382.71293436</v>
      </c>
      <c r="G121" s="27">
        <v>181382.71293436</v>
      </c>
      <c r="H121" s="30">
        <v>61</v>
      </c>
      <c r="I121" s="48">
        <v>8.9999999999999993E-3</v>
      </c>
      <c r="J121" s="48">
        <v>7.0499999999999993E-2</v>
      </c>
      <c r="K121" s="27">
        <v>5258370561.8819218</v>
      </c>
      <c r="L121" s="28">
        <f t="shared" si="59"/>
        <v>2.7321867758096936E-3</v>
      </c>
      <c r="M121" s="27">
        <v>177846.19162601</v>
      </c>
      <c r="N121" s="27">
        <v>177846.19162601</v>
      </c>
      <c r="O121" s="30">
        <v>61</v>
      </c>
      <c r="P121" s="48" t="s">
        <v>313</v>
      </c>
      <c r="Q121" s="48">
        <v>7.1099999999999997E-2</v>
      </c>
      <c r="R121" s="55">
        <f t="shared" si="60"/>
        <v>-6.8169503646054426E-3</v>
      </c>
      <c r="S121" s="55">
        <f t="shared" si="61"/>
        <v>-1.9497565402662263E-2</v>
      </c>
      <c r="T121" s="55">
        <f t="shared" si="62"/>
        <v>0</v>
      </c>
      <c r="U121" s="55">
        <f t="shared" si="63"/>
        <v>0</v>
      </c>
      <c r="V121" s="56">
        <f t="shared" si="64"/>
        <v>6.0000000000000331E-4</v>
      </c>
      <c r="X121" s="64"/>
    </row>
    <row r="122" spans="1:27">
      <c r="A122" s="168">
        <v>107</v>
      </c>
      <c r="B122" s="166" t="s">
        <v>164</v>
      </c>
      <c r="C122" s="167" t="s">
        <v>31</v>
      </c>
      <c r="D122" s="27">
        <v>54982052318.024994</v>
      </c>
      <c r="E122" s="28">
        <f t="shared" si="70"/>
        <v>2.8370006929261494E-2</v>
      </c>
      <c r="F122" s="27">
        <v>206495.52000000002</v>
      </c>
      <c r="G122" s="27">
        <v>206495.52000000002</v>
      </c>
      <c r="H122" s="30">
        <v>2417</v>
      </c>
      <c r="I122" s="48">
        <v>1.1000000000000001E-3</v>
      </c>
      <c r="J122" s="48">
        <v>3.0499999999999999E-2</v>
      </c>
      <c r="K122" s="27">
        <f>35999185*1551</f>
        <v>55834735935</v>
      </c>
      <c r="L122" s="28">
        <f t="shared" si="59"/>
        <v>2.9011064427121078E-2</v>
      </c>
      <c r="M122" s="27">
        <f>130.32*1551</f>
        <v>202126.31999999998</v>
      </c>
      <c r="N122" s="27">
        <f>130.32*1551</f>
        <v>202126.31999999998</v>
      </c>
      <c r="O122" s="30">
        <v>2423</v>
      </c>
      <c r="P122" s="48">
        <v>5.9999999999999995E-4</v>
      </c>
      <c r="Q122" s="48">
        <v>3.1099999999999999E-2</v>
      </c>
      <c r="R122" s="55">
        <f t="shared" si="60"/>
        <v>1.5508399214400866E-2</v>
      </c>
      <c r="S122" s="55">
        <f t="shared" si="61"/>
        <v>-2.1158812549541221E-2</v>
      </c>
      <c r="T122" s="55">
        <f t="shared" si="62"/>
        <v>2.4824162184526274E-3</v>
      </c>
      <c r="U122" s="55">
        <f t="shared" si="63"/>
        <v>-5.0000000000000012E-4</v>
      </c>
      <c r="V122" s="56">
        <f t="shared" si="64"/>
        <v>5.9999999999999984E-4</v>
      </c>
    </row>
    <row r="123" spans="1:27">
      <c r="A123" s="168">
        <v>108</v>
      </c>
      <c r="B123" s="171" t="s">
        <v>165</v>
      </c>
      <c r="C123" s="171" t="s">
        <v>31</v>
      </c>
      <c r="D123" s="27">
        <v>149776221427.14001</v>
      </c>
      <c r="E123" s="28">
        <f t="shared" si="70"/>
        <v>7.7282536038283695E-2</v>
      </c>
      <c r="F123" s="27">
        <v>194620.125</v>
      </c>
      <c r="G123" s="27">
        <v>194620.125</v>
      </c>
      <c r="H123" s="30">
        <v>855</v>
      </c>
      <c r="I123" s="48">
        <v>1.6000000000000001E-3</v>
      </c>
      <c r="J123" s="48">
        <v>3.39E-2</v>
      </c>
      <c r="K123" s="27">
        <f>96086006.63*1551</f>
        <v>149029396283.13</v>
      </c>
      <c r="L123" s="28">
        <f t="shared" si="59"/>
        <v>7.7433901042140624E-2</v>
      </c>
      <c r="M123" s="27">
        <f>122.89*1551</f>
        <v>190602.39</v>
      </c>
      <c r="N123" s="27">
        <f>122.89*1551</f>
        <v>190602.39</v>
      </c>
      <c r="O123" s="30">
        <v>856</v>
      </c>
      <c r="P123" s="48">
        <v>1.1000000000000001E-3</v>
      </c>
      <c r="Q123" s="48">
        <v>3.5000000000000003E-2</v>
      </c>
      <c r="R123" s="55">
        <f t="shared" si="60"/>
        <v>-4.9862731005889983E-3</v>
      </c>
      <c r="S123" s="55">
        <f t="shared" si="61"/>
        <v>-2.064398530213659E-2</v>
      </c>
      <c r="T123" s="55">
        <f t="shared" si="62"/>
        <v>1.1695906432748538E-3</v>
      </c>
      <c r="U123" s="55">
        <f t="shared" si="63"/>
        <v>-5.0000000000000001E-4</v>
      </c>
      <c r="V123" s="56">
        <f t="shared" si="64"/>
        <v>1.1000000000000038E-3</v>
      </c>
      <c r="X123" s="63"/>
    </row>
    <row r="124" spans="1:27">
      <c r="A124" s="168">
        <v>109</v>
      </c>
      <c r="B124" s="166" t="s">
        <v>300</v>
      </c>
      <c r="C124" s="167" t="s">
        <v>299</v>
      </c>
      <c r="D124" s="27">
        <v>777188345.87015998</v>
      </c>
      <c r="E124" s="28">
        <f t="shared" si="70"/>
        <v>4.0101883847739451E-4</v>
      </c>
      <c r="F124" s="27">
        <v>1586.1523999999999</v>
      </c>
      <c r="G124" s="27">
        <v>1586.1523999999999</v>
      </c>
      <c r="H124" s="30">
        <v>7</v>
      </c>
      <c r="I124" s="48">
        <v>8.5699999999999998E-2</v>
      </c>
      <c r="J124" s="48">
        <v>8.7599999999999997E-2</v>
      </c>
      <c r="K124" s="27">
        <f>594729.02*W132</f>
        <v>923682978.20761406</v>
      </c>
      <c r="L124" s="28">
        <f t="shared" si="59"/>
        <v>4.7993468478496826E-4</v>
      </c>
      <c r="M124" s="27">
        <f>1*W132</f>
        <v>1553.1157000000001</v>
      </c>
      <c r="N124" s="27">
        <f>1*W132</f>
        <v>1553.1157000000001</v>
      </c>
      <c r="O124" s="30">
        <v>8</v>
      </c>
      <c r="P124" s="48">
        <v>7.9299999999999995E-2</v>
      </c>
      <c r="Q124" s="48">
        <v>8.8300000000000003E-2</v>
      </c>
      <c r="R124" s="55">
        <f t="shared" ref="R124" si="71">((K124-D124)/D124)</f>
        <v>0.18849308937260881</v>
      </c>
      <c r="S124" s="55">
        <f t="shared" ref="S124" si="72">((N124-G124)/G124)</f>
        <v>-2.0828200367127323E-2</v>
      </c>
      <c r="T124" s="55">
        <f t="shared" si="62"/>
        <v>0.14285714285714285</v>
      </c>
      <c r="U124" s="55">
        <f t="shared" si="63"/>
        <v>-6.4000000000000029E-3</v>
      </c>
      <c r="V124" s="56">
        <f t="shared" si="64"/>
        <v>7.0000000000000617E-4</v>
      </c>
    </row>
    <row r="125" spans="1:27">
      <c r="A125" s="168">
        <v>110</v>
      </c>
      <c r="B125" s="166" t="s">
        <v>166</v>
      </c>
      <c r="C125" s="167" t="s">
        <v>35</v>
      </c>
      <c r="D125" s="27">
        <v>257441464.55801201</v>
      </c>
      <c r="E125" s="28">
        <f t="shared" si="70"/>
        <v>1.3283636796867354E-4</v>
      </c>
      <c r="F125" s="27">
        <v>201631.693088</v>
      </c>
      <c r="G125" s="27">
        <v>201631.693088</v>
      </c>
      <c r="H125" s="30">
        <v>9</v>
      </c>
      <c r="I125" s="48">
        <v>2.0999999999999999E-3</v>
      </c>
      <c r="J125" s="48">
        <v>0.1212</v>
      </c>
      <c r="K125" s="27">
        <f>162305.63*W132</f>
        <v>252079422.15139103</v>
      </c>
      <c r="L125" s="28">
        <f t="shared" si="59"/>
        <v>1.3097746831468841E-4</v>
      </c>
      <c r="M125" s="27">
        <f>127.12*W132</f>
        <v>197432.06778400001</v>
      </c>
      <c r="N125" s="27">
        <f>127.12*W132</f>
        <v>197432.06778400001</v>
      </c>
      <c r="O125" s="30">
        <v>9</v>
      </c>
      <c r="P125" s="48">
        <v>2.0999999999999999E-3</v>
      </c>
      <c r="Q125" s="48">
        <v>0.1212</v>
      </c>
      <c r="R125" s="55">
        <f t="shared" si="60"/>
        <v>-2.0828200367127316E-2</v>
      </c>
      <c r="S125" s="55">
        <f t="shared" si="61"/>
        <v>-2.082820036712733E-2</v>
      </c>
      <c r="T125" s="55">
        <f t="shared" si="62"/>
        <v>0</v>
      </c>
      <c r="U125" s="55">
        <f t="shared" si="63"/>
        <v>0</v>
      </c>
      <c r="V125" s="56">
        <f t="shared" si="64"/>
        <v>0</v>
      </c>
    </row>
    <row r="126" spans="1:27">
      <c r="A126" s="168">
        <v>111</v>
      </c>
      <c r="B126" s="166" t="s">
        <v>167</v>
      </c>
      <c r="C126" s="167" t="s">
        <v>41</v>
      </c>
      <c r="D126" s="27">
        <v>17541385633.469517</v>
      </c>
      <c r="E126" s="28">
        <f t="shared" si="70"/>
        <v>9.0511214294420189E-3</v>
      </c>
      <c r="F126" s="27">
        <v>2236.4748839999997</v>
      </c>
      <c r="G126" s="27">
        <v>2236.4748839999997</v>
      </c>
      <c r="H126" s="44">
        <v>114</v>
      </c>
      <c r="I126" s="51">
        <v>8.0000000000000004E-4</v>
      </c>
      <c r="J126" s="51">
        <v>4.9099999999999998E-2</v>
      </c>
      <c r="K126" s="27">
        <f>10943206.98*W132</f>
        <v>16996066568.987587</v>
      </c>
      <c r="L126" s="28">
        <f t="shared" si="59"/>
        <v>8.8309539569516281E-3</v>
      </c>
      <c r="M126" s="27">
        <f>1.42*W132</f>
        <v>2205.4242939999999</v>
      </c>
      <c r="N126" s="27">
        <f>1.42*W132</f>
        <v>2205.4242939999999</v>
      </c>
      <c r="O126" s="44">
        <v>114</v>
      </c>
      <c r="P126" s="51">
        <v>8.9999999999999998E-4</v>
      </c>
      <c r="Q126" s="51">
        <v>4.9099999999999998E-2</v>
      </c>
      <c r="R126" s="55">
        <f t="shared" si="60"/>
        <v>-3.1087570610239808E-2</v>
      </c>
      <c r="S126" s="55">
        <f t="shared" si="61"/>
        <v>-1.3883719518667232E-2</v>
      </c>
      <c r="T126" s="55">
        <f t="shared" si="62"/>
        <v>0</v>
      </c>
      <c r="U126" s="55">
        <f t="shared" si="63"/>
        <v>9.9999999999999937E-5</v>
      </c>
      <c r="V126" s="56">
        <f t="shared" si="64"/>
        <v>0</v>
      </c>
    </row>
    <row r="127" spans="1:27">
      <c r="A127" s="168">
        <v>112</v>
      </c>
      <c r="B127" s="166" t="s">
        <v>168</v>
      </c>
      <c r="C127" s="167" t="s">
        <v>87</v>
      </c>
      <c r="D127" s="27">
        <v>30716252213.94836</v>
      </c>
      <c r="E127" s="28">
        <f t="shared" si="70"/>
        <v>1.5849177166218247E-2</v>
      </c>
      <c r="F127" s="27">
        <v>166101.87932799998</v>
      </c>
      <c r="G127" s="27">
        <v>166101.87932799998</v>
      </c>
      <c r="H127" s="30">
        <v>645</v>
      </c>
      <c r="I127" s="51">
        <v>1.1000000000000001E-3</v>
      </c>
      <c r="J127" s="48">
        <v>9.4600000000000004E-2</v>
      </c>
      <c r="K127" s="27">
        <f>19919867.38*W132</f>
        <v>30937858769.795864</v>
      </c>
      <c r="L127" s="28">
        <f t="shared" si="59"/>
        <v>1.6074943294306827E-2</v>
      </c>
      <c r="M127" s="27">
        <f>104.86*W132</f>
        <v>162859.712302</v>
      </c>
      <c r="N127" s="27">
        <f>104.86*W132</f>
        <v>162859.712302</v>
      </c>
      <c r="O127" s="30">
        <v>649</v>
      </c>
      <c r="P127" s="51">
        <v>1.2999999999999999E-3</v>
      </c>
      <c r="Q127" s="48">
        <v>9.4600000000000004E-2</v>
      </c>
      <c r="R127" s="55">
        <f t="shared" si="60"/>
        <v>7.2146352459910891E-3</v>
      </c>
      <c r="S127" s="55">
        <f t="shared" si="61"/>
        <v>-1.9519147159061945E-2</v>
      </c>
      <c r="T127" s="55">
        <f t="shared" si="62"/>
        <v>6.2015503875968991E-3</v>
      </c>
      <c r="U127" s="55">
        <f t="shared" si="63"/>
        <v>1.9999999999999987E-4</v>
      </c>
      <c r="V127" s="56">
        <f t="shared" si="64"/>
        <v>0</v>
      </c>
    </row>
    <row r="128" spans="1:27">
      <c r="A128" s="168">
        <v>113</v>
      </c>
      <c r="B128" s="166" t="s">
        <v>169</v>
      </c>
      <c r="C128" s="167" t="s">
        <v>45</v>
      </c>
      <c r="D128" s="27">
        <v>2738026471.839932</v>
      </c>
      <c r="E128" s="28">
        <f t="shared" si="70"/>
        <v>1.4127852036024276E-3</v>
      </c>
      <c r="F128" s="27">
        <v>220818.55863000921</v>
      </c>
      <c r="G128" s="27">
        <v>228500.46442151596</v>
      </c>
      <c r="H128" s="30">
        <v>50</v>
      </c>
      <c r="I128" s="48">
        <v>8.0000000000000004E-4</v>
      </c>
      <c r="J128" s="48">
        <v>1.5599999999999999E-2</v>
      </c>
      <c r="K128" s="27">
        <f>1727874.41*W132</f>
        <v>2683588873.7992368</v>
      </c>
      <c r="L128" s="28">
        <f t="shared" si="59"/>
        <v>1.3943608474181451E-3</v>
      </c>
      <c r="M128" s="27">
        <f>139.351004*W132</f>
        <v>216428.2321231628</v>
      </c>
      <c r="N128" s="27">
        <f>144.229939*W132</f>
        <v>224005.78267094231</v>
      </c>
      <c r="O128" s="30">
        <v>50</v>
      </c>
      <c r="P128" s="48">
        <v>5.0000000000000001E-4</v>
      </c>
      <c r="Q128" s="48">
        <v>1.66E-2</v>
      </c>
      <c r="R128" s="55">
        <f t="shared" ref="R128:R129" si="73">((K128-D128)/D128)</f>
        <v>-1.9882056875846623E-2</v>
      </c>
      <c r="S128" s="55">
        <f t="shared" ref="S128:S129" si="74">((N128-G128)/G128)</f>
        <v>-1.9670339672843255E-2</v>
      </c>
      <c r="T128" s="55">
        <f t="shared" ref="T128:T129" si="75">((O128-H128)/H128)</f>
        <v>0</v>
      </c>
      <c r="U128" s="55">
        <f t="shared" ref="U128:U129" si="76">P128-I128</f>
        <v>-3.0000000000000003E-4</v>
      </c>
      <c r="V128" s="56">
        <f t="shared" ref="V128:V129" si="77">Q128-J128</f>
        <v>1.0000000000000009E-3</v>
      </c>
    </row>
    <row r="129" spans="1:24">
      <c r="A129" s="168">
        <v>114</v>
      </c>
      <c r="B129" s="166" t="s">
        <v>170</v>
      </c>
      <c r="C129" s="167" t="s">
        <v>52</v>
      </c>
      <c r="D129" s="31">
        <v>177935500532.57999</v>
      </c>
      <c r="E129" s="28">
        <f t="shared" si="70"/>
        <v>9.1812349125716244E-2</v>
      </c>
      <c r="F129" s="27">
        <v>203088.1832</v>
      </c>
      <c r="G129" s="27">
        <v>203088.1832</v>
      </c>
      <c r="H129" s="30">
        <v>3713</v>
      </c>
      <c r="I129" s="48">
        <v>4.6699999999999998E-2</v>
      </c>
      <c r="J129" s="48">
        <v>6.5000000000000002E-2</v>
      </c>
      <c r="K129" s="31">
        <f>112089022.78*1559.8</f>
        <v>174836457732.24399</v>
      </c>
      <c r="L129" s="28">
        <f t="shared" si="59"/>
        <v>9.0842943098800588E-2</v>
      </c>
      <c r="M129" s="27">
        <f>127.9366*1559.8</f>
        <v>199555.50868</v>
      </c>
      <c r="N129" s="27">
        <f>127.9366*1559.8</f>
        <v>199555.50868</v>
      </c>
      <c r="O129" s="30">
        <v>3723</v>
      </c>
      <c r="P129" s="48">
        <v>6.2700000000000006E-2</v>
      </c>
      <c r="Q129" s="48">
        <v>6.4899999999999999E-2</v>
      </c>
      <c r="R129" s="55">
        <f t="shared" si="73"/>
        <v>-1.74166638532515E-2</v>
      </c>
      <c r="S129" s="55">
        <f t="shared" si="74"/>
        <v>-1.7394781243973433E-2</v>
      </c>
      <c r="T129" s="55">
        <f t="shared" si="75"/>
        <v>2.6932399676811202E-3</v>
      </c>
      <c r="U129" s="55">
        <f t="shared" si="76"/>
        <v>1.6000000000000007E-2</v>
      </c>
      <c r="V129" s="56">
        <f t="shared" si="77"/>
        <v>-1.0000000000000286E-4</v>
      </c>
    </row>
    <row r="130" spans="1:24" ht="6" customHeight="1">
      <c r="A130" s="34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</row>
    <row r="131" spans="1:24">
      <c r="A131" s="179" t="s">
        <v>171</v>
      </c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</row>
    <row r="132" spans="1:24">
      <c r="A132" s="168">
        <v>115</v>
      </c>
      <c r="B132" s="166" t="s">
        <v>172</v>
      </c>
      <c r="C132" s="167" t="s">
        <v>115</v>
      </c>
      <c r="D132" s="31">
        <v>1861556580.5038161</v>
      </c>
      <c r="E132" s="28">
        <f t="shared" ref="E132:E145" si="78">(D132/$D$149)</f>
        <v>9.6053840956373138E-4</v>
      </c>
      <c r="F132" s="27">
        <v>167592.86258399999</v>
      </c>
      <c r="G132" s="27">
        <v>167592.86258399999</v>
      </c>
      <c r="H132" s="30">
        <v>20</v>
      </c>
      <c r="I132" s="48">
        <v>6.6E-3</v>
      </c>
      <c r="J132" s="48">
        <v>8.1000000000000003E-2</v>
      </c>
      <c r="K132" s="31">
        <f>1200849.06*W132</f>
        <v>1865057528.4162421</v>
      </c>
      <c r="L132" s="28">
        <f t="shared" ref="L132:L148" si="79">(K132/$K$149)</f>
        <v>9.6906169987370956E-4</v>
      </c>
      <c r="M132" s="27">
        <f>108.11*W132</f>
        <v>167907.338327</v>
      </c>
      <c r="N132" s="27">
        <f>108.11*W132</f>
        <v>167907.338327</v>
      </c>
      <c r="O132" s="30">
        <v>23</v>
      </c>
      <c r="P132" s="48">
        <v>2.2700000000000001E-2</v>
      </c>
      <c r="Q132" s="48">
        <v>0.1139</v>
      </c>
      <c r="R132" s="55">
        <f>((K132-D132)/D132)</f>
        <v>1.8806561933661398E-3</v>
      </c>
      <c r="S132" s="55">
        <f>((N132-G132)/G132)</f>
        <v>1.8764268248141977E-3</v>
      </c>
      <c r="T132" s="55">
        <f>((O132-H132)/H132)</f>
        <v>0.15</v>
      </c>
      <c r="U132" s="55">
        <f>P132-I132</f>
        <v>1.6100000000000003E-2</v>
      </c>
      <c r="V132" s="56">
        <f>Q132-J132</f>
        <v>3.2899999999999999E-2</v>
      </c>
      <c r="W132" s="136">
        <v>1553.1157000000001</v>
      </c>
    </row>
    <row r="133" spans="1:24">
      <c r="A133" s="168">
        <v>116</v>
      </c>
      <c r="B133" s="167" t="s">
        <v>173</v>
      </c>
      <c r="C133" s="167" t="s">
        <v>25</v>
      </c>
      <c r="D133" s="27">
        <v>19541464852.584808</v>
      </c>
      <c r="E133" s="28">
        <f t="shared" si="78"/>
        <v>1.0083135676148679E-2</v>
      </c>
      <c r="F133" s="31">
        <v>217080.81746400002</v>
      </c>
      <c r="G133" s="31">
        <v>217080.81746400002</v>
      </c>
      <c r="H133" s="30">
        <v>574</v>
      </c>
      <c r="I133" s="48">
        <v>5.0000000000000001E-4</v>
      </c>
      <c r="J133" s="48">
        <v>2.3300000000000001E-2</v>
      </c>
      <c r="K133" s="27">
        <f>11835327.52*W132</f>
        <v>18381632985.954063</v>
      </c>
      <c r="L133" s="28">
        <f t="shared" si="79"/>
        <v>9.5508777806706992E-3</v>
      </c>
      <c r="M133" s="31">
        <f>136.99*W132</f>
        <v>212761.31974300003</v>
      </c>
      <c r="N133" s="31">
        <f>136.99*W132</f>
        <v>212761.31974300003</v>
      </c>
      <c r="O133" s="30">
        <v>576</v>
      </c>
      <c r="P133" s="48">
        <v>5.0000000000000001E-4</v>
      </c>
      <c r="Q133" s="48">
        <v>2.4299999999999999E-2</v>
      </c>
      <c r="R133" s="55">
        <f t="shared" ref="R133:R149" si="80">((K133-D133)/D133)</f>
        <v>-5.9352350265457737E-2</v>
      </c>
      <c r="S133" s="55">
        <f t="shared" ref="S133:S149" si="81">((N133-G133)/G133)</f>
        <v>-1.9898108784836891E-2</v>
      </c>
      <c r="T133" s="55">
        <f t="shared" ref="T133:T149" si="82">((O133-H133)/H133)</f>
        <v>3.4843205574912892E-3</v>
      </c>
      <c r="U133" s="55">
        <f t="shared" ref="U133:U149" si="83">P133-I133</f>
        <v>0</v>
      </c>
      <c r="V133" s="56">
        <f t="shared" ref="V133:V149" si="84">Q133-J133</f>
        <v>9.9999999999999742E-4</v>
      </c>
    </row>
    <row r="134" spans="1:24">
      <c r="A134" s="168">
        <v>117</v>
      </c>
      <c r="B134" s="166" t="s">
        <v>174</v>
      </c>
      <c r="C134" s="167" t="s">
        <v>67</v>
      </c>
      <c r="D134" s="31">
        <v>16005773437.299999</v>
      </c>
      <c r="E134" s="28">
        <f t="shared" si="78"/>
        <v>8.258765982359053E-3</v>
      </c>
      <c r="F134" s="31">
        <v>171407.14</v>
      </c>
      <c r="G134" s="31">
        <v>171407.14</v>
      </c>
      <c r="H134" s="30">
        <v>698</v>
      </c>
      <c r="I134" s="48">
        <v>1.1000000000000001E-3</v>
      </c>
      <c r="J134" s="48">
        <v>6.3500000000000001E-2</v>
      </c>
      <c r="K134" s="31">
        <v>16224687476.52</v>
      </c>
      <c r="L134" s="28">
        <f t="shared" si="79"/>
        <v>8.4301545589682073E-3</v>
      </c>
      <c r="M134" s="31">
        <v>171587.16</v>
      </c>
      <c r="N134" s="31">
        <v>171587.16</v>
      </c>
      <c r="O134" s="30">
        <v>698</v>
      </c>
      <c r="P134" s="48">
        <v>1.1000000000000001E-3</v>
      </c>
      <c r="Q134" s="48">
        <v>6.3500000000000001E-2</v>
      </c>
      <c r="R134" s="55">
        <f t="shared" si="80"/>
        <v>1.3677192175533483E-2</v>
      </c>
      <c r="S134" s="55">
        <f t="shared" si="81"/>
        <v>1.0502479651663839E-3</v>
      </c>
      <c r="T134" s="55">
        <f t="shared" si="82"/>
        <v>0</v>
      </c>
      <c r="U134" s="55">
        <f t="shared" si="83"/>
        <v>0</v>
      </c>
      <c r="V134" s="56">
        <f t="shared" si="84"/>
        <v>0</v>
      </c>
    </row>
    <row r="135" spans="1:24">
      <c r="A135" s="168">
        <v>118</v>
      </c>
      <c r="B135" s="166" t="s">
        <v>295</v>
      </c>
      <c r="C135" s="167" t="s">
        <v>296</v>
      </c>
      <c r="D135" s="27">
        <v>196341097.619324</v>
      </c>
      <c r="E135" s="28">
        <f t="shared" ref="E135" si="85">(D135/$D$109)</f>
        <v>9.3871361391339146E-4</v>
      </c>
      <c r="F135" s="33">
        <f>0.9691*W132</f>
        <v>1505.12442487</v>
      </c>
      <c r="G135" s="33">
        <f>0.9691*W132</f>
        <v>1505.12442487</v>
      </c>
      <c r="H135" s="30">
        <v>3</v>
      </c>
      <c r="I135" s="48">
        <v>2.0000000000000001E-4</v>
      </c>
      <c r="J135" s="48">
        <v>2.5600000000000001E-2</v>
      </c>
      <c r="K135" s="27">
        <f>123866.19*W132</f>
        <v>192378524.388183</v>
      </c>
      <c r="L135" s="28">
        <f t="shared" ref="L135" si="86">(K135/$K$109)</f>
        <v>9.1353537976836979E-4</v>
      </c>
      <c r="M135" s="33">
        <f>0.9694*W132</f>
        <v>1505.59035958</v>
      </c>
      <c r="N135" s="33">
        <f>0.9694*W132</f>
        <v>1505.59035958</v>
      </c>
      <c r="O135" s="30">
        <v>3</v>
      </c>
      <c r="P135" s="48">
        <v>3.0956557630790194E-4</v>
      </c>
      <c r="Q135" s="48">
        <v>2.586366389574668E-2</v>
      </c>
      <c r="R135" s="54">
        <f t="shared" si="80"/>
        <v>-2.0182087597492387E-2</v>
      </c>
      <c r="S135" s="54">
        <f t="shared" si="81"/>
        <v>3.095655763079517E-4</v>
      </c>
      <c r="T135" s="54">
        <f t="shared" si="82"/>
        <v>0</v>
      </c>
      <c r="U135" s="55">
        <f t="shared" si="83"/>
        <v>1.0956557630790193E-4</v>
      </c>
      <c r="V135" s="56">
        <f t="shared" si="84"/>
        <v>2.6366389574667901E-4</v>
      </c>
    </row>
    <row r="136" spans="1:24">
      <c r="A136" s="168">
        <v>119</v>
      </c>
      <c r="B136" s="166" t="s">
        <v>175</v>
      </c>
      <c r="C136" s="167" t="s">
        <v>65</v>
      </c>
      <c r="D136" s="31">
        <v>9248182733.9808788</v>
      </c>
      <c r="E136" s="28">
        <f t="shared" si="78"/>
        <v>4.7719391544083899E-3</v>
      </c>
      <c r="F136" s="31">
        <v>2057.9390218683343</v>
      </c>
      <c r="G136" s="31">
        <v>2057.9390218683343</v>
      </c>
      <c r="H136" s="30">
        <v>257</v>
      </c>
      <c r="I136" s="48">
        <v>7.4746236774428418E-2</v>
      </c>
      <c r="J136" s="48">
        <v>6.4831073716539928E-2</v>
      </c>
      <c r="K136" s="31">
        <v>9524055283.275383</v>
      </c>
      <c r="L136" s="28">
        <f t="shared" si="79"/>
        <v>4.9485858006425082E-3</v>
      </c>
      <c r="M136" s="31">
        <v>2022.3478974219975</v>
      </c>
      <c r="N136" s="31">
        <v>2022.3478974219975</v>
      </c>
      <c r="O136" s="30">
        <v>260</v>
      </c>
      <c r="P136" s="48">
        <v>5.746357492268362E-2</v>
      </c>
      <c r="Q136" s="48">
        <v>6.457084750777331E-2</v>
      </c>
      <c r="R136" s="55">
        <f t="shared" si="80"/>
        <v>2.9829919804769567E-2</v>
      </c>
      <c r="S136" s="55">
        <f t="shared" si="81"/>
        <v>-1.7294547636316666E-2</v>
      </c>
      <c r="T136" s="54">
        <f t="shared" si="82"/>
        <v>1.1673151750972763E-2</v>
      </c>
      <c r="U136" s="55">
        <f t="shared" si="83"/>
        <v>-1.7282661851744797E-2</v>
      </c>
      <c r="V136" s="56">
        <f t="shared" si="84"/>
        <v>-2.602262087666174E-4</v>
      </c>
    </row>
    <row r="137" spans="1:24">
      <c r="A137" s="168">
        <v>120</v>
      </c>
      <c r="B137" s="166" t="s">
        <v>302</v>
      </c>
      <c r="C137" s="167" t="s">
        <v>37</v>
      </c>
      <c r="D137" s="31">
        <v>95782842669.206665</v>
      </c>
      <c r="E137" s="28">
        <f t="shared" si="78"/>
        <v>4.9422671502186058E-2</v>
      </c>
      <c r="F137" s="31">
        <v>158615.24</v>
      </c>
      <c r="G137" s="31">
        <v>158615.24</v>
      </c>
      <c r="H137" s="30">
        <v>1854</v>
      </c>
      <c r="I137" s="48">
        <v>4.8000000000000001E-2</v>
      </c>
      <c r="J137" s="48">
        <v>4.7849799999999998E-2</v>
      </c>
      <c r="K137" s="31">
        <v>96405140473.311646</v>
      </c>
      <c r="L137" s="28">
        <f t="shared" si="79"/>
        <v>5.0090963887297946E-2</v>
      </c>
      <c r="M137" s="31">
        <f>100*1586.1524</f>
        <v>158615.24</v>
      </c>
      <c r="N137" s="31">
        <f>100*1586.1524</f>
        <v>158615.24</v>
      </c>
      <c r="O137" s="30">
        <v>1862</v>
      </c>
      <c r="P137" s="48">
        <v>4.41E-2</v>
      </c>
      <c r="Q137" s="48">
        <v>4.7683400000000001E-2</v>
      </c>
      <c r="R137" s="55">
        <f t="shared" si="80"/>
        <v>6.4969652890145817E-3</v>
      </c>
      <c r="S137" s="55">
        <f t="shared" si="81"/>
        <v>0</v>
      </c>
      <c r="T137" s="55">
        <f t="shared" si="82"/>
        <v>4.3149946062567418E-3</v>
      </c>
      <c r="U137" s="55">
        <f t="shared" si="83"/>
        <v>-3.9000000000000007E-3</v>
      </c>
      <c r="V137" s="56">
        <f t="shared" si="84"/>
        <v>-1.6639999999999711E-4</v>
      </c>
    </row>
    <row r="138" spans="1:24" ht="15.6">
      <c r="A138" s="168">
        <v>121</v>
      </c>
      <c r="B138" s="166" t="s">
        <v>176</v>
      </c>
      <c r="C138" s="167" t="s">
        <v>132</v>
      </c>
      <c r="D138" s="31">
        <v>1579637627.9705279</v>
      </c>
      <c r="E138" s="28">
        <f t="shared" si="78"/>
        <v>8.150719837090257E-4</v>
      </c>
      <c r="F138" s="31">
        <v>1760.6291640000002</v>
      </c>
      <c r="G138" s="31">
        <v>1824.0752599999998</v>
      </c>
      <c r="H138" s="30">
        <v>53</v>
      </c>
      <c r="I138" s="48">
        <v>1.9E-3</v>
      </c>
      <c r="J138" s="48">
        <v>9.2299999999999993E-2</v>
      </c>
      <c r="K138" s="31">
        <f>1001282.62*W132</f>
        <v>1555107757.2591341</v>
      </c>
      <c r="L138" s="28">
        <f t="shared" si="79"/>
        <v>8.0801548680164818E-4</v>
      </c>
      <c r="M138" s="31">
        <f>1.11*W132</f>
        <v>1723.9584270000003</v>
      </c>
      <c r="N138" s="31">
        <f>1.15*W132</f>
        <v>1786.0830549999998</v>
      </c>
      <c r="O138" s="30">
        <v>53</v>
      </c>
      <c r="P138" s="48">
        <v>1.9E-3</v>
      </c>
      <c r="Q138" s="48">
        <v>9.2299999999999993E-2</v>
      </c>
      <c r="R138" s="55">
        <f t="shared" si="80"/>
        <v>-1.552879614732215E-2</v>
      </c>
      <c r="S138" s="55">
        <f t="shared" si="81"/>
        <v>-2.0828200367127403E-2</v>
      </c>
      <c r="T138" s="55">
        <f t="shared" si="82"/>
        <v>0</v>
      </c>
      <c r="U138" s="55">
        <f t="shared" si="83"/>
        <v>0</v>
      </c>
      <c r="V138" s="56">
        <f t="shared" si="84"/>
        <v>0</v>
      </c>
      <c r="X138" s="65"/>
    </row>
    <row r="139" spans="1:24" ht="15.6">
      <c r="A139" s="168">
        <v>122</v>
      </c>
      <c r="B139" s="166" t="s">
        <v>177</v>
      </c>
      <c r="C139" s="167" t="s">
        <v>43</v>
      </c>
      <c r="D139" s="27">
        <v>5211146966.619832</v>
      </c>
      <c r="E139" s="28">
        <f t="shared" si="78"/>
        <v>2.6888824501725187E-3</v>
      </c>
      <c r="F139" s="31">
        <v>16918.456651739998</v>
      </c>
      <c r="G139" s="31">
        <v>16918.456651739998</v>
      </c>
      <c r="H139" s="30">
        <v>68</v>
      </c>
      <c r="I139" s="48">
        <v>7.6899999999999996E-2</v>
      </c>
      <c r="J139" s="48">
        <v>9.69E-2</v>
      </c>
      <c r="K139" s="27">
        <f>3338404.95*W132</f>
        <v>5184929140.8027153</v>
      </c>
      <c r="L139" s="28">
        <f t="shared" si="79"/>
        <v>2.6940274872795473E-3</v>
      </c>
      <c r="M139" s="31">
        <f>10.67989*W132</f>
        <v>16587.104833273002</v>
      </c>
      <c r="N139" s="31">
        <f>10.67989*W132</f>
        <v>16587.104833273002</v>
      </c>
      <c r="O139" s="30">
        <v>68</v>
      </c>
      <c r="P139" s="48">
        <v>7.6999999999999999E-2</v>
      </c>
      <c r="Q139" s="48">
        <v>9.69E-2</v>
      </c>
      <c r="R139" s="55">
        <f t="shared" si="80"/>
        <v>-5.0311046656438315E-3</v>
      </c>
      <c r="S139" s="55">
        <f t="shared" si="81"/>
        <v>-1.9585227263204139E-2</v>
      </c>
      <c r="T139" s="55">
        <f t="shared" si="82"/>
        <v>0</v>
      </c>
      <c r="U139" s="55">
        <f t="shared" si="83"/>
        <v>1.0000000000000286E-4</v>
      </c>
      <c r="V139" s="56">
        <f t="shared" si="84"/>
        <v>0</v>
      </c>
      <c r="X139" s="65"/>
    </row>
    <row r="140" spans="1:24" ht="15.6">
      <c r="A140" s="168">
        <v>123</v>
      </c>
      <c r="B140" s="167" t="s">
        <v>178</v>
      </c>
      <c r="C140" s="173" t="s">
        <v>47</v>
      </c>
      <c r="D140" s="31">
        <v>25269801956.189999</v>
      </c>
      <c r="E140" s="28">
        <f t="shared" si="78"/>
        <v>1.3038881350799452E-2</v>
      </c>
      <c r="F140" s="31">
        <v>1665.46002</v>
      </c>
      <c r="G140" s="31">
        <v>1665.46002</v>
      </c>
      <c r="H140" s="30">
        <v>460</v>
      </c>
      <c r="I140" s="48">
        <v>2.7000000000000001E-3</v>
      </c>
      <c r="J140" s="48">
        <v>6.4000000000000003E-3</v>
      </c>
      <c r="K140" s="31">
        <v>25134006118.119999</v>
      </c>
      <c r="L140" s="28">
        <f t="shared" si="79"/>
        <v>1.3059330515206359E-2</v>
      </c>
      <c r="M140" s="31">
        <f>1.06*W132</f>
        <v>1646.3026420000001</v>
      </c>
      <c r="N140" s="31">
        <f>1.06*W132</f>
        <v>1646.3026420000001</v>
      </c>
      <c r="O140" s="30">
        <v>460</v>
      </c>
      <c r="P140" s="48">
        <v>4.5999999999999999E-3</v>
      </c>
      <c r="Q140" s="48">
        <v>1.2699999999999999E-2</v>
      </c>
      <c r="R140" s="55">
        <f t="shared" si="80"/>
        <v>-5.3738386357529665E-3</v>
      </c>
      <c r="S140" s="55">
        <f t="shared" si="81"/>
        <v>-1.1502754656338061E-2</v>
      </c>
      <c r="T140" s="55">
        <f t="shared" si="82"/>
        <v>0</v>
      </c>
      <c r="U140" s="55">
        <f t="shared" si="83"/>
        <v>1.8999999999999998E-3</v>
      </c>
      <c r="V140" s="56">
        <f t="shared" si="84"/>
        <v>6.2999999999999992E-3</v>
      </c>
      <c r="X140" s="65"/>
    </row>
    <row r="141" spans="1:24">
      <c r="A141" s="168">
        <v>124</v>
      </c>
      <c r="B141" s="166" t="s">
        <v>179</v>
      </c>
      <c r="C141" s="167" t="s">
        <v>89</v>
      </c>
      <c r="D141" s="27">
        <v>433573475.37</v>
      </c>
      <c r="E141" s="28">
        <f t="shared" si="78"/>
        <v>2.2371814041140058E-4</v>
      </c>
      <c r="F141" s="31">
        <v>1811.4599999999998</v>
      </c>
      <c r="G141" s="31">
        <v>1811.4599999999998</v>
      </c>
      <c r="H141" s="30">
        <v>2</v>
      </c>
      <c r="I141" s="48">
        <v>1.0181000000000001E-2</v>
      </c>
      <c r="J141" s="48">
        <v>2.4003E-2</v>
      </c>
      <c r="K141" s="27">
        <f>277276.66*1589</f>
        <v>440592612.73999995</v>
      </c>
      <c r="L141" s="28">
        <f t="shared" si="79"/>
        <v>2.2892667906935173E-4</v>
      </c>
      <c r="M141" s="31">
        <f>1.16*1559.8</f>
        <v>1809.3679999999997</v>
      </c>
      <c r="N141" s="31">
        <f>1.16*1559.8</f>
        <v>1809.3679999999997</v>
      </c>
      <c r="O141" s="30">
        <v>2</v>
      </c>
      <c r="P141" s="48">
        <v>1.6188999999999999E-2</v>
      </c>
      <c r="Q141" s="48">
        <v>4.0579999999999998E-2</v>
      </c>
      <c r="R141" s="55">
        <f t="shared" si="80"/>
        <v>1.6189037772686626E-2</v>
      </c>
      <c r="S141" s="55">
        <f t="shared" si="81"/>
        <v>-1.154869552736521E-3</v>
      </c>
      <c r="T141" s="55">
        <f t="shared" si="82"/>
        <v>0</v>
      </c>
      <c r="U141" s="55">
        <f t="shared" ref="U141" si="87">P141-I141</f>
        <v>6.0079999999999977E-3</v>
      </c>
      <c r="V141" s="56">
        <f t="shared" ref="V141" si="88">Q141-J141</f>
        <v>1.6576999999999998E-2</v>
      </c>
    </row>
    <row r="142" spans="1:24">
      <c r="A142" s="168">
        <v>125</v>
      </c>
      <c r="B142" s="166" t="s">
        <v>305</v>
      </c>
      <c r="C142" s="167" t="s">
        <v>303</v>
      </c>
      <c r="D142" s="27">
        <v>664843875.60938668</v>
      </c>
      <c r="E142" s="28">
        <f t="shared" si="78"/>
        <v>3.4305058765025188E-4</v>
      </c>
      <c r="F142" s="31">
        <v>1606.1165798537581</v>
      </c>
      <c r="G142" s="31">
        <v>1606.1165798537581</v>
      </c>
      <c r="H142" s="30">
        <v>5</v>
      </c>
      <c r="I142" s="48">
        <v>8.2500000000000004E-2</v>
      </c>
      <c r="J142" s="48">
        <v>5.7500000000000002E-2</v>
      </c>
      <c r="K142" s="27">
        <f>419809.4231*W132</f>
        <v>652012606.0245527</v>
      </c>
      <c r="L142" s="28">
        <f t="shared" si="79"/>
        <v>3.3877799194204089E-4</v>
      </c>
      <c r="M142" s="31">
        <f>1.0142*W132</f>
        <v>1575.1699429400001</v>
      </c>
      <c r="N142" s="31">
        <f>1.0142*W132</f>
        <v>1575.1699429400001</v>
      </c>
      <c r="O142" s="30">
        <v>5</v>
      </c>
      <c r="P142" s="48">
        <v>8.2400000000000001E-2</v>
      </c>
      <c r="Q142" s="48">
        <v>5.9400000000000001E-2</v>
      </c>
      <c r="R142" s="55">
        <f t="shared" ref="R142" si="89">((K142-D142)/D142)</f>
        <v>-1.9299673285059618E-2</v>
      </c>
      <c r="S142" s="55">
        <f t="shared" ref="S142" si="90">((N142-G142)/G142)</f>
        <v>-1.926798919949875E-2</v>
      </c>
      <c r="T142" s="55">
        <f t="shared" si="82"/>
        <v>0</v>
      </c>
      <c r="U142" s="55">
        <f t="shared" si="83"/>
        <v>-1.0000000000000286E-4</v>
      </c>
      <c r="V142" s="56">
        <f t="shared" si="84"/>
        <v>1.8999999999999989E-3</v>
      </c>
    </row>
    <row r="143" spans="1:24">
      <c r="A143" s="168">
        <v>126</v>
      </c>
      <c r="B143" s="166" t="s">
        <v>180</v>
      </c>
      <c r="C143" s="167" t="s">
        <v>49</v>
      </c>
      <c r="D143" s="27">
        <v>1077211041532.15</v>
      </c>
      <c r="E143" s="28">
        <f t="shared" si="78"/>
        <v>0.55582655474148823</v>
      </c>
      <c r="F143" s="31">
        <v>2572.59</v>
      </c>
      <c r="G143" s="31">
        <v>2572.59</v>
      </c>
      <c r="H143" s="30">
        <v>10980</v>
      </c>
      <c r="I143" s="48">
        <v>1.2999999999999999E-3</v>
      </c>
      <c r="J143" s="48">
        <v>2.8199999999999999E-2</v>
      </c>
      <c r="K143" s="27">
        <v>1070144771883.37</v>
      </c>
      <c r="L143" s="28">
        <f t="shared" si="79"/>
        <v>0.55603449006363126</v>
      </c>
      <c r="M143" s="31">
        <v>2528.12</v>
      </c>
      <c r="N143" s="31">
        <v>2528.12</v>
      </c>
      <c r="O143" s="30">
        <v>11048</v>
      </c>
      <c r="P143" s="48">
        <v>1.1000000000000001E-3</v>
      </c>
      <c r="Q143" s="48">
        <v>2.93E-2</v>
      </c>
      <c r="R143" s="55">
        <f t="shared" si="80"/>
        <v>-6.5597820448715961E-3</v>
      </c>
      <c r="S143" s="55">
        <f t="shared" si="81"/>
        <v>-1.7286081342149449E-2</v>
      </c>
      <c r="T143" s="55">
        <f t="shared" si="82"/>
        <v>6.1930783242258652E-3</v>
      </c>
      <c r="U143" s="55">
        <f t="shared" si="83"/>
        <v>-1.9999999999999987E-4</v>
      </c>
      <c r="V143" s="56">
        <f t="shared" si="84"/>
        <v>1.1000000000000003E-3</v>
      </c>
    </row>
    <row r="144" spans="1:24">
      <c r="A144" s="168">
        <v>127</v>
      </c>
      <c r="B144" s="166" t="s">
        <v>287</v>
      </c>
      <c r="C144" s="166" t="s">
        <v>99</v>
      </c>
      <c r="D144" s="27">
        <v>515033439.11726004</v>
      </c>
      <c r="E144" s="28">
        <f t="shared" si="78"/>
        <v>2.6575039709399672E-4</v>
      </c>
      <c r="F144" s="31">
        <v>162770.95928800001</v>
      </c>
      <c r="G144" s="31">
        <v>162770.95928800001</v>
      </c>
      <c r="H144" s="30">
        <v>24</v>
      </c>
      <c r="I144" s="48">
        <v>0</v>
      </c>
      <c r="J144" s="48">
        <v>7.2800000000000004E-2</v>
      </c>
      <c r="K144" s="27">
        <f>325166.09*W132</f>
        <v>505020559.48661304</v>
      </c>
      <c r="L144" s="28">
        <f t="shared" si="79"/>
        <v>2.6240267358554423E-4</v>
      </c>
      <c r="M144" s="31">
        <f>102.91*W132</f>
        <v>159831.13668699999</v>
      </c>
      <c r="N144" s="31">
        <f>102.91*W132</f>
        <v>159831.13668699999</v>
      </c>
      <c r="O144" s="30">
        <v>24</v>
      </c>
      <c r="P144" s="48">
        <v>0</v>
      </c>
      <c r="Q144" s="48">
        <v>7.3700000000000002E-2</v>
      </c>
      <c r="R144" s="55">
        <f t="shared" ref="R144" si="91">((K144-D144)/D144)</f>
        <v>-1.9441222394818766E-2</v>
      </c>
      <c r="S144" s="55">
        <f t="shared" ref="S144" si="92">((N144-G144)/G144)</f>
        <v>-1.8061100173271231E-2</v>
      </c>
      <c r="T144" s="55">
        <f t="shared" ref="T144" si="93">((O144-H144)/H144)</f>
        <v>0</v>
      </c>
      <c r="U144" s="55">
        <f t="shared" ref="U144" si="94">P144-I144</f>
        <v>0</v>
      </c>
      <c r="V144" s="56">
        <f t="shared" ref="V144" si="95">Q144-J144</f>
        <v>8.9999999999999802E-4</v>
      </c>
    </row>
    <row r="145" spans="1:22" ht="16.5" customHeight="1">
      <c r="A145" s="168">
        <v>128</v>
      </c>
      <c r="B145" s="166" t="s">
        <v>181</v>
      </c>
      <c r="C145" s="167" t="s">
        <v>52</v>
      </c>
      <c r="D145" s="27">
        <v>196451664604.02002</v>
      </c>
      <c r="E145" s="28">
        <f t="shared" si="78"/>
        <v>0.10136644325031631</v>
      </c>
      <c r="F145" s="31">
        <v>1917.9230000000002</v>
      </c>
      <c r="G145" s="31">
        <v>1917.9230000000002</v>
      </c>
      <c r="H145" s="30">
        <v>697</v>
      </c>
      <c r="I145" s="48">
        <v>5.7799999999999997E-2</v>
      </c>
      <c r="J145" s="48">
        <v>8.1600000000000006E-2</v>
      </c>
      <c r="K145" s="27">
        <f>122556212.62*1559.8</f>
        <v>191163180444.67599</v>
      </c>
      <c r="L145" s="28">
        <f t="shared" si="79"/>
        <v>9.9326113952254824E-2</v>
      </c>
      <c r="M145" s="31">
        <f>1.2105*1559.8</f>
        <v>1888.1378999999997</v>
      </c>
      <c r="N145" s="31">
        <f>1.2105*1559.8</f>
        <v>1888.1378999999997</v>
      </c>
      <c r="O145" s="30">
        <v>703</v>
      </c>
      <c r="P145" s="48">
        <v>8.1699999999999995E-2</v>
      </c>
      <c r="Q145" s="48">
        <v>8.5699999999999998E-2</v>
      </c>
      <c r="R145" s="55">
        <f t="shared" si="80"/>
        <v>-2.6920027224018775E-2</v>
      </c>
      <c r="S145" s="55">
        <f t="shared" si="81"/>
        <v>-1.5529872679977512E-2</v>
      </c>
      <c r="T145" s="55">
        <f t="shared" si="82"/>
        <v>8.60832137733142E-3</v>
      </c>
      <c r="U145" s="55">
        <f t="shared" si="83"/>
        <v>2.3899999999999998E-2</v>
      </c>
      <c r="V145" s="56">
        <f t="shared" si="84"/>
        <v>4.0999999999999925E-3</v>
      </c>
    </row>
    <row r="146" spans="1:22" ht="16.5" customHeight="1">
      <c r="A146" s="168">
        <v>129</v>
      </c>
      <c r="B146" s="166" t="s">
        <v>182</v>
      </c>
      <c r="C146" s="167" t="s">
        <v>94</v>
      </c>
      <c r="D146" s="31">
        <v>1230240925.0167725</v>
      </c>
      <c r="E146" s="28">
        <v>0</v>
      </c>
      <c r="F146" s="31">
        <v>168060.73810000002</v>
      </c>
      <c r="G146" s="31">
        <v>168060.73810000002</v>
      </c>
      <c r="H146" s="30">
        <v>25</v>
      </c>
      <c r="I146" s="48">
        <v>1.1000000000000001E-3</v>
      </c>
      <c r="J146" s="48">
        <v>6.3200000000000006E-2</v>
      </c>
      <c r="K146" s="31">
        <v>1207777852.9102817</v>
      </c>
      <c r="L146" s="28">
        <f t="shared" si="79"/>
        <v>6.2754700130077991E-4</v>
      </c>
      <c r="M146" s="31">
        <v>164995.644</v>
      </c>
      <c r="N146" s="31">
        <v>164995.644</v>
      </c>
      <c r="O146" s="30">
        <v>25</v>
      </c>
      <c r="P146" s="48">
        <v>8.9999999999999998E-4</v>
      </c>
      <c r="Q146" s="48">
        <v>6.3E-2</v>
      </c>
      <c r="R146" s="55">
        <f t="shared" si="80"/>
        <v>-1.8259083769453208E-2</v>
      </c>
      <c r="S146" s="55">
        <f t="shared" si="81"/>
        <v>-1.8238014033808508E-2</v>
      </c>
      <c r="T146" s="55">
        <f t="shared" si="82"/>
        <v>0</v>
      </c>
      <c r="U146" s="55">
        <f t="shared" si="83"/>
        <v>-2.0000000000000009E-4</v>
      </c>
      <c r="V146" s="56">
        <f t="shared" si="84"/>
        <v>-2.0000000000000573E-4</v>
      </c>
    </row>
    <row r="147" spans="1:22" ht="16.5" customHeight="1">
      <c r="A147" s="168">
        <v>130</v>
      </c>
      <c r="B147" s="166" t="s">
        <v>307</v>
      </c>
      <c r="C147" s="167" t="s">
        <v>105</v>
      </c>
      <c r="D147" s="31">
        <v>567946848.72029996</v>
      </c>
      <c r="E147" s="28"/>
      <c r="F147" s="31">
        <v>1602.0139239999999</v>
      </c>
      <c r="G147" s="31">
        <v>1602.0139239999999</v>
      </c>
      <c r="H147" s="30">
        <v>13</v>
      </c>
      <c r="I147" s="48">
        <v>9.1700000000000004E-2</v>
      </c>
      <c r="J147" s="48">
        <v>0</v>
      </c>
      <c r="K147" s="31">
        <f>513269.41*W132</f>
        <v>797166779.00073695</v>
      </c>
      <c r="L147" s="28">
        <f t="shared" si="79"/>
        <v>4.1419837306428498E-4</v>
      </c>
      <c r="M147" s="31">
        <f>1.02*W132</f>
        <v>1584.1780140000001</v>
      </c>
      <c r="N147" s="31">
        <f>1.02*W132</f>
        <v>1584.1780140000001</v>
      </c>
      <c r="O147" s="30">
        <v>13</v>
      </c>
      <c r="P147" s="48">
        <v>8.1199999999999994E-2</v>
      </c>
      <c r="Q147" s="48">
        <v>8.7400000000000005E-2</v>
      </c>
      <c r="R147" s="55">
        <f t="shared" ref="R147" si="96">((K147-D147)/D147)</f>
        <v>0.40359398207229469</v>
      </c>
      <c r="S147" s="55">
        <f t="shared" ref="S147" si="97">((N147-G147)/G147)</f>
        <v>-1.1133430073732485E-2</v>
      </c>
      <c r="T147" s="55">
        <f t="shared" si="82"/>
        <v>0</v>
      </c>
      <c r="U147" s="55">
        <f t="shared" si="83"/>
        <v>-1.0500000000000009E-2</v>
      </c>
      <c r="V147" s="56">
        <f t="shared" si="84"/>
        <v>8.7400000000000005E-2</v>
      </c>
    </row>
    <row r="148" spans="1:22">
      <c r="A148" s="168">
        <v>131</v>
      </c>
      <c r="B148" s="166" t="s">
        <v>183</v>
      </c>
      <c r="C148" s="167" t="s">
        <v>107</v>
      </c>
      <c r="D148" s="31">
        <v>1724116760.5512481</v>
      </c>
      <c r="E148" s="28">
        <f>(D148/$D$149)</f>
        <v>8.8962129243144619E-4</v>
      </c>
      <c r="F148" s="31">
        <v>2015.6824699199999</v>
      </c>
      <c r="G148" s="31">
        <v>2015.6824699199999</v>
      </c>
      <c r="H148" s="30">
        <v>97</v>
      </c>
      <c r="I148" s="48">
        <v>3.441E-3</v>
      </c>
      <c r="J148" s="48">
        <v>2.1545999999999999E-2</v>
      </c>
      <c r="K148" s="31">
        <f>1098217.81*W132</f>
        <v>1705659322.730617</v>
      </c>
      <c r="L148" s="28">
        <f t="shared" si="79"/>
        <v>8.8624028884211532E-4</v>
      </c>
      <c r="M148" s="31">
        <f>1.28*W132</f>
        <v>1987.988096</v>
      </c>
      <c r="N148" s="31">
        <f>1.28*W132</f>
        <v>1987.988096</v>
      </c>
      <c r="O148" s="30">
        <v>97</v>
      </c>
      <c r="P148" s="48">
        <v>1.7100000000000001E-4</v>
      </c>
      <c r="Q148" s="48">
        <v>3.2447999999999998E-2</v>
      </c>
      <c r="R148" s="55">
        <f t="shared" si="80"/>
        <v>-1.0705445386848204E-2</v>
      </c>
      <c r="S148" s="55">
        <f t="shared" si="81"/>
        <v>-1.3739452683288465E-2</v>
      </c>
      <c r="T148" s="55">
        <f t="shared" si="82"/>
        <v>0</v>
      </c>
      <c r="U148" s="55">
        <f t="shared" si="83"/>
        <v>-3.2699999999999999E-3</v>
      </c>
      <c r="V148" s="56">
        <f t="shared" si="84"/>
        <v>1.0901999999999998E-2</v>
      </c>
    </row>
    <row r="149" spans="1:22">
      <c r="A149" s="34"/>
      <c r="B149" s="35"/>
      <c r="C149" s="69" t="s">
        <v>53</v>
      </c>
      <c r="D149" s="46">
        <f>SUM(D113:D148)</f>
        <v>1938034504366.4832</v>
      </c>
      <c r="E149" s="38">
        <f>(D149/$D$221)</f>
        <v>0.34234836960700266</v>
      </c>
      <c r="F149" s="39"/>
      <c r="G149" s="43"/>
      <c r="H149" s="41">
        <f>SUM(H113:H148)</f>
        <v>24895</v>
      </c>
      <c r="I149" s="78"/>
      <c r="J149" s="78"/>
      <c r="K149" s="46">
        <f>SUM(K113:K148)</f>
        <v>1924601424924.0278</v>
      </c>
      <c r="L149" s="38">
        <f>(K149/$K$221)</f>
        <v>0.33724262102770763</v>
      </c>
      <c r="M149" s="39"/>
      <c r="N149" s="43"/>
      <c r="O149" s="41">
        <f>SUM(O113:O148)</f>
        <v>24999</v>
      </c>
      <c r="P149" s="78"/>
      <c r="Q149" s="78"/>
      <c r="R149" s="55">
        <f t="shared" si="80"/>
        <v>-6.9312901355419428E-3</v>
      </c>
      <c r="S149" s="55" t="e">
        <f t="shared" si="81"/>
        <v>#DIV/0!</v>
      </c>
      <c r="T149" s="55">
        <f t="shared" si="82"/>
        <v>4.1775456919060051E-3</v>
      </c>
      <c r="U149" s="55">
        <f t="shared" si="83"/>
        <v>0</v>
      </c>
      <c r="V149" s="56">
        <f t="shared" si="84"/>
        <v>0</v>
      </c>
    </row>
    <row r="150" spans="1:22" ht="6" customHeight="1">
      <c r="A150" s="34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</row>
    <row r="151" spans="1:22">
      <c r="A151" s="180" t="s">
        <v>184</v>
      </c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</row>
    <row r="152" spans="1:22">
      <c r="A152" s="168">
        <v>132</v>
      </c>
      <c r="B152" s="166" t="s">
        <v>185</v>
      </c>
      <c r="C152" s="167" t="s">
        <v>186</v>
      </c>
      <c r="D152" s="70">
        <v>2421037086.3312502</v>
      </c>
      <c r="E152" s="28">
        <f>(D152/$D$158)</f>
        <v>6.8059170617765204E-3</v>
      </c>
      <c r="F152" s="58">
        <v>114.09222838507306</v>
      </c>
      <c r="G152" s="58">
        <v>114.09222838507306</v>
      </c>
      <c r="H152" s="30">
        <v>8</v>
      </c>
      <c r="I152" s="48">
        <v>3.0000000000000001E-3</v>
      </c>
      <c r="J152" s="48">
        <v>8.2079543013692913E-2</v>
      </c>
      <c r="K152" s="70">
        <v>2428300197.5902438</v>
      </c>
      <c r="L152" s="28">
        <f>(K152/$K$158)</f>
        <v>6.8080415713002804E-3</v>
      </c>
      <c r="M152" s="58">
        <v>114.43450507022827</v>
      </c>
      <c r="N152" s="58">
        <v>114.43450507022827</v>
      </c>
      <c r="O152" s="30">
        <v>8</v>
      </c>
      <c r="P152" s="48">
        <v>3.0000000000000001E-3</v>
      </c>
      <c r="Q152" s="48">
        <v>8.5325781642733967E-2</v>
      </c>
      <c r="R152" s="55">
        <f t="shared" ref="R152:R158" si="98">((K152-D152)/D152)</f>
        <v>2.9999999999999485E-3</v>
      </c>
      <c r="S152" s="55">
        <f t="shared" ref="S152:T158" si="99">((N152-G152)/G152)</f>
        <v>2.9999999999999424E-3</v>
      </c>
      <c r="T152" s="55">
        <f t="shared" si="99"/>
        <v>0</v>
      </c>
      <c r="U152" s="55">
        <f t="shared" ref="U152:V158" si="100">P152-I152</f>
        <v>0</v>
      </c>
      <c r="V152" s="56">
        <f t="shared" si="100"/>
        <v>3.2462386290410539E-3</v>
      </c>
    </row>
    <row r="153" spans="1:22">
      <c r="A153" s="168">
        <v>133</v>
      </c>
      <c r="B153" s="166" t="s">
        <v>315</v>
      </c>
      <c r="C153" s="167" t="s">
        <v>23</v>
      </c>
      <c r="D153" s="70">
        <v>254333990495.38</v>
      </c>
      <c r="E153" s="28">
        <v>0</v>
      </c>
      <c r="F153" s="58">
        <v>101.7336</v>
      </c>
      <c r="G153" s="58">
        <v>101.7336</v>
      </c>
      <c r="H153" s="30">
        <v>45</v>
      </c>
      <c r="I153" s="48">
        <v>0.23549999999999999</v>
      </c>
      <c r="J153" s="48">
        <v>8.5500000000000007E-2</v>
      </c>
      <c r="K153" s="70">
        <v>255230177000.66</v>
      </c>
      <c r="L153" s="28">
        <f t="shared" ref="L153:L154" si="101">(K153/$K$158)</f>
        <v>0.71556953995851502</v>
      </c>
      <c r="M153" s="58">
        <v>102.0921</v>
      </c>
      <c r="N153" s="58">
        <v>102.0921</v>
      </c>
      <c r="O153" s="30">
        <v>45</v>
      </c>
      <c r="P153" s="48">
        <v>0.1837</v>
      </c>
      <c r="Q153" s="48">
        <v>9.4299999999999995E-2</v>
      </c>
      <c r="R153" s="55">
        <f t="shared" ref="R153" si="102">((K153-D153)/D153)</f>
        <v>3.523659985574276E-3</v>
      </c>
      <c r="S153" s="55">
        <f t="shared" ref="S153" si="103">((N153-G153)/G153)</f>
        <v>3.5239095048244288E-3</v>
      </c>
      <c r="T153" s="55">
        <f t="shared" ref="T153" si="104">((O153-H153)/H153)</f>
        <v>0</v>
      </c>
      <c r="U153" s="55">
        <f t="shared" ref="U153" si="105">P153-I153</f>
        <v>-5.1799999999999985E-2</v>
      </c>
      <c r="V153" s="56">
        <f t="shared" ref="V153" si="106">Q153-J153</f>
        <v>8.7999999999999884E-3</v>
      </c>
    </row>
    <row r="154" spans="1:22">
      <c r="A154" s="168">
        <v>134</v>
      </c>
      <c r="B154" s="166" t="s">
        <v>187</v>
      </c>
      <c r="C154" s="167" t="s">
        <v>47</v>
      </c>
      <c r="D154" s="27">
        <v>54160728474</v>
      </c>
      <c r="E154" s="28">
        <f>(D154/$D$158)</f>
        <v>0.15225434921280992</v>
      </c>
      <c r="F154" s="58">
        <v>102.07</v>
      </c>
      <c r="G154" s="58">
        <v>102.07</v>
      </c>
      <c r="H154" s="30">
        <v>645</v>
      </c>
      <c r="I154" s="48">
        <v>8.3900000000000002E-2</v>
      </c>
      <c r="J154" s="48">
        <v>8.3900000000000002E-2</v>
      </c>
      <c r="K154" s="27">
        <v>54160728474</v>
      </c>
      <c r="L154" s="28">
        <f t="shared" si="101"/>
        <v>0.15184633734692746</v>
      </c>
      <c r="M154" s="58">
        <v>102.07</v>
      </c>
      <c r="N154" s="58">
        <v>102.07</v>
      </c>
      <c r="O154" s="30">
        <v>645</v>
      </c>
      <c r="P154" s="48">
        <v>8.3900000000000002E-2</v>
      </c>
      <c r="Q154" s="48">
        <v>8.3900000000000002E-2</v>
      </c>
      <c r="R154" s="55">
        <f t="shared" si="98"/>
        <v>0</v>
      </c>
      <c r="S154" s="55">
        <f t="shared" si="99"/>
        <v>0</v>
      </c>
      <c r="T154" s="55">
        <f t="shared" si="99"/>
        <v>0</v>
      </c>
      <c r="U154" s="55">
        <f t="shared" si="100"/>
        <v>0</v>
      </c>
      <c r="V154" s="56">
        <f t="shared" si="100"/>
        <v>0</v>
      </c>
    </row>
    <row r="155" spans="1:22" ht="15.75" customHeight="1">
      <c r="A155" s="168">
        <v>135</v>
      </c>
      <c r="B155" s="166" t="s">
        <v>188</v>
      </c>
      <c r="C155" s="167" t="s">
        <v>142</v>
      </c>
      <c r="D155" s="27">
        <v>2485720033.0825701</v>
      </c>
      <c r="E155" s="28">
        <f>(D155/$D$158)</f>
        <v>6.9877510259839393E-3</v>
      </c>
      <c r="F155" s="58">
        <v>206</v>
      </c>
      <c r="G155" s="58">
        <v>206</v>
      </c>
      <c r="H155" s="30">
        <v>3250</v>
      </c>
      <c r="I155" s="48">
        <v>4.3089366858921473E-2</v>
      </c>
      <c r="J155" s="48">
        <v>5.7372011386692921E-2</v>
      </c>
      <c r="K155" s="27">
        <v>2496673344.4670806</v>
      </c>
      <c r="L155" s="28">
        <f>(K155/$K$158)</f>
        <v>6.999734191001937E-3</v>
      </c>
      <c r="M155" s="58">
        <v>226.6</v>
      </c>
      <c r="N155" s="58">
        <v>226.6</v>
      </c>
      <c r="O155" s="30">
        <v>3250</v>
      </c>
      <c r="P155" s="48">
        <v>0.27239843879436298</v>
      </c>
      <c r="Q155" s="48">
        <v>5.4190416032540108E-2</v>
      </c>
      <c r="R155" s="55">
        <f t="shared" si="98"/>
        <v>4.4064943914569454E-3</v>
      </c>
      <c r="S155" s="55">
        <f t="shared" si="99"/>
        <v>9.9999999999999978E-2</v>
      </c>
      <c r="T155" s="55">
        <f t="shared" si="99"/>
        <v>0</v>
      </c>
      <c r="U155" s="55">
        <f t="shared" si="100"/>
        <v>0.22930907193544151</v>
      </c>
      <c r="V155" s="56">
        <f t="shared" si="100"/>
        <v>-3.1815953541528136E-3</v>
      </c>
    </row>
    <row r="156" spans="1:22">
      <c r="A156" s="168">
        <v>136</v>
      </c>
      <c r="B156" s="166" t="s">
        <v>189</v>
      </c>
      <c r="C156" s="167" t="s">
        <v>142</v>
      </c>
      <c r="D156" s="27">
        <v>11023805653.610001</v>
      </c>
      <c r="E156" s="28">
        <f>(D156/$D$158)</f>
        <v>3.0989656212704313E-2</v>
      </c>
      <c r="F156" s="58">
        <v>45.7</v>
      </c>
      <c r="G156" s="58">
        <v>45.7</v>
      </c>
      <c r="H156" s="30">
        <v>5344</v>
      </c>
      <c r="I156" s="48">
        <v>8.4578843702932491E-2</v>
      </c>
      <c r="J156" s="48">
        <v>0.14800348866233265</v>
      </c>
      <c r="K156" s="27">
        <v>11027044496.32</v>
      </c>
      <c r="L156" s="28">
        <f>(K156/$K$158)</f>
        <v>3.091569049577305E-2</v>
      </c>
      <c r="M156" s="58">
        <v>50.25</v>
      </c>
      <c r="N156" s="58">
        <v>50.25</v>
      </c>
      <c r="O156" s="30">
        <v>5344</v>
      </c>
      <c r="P156" s="48">
        <v>8.4441873915541317E-3</v>
      </c>
      <c r="Q156" s="48">
        <v>0.13020017193556924</v>
      </c>
      <c r="R156" s="55">
        <f t="shared" si="98"/>
        <v>2.9380440945441107E-4</v>
      </c>
      <c r="S156" s="55">
        <f t="shared" si="99"/>
        <v>9.9562363238511961E-2</v>
      </c>
      <c r="T156" s="55">
        <f t="shared" si="99"/>
        <v>0</v>
      </c>
      <c r="U156" s="55">
        <f t="shared" si="100"/>
        <v>-7.6134656311378363E-2</v>
      </c>
      <c r="V156" s="56">
        <f t="shared" si="100"/>
        <v>-1.7803316726763413E-2</v>
      </c>
    </row>
    <row r="157" spans="1:22">
      <c r="A157" s="168">
        <v>137</v>
      </c>
      <c r="B157" s="166" t="s">
        <v>190</v>
      </c>
      <c r="C157" s="167" t="s">
        <v>49</v>
      </c>
      <c r="D157" s="27">
        <v>31300047314.029999</v>
      </c>
      <c r="E157" s="28">
        <f>(D157/$D$158)</f>
        <v>8.7989369205318579E-2</v>
      </c>
      <c r="F157" s="58">
        <v>5.95</v>
      </c>
      <c r="G157" s="58">
        <v>5.95</v>
      </c>
      <c r="H157" s="30">
        <v>208295</v>
      </c>
      <c r="I157" s="48">
        <v>-7.7499999999999999E-2</v>
      </c>
      <c r="J157" s="48">
        <v>0.19</v>
      </c>
      <c r="K157" s="27">
        <v>31338241276.98</v>
      </c>
      <c r="L157" s="28">
        <f>(K157/$K$158)</f>
        <v>8.7860656436482179E-2</v>
      </c>
      <c r="M157" s="58">
        <v>6.1</v>
      </c>
      <c r="N157" s="58">
        <v>6.1</v>
      </c>
      <c r="O157" s="30">
        <v>208295</v>
      </c>
      <c r="P157" s="48">
        <v>2.52E-2</v>
      </c>
      <c r="Q157" s="48">
        <v>0.22</v>
      </c>
      <c r="R157" s="55">
        <f t="shared" si="98"/>
        <v>1.220252562777457E-3</v>
      </c>
      <c r="S157" s="55">
        <f t="shared" si="99"/>
        <v>2.5210084033613356E-2</v>
      </c>
      <c r="T157" s="55">
        <f t="shared" si="99"/>
        <v>0</v>
      </c>
      <c r="U157" s="55">
        <f t="shared" si="100"/>
        <v>0.1027</v>
      </c>
      <c r="V157" s="56">
        <f t="shared" si="100"/>
        <v>0.03</v>
      </c>
    </row>
    <row r="158" spans="1:22">
      <c r="A158" s="34"/>
      <c r="B158" s="71"/>
      <c r="C158" s="36" t="s">
        <v>53</v>
      </c>
      <c r="D158" s="37">
        <f>SUM(D152:D157)</f>
        <v>355725329056.43384</v>
      </c>
      <c r="E158" s="38">
        <f>(D158/$D$221)</f>
        <v>6.28378835134277E-2</v>
      </c>
      <c r="F158" s="39"/>
      <c r="G158" s="72"/>
      <c r="H158" s="41">
        <f>SUM(H152:H157)</f>
        <v>217587</v>
      </c>
      <c r="I158" s="79"/>
      <c r="J158" s="79"/>
      <c r="K158" s="37">
        <f>SUM(K152:K157)</f>
        <v>356681164790.01733</v>
      </c>
      <c r="L158" s="38">
        <f>(K158/$K$221)</f>
        <v>6.2500260743467664E-2</v>
      </c>
      <c r="M158" s="39"/>
      <c r="N158" s="72"/>
      <c r="O158" s="41">
        <f>SUM(O152:O157)</f>
        <v>217587</v>
      </c>
      <c r="P158" s="79"/>
      <c r="Q158" s="79"/>
      <c r="R158" s="55">
        <f t="shared" si="98"/>
        <v>2.6870049881431357E-3</v>
      </c>
      <c r="S158" s="55" t="e">
        <f t="shared" si="99"/>
        <v>#DIV/0!</v>
      </c>
      <c r="T158" s="55">
        <f t="shared" si="99"/>
        <v>0</v>
      </c>
      <c r="U158" s="55">
        <f t="shared" si="100"/>
        <v>0</v>
      </c>
      <c r="V158" s="56">
        <f t="shared" si="100"/>
        <v>0</v>
      </c>
    </row>
    <row r="159" spans="1:22" ht="5.25" customHeight="1">
      <c r="A159" s="34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</row>
    <row r="160" spans="1:22" ht="15" customHeight="1">
      <c r="A160" s="180" t="s">
        <v>191</v>
      </c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</row>
    <row r="161" spans="1:22">
      <c r="A161" s="169">
        <v>138</v>
      </c>
      <c r="B161" s="166" t="s">
        <v>192</v>
      </c>
      <c r="C161" s="167" t="s">
        <v>57</v>
      </c>
      <c r="D161" s="31">
        <v>301791691.16000003</v>
      </c>
      <c r="E161" s="28">
        <f t="shared" ref="E161:E188" si="107">(D161/$D$189)</f>
        <v>4.9602841893011326E-3</v>
      </c>
      <c r="F161" s="31">
        <v>6.4451999999999998</v>
      </c>
      <c r="G161" s="31">
        <v>6.5346000000000002</v>
      </c>
      <c r="H161" s="32">
        <v>11843</v>
      </c>
      <c r="I161" s="49">
        <v>1.2322E-2</v>
      </c>
      <c r="J161" s="49">
        <v>0.127918</v>
      </c>
      <c r="K161" s="31">
        <v>306889172.01999998</v>
      </c>
      <c r="L161" s="52">
        <f t="shared" ref="L161:L188" si="108">(K161/$K$189)</f>
        <v>4.9645631825028106E-3</v>
      </c>
      <c r="M161" s="31">
        <v>6.4992999999999999</v>
      </c>
      <c r="N161" s="31">
        <v>6.5917000000000003</v>
      </c>
      <c r="O161" s="32">
        <v>11844</v>
      </c>
      <c r="P161" s="49">
        <v>9.469E-3</v>
      </c>
      <c r="Q161" s="49">
        <v>0.13738700000000001</v>
      </c>
      <c r="R161" s="55">
        <f>((K161-D161)/D161)</f>
        <v>1.6890726316575223E-2</v>
      </c>
      <c r="S161" s="55">
        <f>((N161-G161)/G161)</f>
        <v>8.7381017965904792E-3</v>
      </c>
      <c r="T161" s="55">
        <f>((O161-H161)/H161)</f>
        <v>8.4438064679557548E-5</v>
      </c>
      <c r="U161" s="55">
        <f>P161-I161</f>
        <v>-2.8529999999999996E-3</v>
      </c>
      <c r="V161" s="56">
        <f>Q161-J161</f>
        <v>9.4690000000000052E-3</v>
      </c>
    </row>
    <row r="162" spans="1:22">
      <c r="A162" s="169">
        <v>139</v>
      </c>
      <c r="B162" s="166" t="s">
        <v>193</v>
      </c>
      <c r="C162" s="166" t="s">
        <v>194</v>
      </c>
      <c r="D162" s="31">
        <v>728999945.40452206</v>
      </c>
      <c r="E162" s="28">
        <f t="shared" si="107"/>
        <v>1.1981929950729924E-2</v>
      </c>
      <c r="F162" s="31">
        <v>1683.4220190244619</v>
      </c>
      <c r="G162" s="31">
        <v>1703.3182507654769</v>
      </c>
      <c r="H162" s="32">
        <v>160</v>
      </c>
      <c r="I162" s="49">
        <v>-1.2200000000000001E-2</v>
      </c>
      <c r="J162" s="49">
        <v>0.50480000000000003</v>
      </c>
      <c r="K162" s="31">
        <v>749412498.10957551</v>
      </c>
      <c r="L162" s="52">
        <f t="shared" si="108"/>
        <v>1.2123287609442899E-2</v>
      </c>
      <c r="M162" s="31">
        <v>1730.4923305296395</v>
      </c>
      <c r="N162" s="31">
        <v>1751.0560559445246</v>
      </c>
      <c r="O162" s="32">
        <v>160</v>
      </c>
      <c r="P162" s="49">
        <v>2.8000000000000001E-2</v>
      </c>
      <c r="Q162" s="49">
        <v>0.54700000000000004</v>
      </c>
      <c r="R162" s="55">
        <f>((K162-D162)/D162)</f>
        <v>2.800076026580019E-2</v>
      </c>
      <c r="S162" s="55">
        <f>((N162-G162)/G162)</f>
        <v>2.8026356881689096E-2</v>
      </c>
      <c r="T162" s="55">
        <f>((O162-H162)/H162)</f>
        <v>0</v>
      </c>
      <c r="U162" s="55">
        <f>P162-I162</f>
        <v>4.02E-2</v>
      </c>
      <c r="V162" s="56">
        <f>Q162-J162</f>
        <v>4.2200000000000015E-2</v>
      </c>
    </row>
    <row r="163" spans="1:22">
      <c r="A163" s="169">
        <v>140</v>
      </c>
      <c r="B163" s="166" t="s">
        <v>195</v>
      </c>
      <c r="C163" s="167" t="s">
        <v>23</v>
      </c>
      <c r="D163" s="31">
        <v>7236145066.3900003</v>
      </c>
      <c r="E163" s="28">
        <f t="shared" si="107"/>
        <v>0.11893414237595509</v>
      </c>
      <c r="F163" s="31">
        <v>844.35929999999996</v>
      </c>
      <c r="G163" s="31">
        <v>869.81740000000002</v>
      </c>
      <c r="H163" s="32">
        <v>21478</v>
      </c>
      <c r="I163" s="49">
        <v>0.41249999999999998</v>
      </c>
      <c r="J163" s="49">
        <v>0.1515</v>
      </c>
      <c r="K163" s="31">
        <v>7496182324.6899996</v>
      </c>
      <c r="L163" s="52">
        <f t="shared" si="108"/>
        <v>0.12126615785603209</v>
      </c>
      <c r="M163" s="31">
        <v>858.34270000000004</v>
      </c>
      <c r="N163" s="31">
        <v>884.22239999999999</v>
      </c>
      <c r="O163" s="32">
        <v>21485</v>
      </c>
      <c r="P163" s="49">
        <v>0.86350000000000005</v>
      </c>
      <c r="Q163" s="49">
        <v>0.18559999999999999</v>
      </c>
      <c r="R163" s="55">
        <f t="shared" ref="R163:R188" si="109">((K163-D163)/D163)</f>
        <v>3.5935882422783956E-2</v>
      </c>
      <c r="S163" s="55">
        <f t="shared" ref="S163:T188" si="110">((N163-G163)/G163)</f>
        <v>1.6560947159714179E-2</v>
      </c>
      <c r="T163" s="55">
        <f t="shared" si="110"/>
        <v>3.2591488965453023E-4</v>
      </c>
      <c r="U163" s="55">
        <f t="shared" ref="U163:V188" si="111">P163-I163</f>
        <v>0.45100000000000007</v>
      </c>
      <c r="V163" s="56">
        <f t="shared" si="111"/>
        <v>3.4099999999999991E-2</v>
      </c>
    </row>
    <row r="164" spans="1:22">
      <c r="A164" s="169">
        <v>141</v>
      </c>
      <c r="B164" s="166" t="s">
        <v>196</v>
      </c>
      <c r="C164" s="167" t="s">
        <v>109</v>
      </c>
      <c r="D164" s="31">
        <v>4322023888.1999998</v>
      </c>
      <c r="E164" s="28">
        <f t="shared" si="107"/>
        <v>7.1037299522783398E-2</v>
      </c>
      <c r="F164" s="31">
        <v>25.622</v>
      </c>
      <c r="G164" s="31">
        <v>25.947199999999999</v>
      </c>
      <c r="H164" s="30">
        <v>6153</v>
      </c>
      <c r="I164" s="48">
        <v>1.29E-2</v>
      </c>
      <c r="J164" s="48">
        <v>0.20519999999999999</v>
      </c>
      <c r="K164" s="31">
        <v>4383176678</v>
      </c>
      <c r="L164" s="52">
        <f t="shared" si="108"/>
        <v>7.0906892591784385E-2</v>
      </c>
      <c r="M164" s="31">
        <v>25.980399999999999</v>
      </c>
      <c r="N164" s="31">
        <v>26.313700000000001</v>
      </c>
      <c r="O164" s="30">
        <v>6151</v>
      </c>
      <c r="P164" s="48">
        <v>2.7199999999999998E-2</v>
      </c>
      <c r="Q164" s="48">
        <v>0.22220000000000001</v>
      </c>
      <c r="R164" s="55">
        <f t="shared" si="109"/>
        <v>1.4149109625923098E-2</v>
      </c>
      <c r="S164" s="55">
        <f t="shared" si="110"/>
        <v>1.4124838132823659E-2</v>
      </c>
      <c r="T164" s="55">
        <f t="shared" si="110"/>
        <v>-3.2504469364537625E-4</v>
      </c>
      <c r="U164" s="55">
        <f t="shared" si="111"/>
        <v>1.4299999999999998E-2</v>
      </c>
      <c r="V164" s="56">
        <f t="shared" si="111"/>
        <v>1.7000000000000015E-2</v>
      </c>
    </row>
    <row r="165" spans="1:22">
      <c r="A165" s="169">
        <v>142</v>
      </c>
      <c r="B165" s="166" t="s">
        <v>197</v>
      </c>
      <c r="C165" s="167" t="s">
        <v>118</v>
      </c>
      <c r="D165" s="27">
        <v>2135889785.6499267</v>
      </c>
      <c r="E165" s="28">
        <f t="shared" si="107"/>
        <v>3.5105738972224375E-2</v>
      </c>
      <c r="F165" s="31">
        <v>5.0959000000000003</v>
      </c>
      <c r="G165" s="31">
        <v>5.2138</v>
      </c>
      <c r="H165" s="30">
        <v>2739</v>
      </c>
      <c r="I165" s="48">
        <v>0.82799999999999996</v>
      </c>
      <c r="J165" s="48">
        <v>0.28639999999999999</v>
      </c>
      <c r="K165" s="27">
        <v>2145024128.7365291</v>
      </c>
      <c r="L165" s="52">
        <f t="shared" si="108"/>
        <v>3.4700174479963534E-2</v>
      </c>
      <c r="M165" s="31">
        <v>5.1207000000000003</v>
      </c>
      <c r="N165" s="31">
        <v>5.2393999999999998</v>
      </c>
      <c r="O165" s="30">
        <v>2739</v>
      </c>
      <c r="P165" s="48">
        <v>0.25600000000000001</v>
      </c>
      <c r="Q165" s="48">
        <v>0.28820000000000001</v>
      </c>
      <c r="R165" s="55">
        <f t="shared" si="109"/>
        <v>4.2765985155095321E-3</v>
      </c>
      <c r="S165" s="55">
        <f t="shared" si="110"/>
        <v>4.9100464152824902E-3</v>
      </c>
      <c r="T165" s="55">
        <f t="shared" si="110"/>
        <v>0</v>
      </c>
      <c r="U165" s="55">
        <f t="shared" si="111"/>
        <v>-0.57199999999999995</v>
      </c>
      <c r="V165" s="56">
        <f t="shared" si="111"/>
        <v>1.8000000000000238E-3</v>
      </c>
    </row>
    <row r="166" spans="1:22">
      <c r="A166" s="169">
        <v>143</v>
      </c>
      <c r="B166" s="166" t="s">
        <v>306</v>
      </c>
      <c r="C166" s="167" t="s">
        <v>27</v>
      </c>
      <c r="D166" s="27">
        <v>833780306.96000004</v>
      </c>
      <c r="E166" s="28">
        <f t="shared" si="107"/>
        <v>1.3704112456070484E-2</v>
      </c>
      <c r="F166" s="31">
        <v>1.0465</v>
      </c>
      <c r="G166" s="31">
        <v>1.0465</v>
      </c>
      <c r="H166" s="30">
        <v>199</v>
      </c>
      <c r="I166" s="48">
        <v>1.11E-2</v>
      </c>
      <c r="J166" s="48">
        <v>4.65E-2</v>
      </c>
      <c r="K166" s="27">
        <v>879220167.58000004</v>
      </c>
      <c r="L166" s="52">
        <f t="shared" si="108"/>
        <v>1.4223193488876682E-2</v>
      </c>
      <c r="M166" s="31">
        <v>1.0536000000000001</v>
      </c>
      <c r="N166" s="31">
        <v>1.0536000000000001</v>
      </c>
      <c r="O166" s="30">
        <v>199</v>
      </c>
      <c r="P166" s="48">
        <v>6.7999999999999996E-3</v>
      </c>
      <c r="Q166" s="48">
        <v>5.3600000000000002E-2</v>
      </c>
      <c r="R166" s="55">
        <f t="shared" ref="R166" si="112">((K166-D166)/D166)</f>
        <v>5.4498601418970602E-2</v>
      </c>
      <c r="S166" s="55">
        <f t="shared" ref="S166" si="113">((N166-G166)/G166)</f>
        <v>6.7845198279981901E-3</v>
      </c>
      <c r="T166" s="55">
        <f t="shared" ref="T166" si="114">((O166-H166)/H166)</f>
        <v>0</v>
      </c>
      <c r="U166" s="55">
        <f t="shared" ref="U166" si="115">P166-I166</f>
        <v>-4.3000000000000009E-3</v>
      </c>
      <c r="V166" s="56">
        <f t="shared" ref="V166" si="116">Q166-J166</f>
        <v>7.1000000000000021E-3</v>
      </c>
    </row>
    <row r="167" spans="1:22">
      <c r="A167" s="169">
        <v>144</v>
      </c>
      <c r="B167" s="166" t="s">
        <v>198</v>
      </c>
      <c r="C167" s="167" t="s">
        <v>65</v>
      </c>
      <c r="D167" s="31">
        <v>4188266946.7979298</v>
      </c>
      <c r="E167" s="28">
        <f t="shared" si="107"/>
        <v>6.8838854499012961E-2</v>
      </c>
      <c r="F167" s="31">
        <v>9192.3457048421205</v>
      </c>
      <c r="G167" s="31">
        <v>9272.20225950026</v>
      </c>
      <c r="H167" s="30">
        <v>1032</v>
      </c>
      <c r="I167" s="48">
        <v>0.48647617553421391</v>
      </c>
      <c r="J167" s="48">
        <v>0.49385776334265741</v>
      </c>
      <c r="K167" s="31">
        <v>4241236221.0106101</v>
      </c>
      <c r="L167" s="52">
        <f t="shared" si="108"/>
        <v>6.8610713934717835E-2</v>
      </c>
      <c r="M167" s="31">
        <v>9302.5761991011495</v>
      </c>
      <c r="N167" s="31">
        <v>9384.01986807303</v>
      </c>
      <c r="O167" s="30">
        <v>1041</v>
      </c>
      <c r="P167" s="48">
        <v>0.62527379838504471</v>
      </c>
      <c r="Q167" s="48">
        <v>0.50537515458352411</v>
      </c>
      <c r="R167" s="55">
        <f t="shared" si="109"/>
        <v>1.2647062588304482E-2</v>
      </c>
      <c r="S167" s="55">
        <f t="shared" si="110"/>
        <v>1.2059444503402865E-2</v>
      </c>
      <c r="T167" s="55">
        <f t="shared" si="110"/>
        <v>8.7209302325581394E-3</v>
      </c>
      <c r="U167" s="55">
        <f t="shared" si="111"/>
        <v>0.1387976228508308</v>
      </c>
      <c r="V167" s="56">
        <f t="shared" si="111"/>
        <v>1.1517391240866703E-2</v>
      </c>
    </row>
    <row r="168" spans="1:22">
      <c r="A168" s="169">
        <v>145</v>
      </c>
      <c r="B168" s="166" t="s">
        <v>199</v>
      </c>
      <c r="C168" s="167" t="s">
        <v>67</v>
      </c>
      <c r="D168" s="31">
        <v>882464654.77999997</v>
      </c>
      <c r="E168" s="28">
        <f t="shared" si="107"/>
        <v>1.4504294196759806E-2</v>
      </c>
      <c r="F168" s="31">
        <v>196.25</v>
      </c>
      <c r="G168" s="31">
        <v>197.63</v>
      </c>
      <c r="H168" s="30">
        <v>700</v>
      </c>
      <c r="I168" s="48">
        <v>-1.1000000000000001E-3</v>
      </c>
      <c r="J168" s="48">
        <v>8.2900000000000001E-2</v>
      </c>
      <c r="K168" s="31">
        <v>899103638.60000002</v>
      </c>
      <c r="L168" s="52">
        <f t="shared" si="108"/>
        <v>1.4544849504031952E-2</v>
      </c>
      <c r="M168" s="31">
        <v>199.9</v>
      </c>
      <c r="N168" s="31">
        <v>201.33</v>
      </c>
      <c r="O168" s="30">
        <v>700</v>
      </c>
      <c r="P168" s="48">
        <v>1.8700000000000001E-2</v>
      </c>
      <c r="Q168" s="48">
        <v>0.1008</v>
      </c>
      <c r="R168" s="55">
        <f t="shared" si="109"/>
        <v>1.8855127771829207E-2</v>
      </c>
      <c r="S168" s="55">
        <f t="shared" si="110"/>
        <v>1.8721853969539123E-2</v>
      </c>
      <c r="T168" s="55">
        <f t="shared" si="110"/>
        <v>0</v>
      </c>
      <c r="U168" s="55">
        <f t="shared" si="111"/>
        <v>1.9800000000000002E-2</v>
      </c>
      <c r="V168" s="56">
        <f t="shared" si="111"/>
        <v>1.7899999999999999E-2</v>
      </c>
    </row>
    <row r="169" spans="1:22">
      <c r="A169" s="169">
        <v>146</v>
      </c>
      <c r="B169" s="166" t="s">
        <v>200</v>
      </c>
      <c r="C169" s="167" t="s">
        <v>123</v>
      </c>
      <c r="D169" s="31">
        <v>254276119.63</v>
      </c>
      <c r="E169" s="28">
        <f t="shared" si="107"/>
        <v>4.1793125949542535E-3</v>
      </c>
      <c r="F169" s="31">
        <v>1.6539999999999999</v>
      </c>
      <c r="G169" s="31">
        <v>1.6704000000000001</v>
      </c>
      <c r="H169" s="30">
        <v>412</v>
      </c>
      <c r="I169" s="48">
        <v>9.9529828417903587E-3</v>
      </c>
      <c r="J169" s="48">
        <v>0.12985859689869517</v>
      </c>
      <c r="K169" s="31">
        <v>259198256.68000001</v>
      </c>
      <c r="L169" s="52">
        <f t="shared" si="108"/>
        <v>4.1930645959661946E-3</v>
      </c>
      <c r="M169" s="31">
        <v>1.6854</v>
      </c>
      <c r="N169" s="31">
        <v>1.7022999999999999</v>
      </c>
      <c r="O169" s="30">
        <v>414</v>
      </c>
      <c r="P169" s="48">
        <v>1.8984280532043485E-2</v>
      </c>
      <c r="Q169" s="48">
        <v>0.15130814946376114</v>
      </c>
      <c r="R169" s="55">
        <f t="shared" si="109"/>
        <v>1.9357449127201831E-2</v>
      </c>
      <c r="S169" s="55">
        <f t="shared" si="110"/>
        <v>1.9097222222222113E-2</v>
      </c>
      <c r="T169" s="55">
        <f t="shared" si="110"/>
        <v>4.8543689320388345E-3</v>
      </c>
      <c r="U169" s="55">
        <f t="shared" si="111"/>
        <v>9.0312976902531261E-3</v>
      </c>
      <c r="V169" s="56">
        <f t="shared" si="111"/>
        <v>2.1449552565065977E-2</v>
      </c>
    </row>
    <row r="170" spans="1:22">
      <c r="A170" s="169">
        <v>147</v>
      </c>
      <c r="B170" s="166" t="s">
        <v>201</v>
      </c>
      <c r="C170" s="167" t="s">
        <v>29</v>
      </c>
      <c r="D170" s="42">
        <v>136414421.06999999</v>
      </c>
      <c r="E170" s="28">
        <f t="shared" si="107"/>
        <v>2.2421236761864605E-3</v>
      </c>
      <c r="F170" s="31">
        <v>163.5069</v>
      </c>
      <c r="G170" s="31">
        <v>164.39160000000001</v>
      </c>
      <c r="H170" s="30">
        <v>112</v>
      </c>
      <c r="I170" s="48">
        <v>2.5357000000000001E-2</v>
      </c>
      <c r="J170" s="48">
        <v>8.3599999999999994E-2</v>
      </c>
      <c r="K170" s="42">
        <v>137599467.44</v>
      </c>
      <c r="L170" s="52">
        <f t="shared" si="108"/>
        <v>2.2259542279976538E-3</v>
      </c>
      <c r="M170" s="31">
        <v>164.95150000000001</v>
      </c>
      <c r="N170" s="31">
        <v>165.84479999999999</v>
      </c>
      <c r="O170" s="30">
        <v>112</v>
      </c>
      <c r="P170" s="48">
        <v>8.8149999999999999E-3</v>
      </c>
      <c r="Q170" s="48">
        <v>9.3299999999999994E-2</v>
      </c>
      <c r="R170" s="55">
        <f t="shared" si="109"/>
        <v>8.6871047848519432E-3</v>
      </c>
      <c r="S170" s="55">
        <f t="shared" si="110"/>
        <v>8.8398677304678645E-3</v>
      </c>
      <c r="T170" s="55">
        <f t="shared" si="110"/>
        <v>0</v>
      </c>
      <c r="U170" s="55">
        <f t="shared" si="111"/>
        <v>-1.6542000000000001E-2</v>
      </c>
      <c r="V170" s="56">
        <f t="shared" si="111"/>
        <v>9.7000000000000003E-3</v>
      </c>
    </row>
    <row r="171" spans="1:22">
      <c r="A171" s="169">
        <v>148</v>
      </c>
      <c r="B171" s="166" t="s">
        <v>202</v>
      </c>
      <c r="C171" s="167" t="s">
        <v>70</v>
      </c>
      <c r="D171" s="42">
        <v>273920513.54000002</v>
      </c>
      <c r="E171" s="28">
        <f t="shared" si="107"/>
        <v>4.5021901935575767E-3</v>
      </c>
      <c r="F171" s="31">
        <v>136.21</v>
      </c>
      <c r="G171" s="31">
        <v>137.16</v>
      </c>
      <c r="H171" s="30">
        <v>47</v>
      </c>
      <c r="I171" s="48">
        <v>2.46E-2</v>
      </c>
      <c r="J171" s="48">
        <v>0.14990000000000001</v>
      </c>
      <c r="K171" s="42">
        <v>278055575.17000002</v>
      </c>
      <c r="L171" s="52">
        <f t="shared" si="108"/>
        <v>4.4981204846440866E-3</v>
      </c>
      <c r="M171" s="31">
        <v>137.72</v>
      </c>
      <c r="N171" s="31">
        <v>138.75</v>
      </c>
      <c r="O171" s="30">
        <v>47</v>
      </c>
      <c r="P171" s="48">
        <v>1.2999999999999999E-2</v>
      </c>
      <c r="Q171" s="48">
        <v>0.16289999999999999</v>
      </c>
      <c r="R171" s="55">
        <f t="shared" si="109"/>
        <v>1.5095845055781706E-2</v>
      </c>
      <c r="S171" s="55">
        <f t="shared" si="110"/>
        <v>1.1592300962379728E-2</v>
      </c>
      <c r="T171" s="55">
        <f t="shared" si="110"/>
        <v>0</v>
      </c>
      <c r="U171" s="55">
        <f t="shared" si="111"/>
        <v>-1.1600000000000001E-2</v>
      </c>
      <c r="V171" s="56">
        <f t="shared" si="111"/>
        <v>1.2999999999999984E-2</v>
      </c>
    </row>
    <row r="172" spans="1:22" ht="15.75" customHeight="1">
      <c r="A172" s="169">
        <v>149</v>
      </c>
      <c r="B172" s="166" t="s">
        <v>203</v>
      </c>
      <c r="C172" s="167" t="s">
        <v>73</v>
      </c>
      <c r="D172" s="27">
        <v>371197357.66000003</v>
      </c>
      <c r="E172" s="28">
        <f t="shared" si="107"/>
        <v>6.1010439924109395E-3</v>
      </c>
      <c r="F172" s="31">
        <v>1.4883</v>
      </c>
      <c r="G172" s="31">
        <v>1.5035000000000001</v>
      </c>
      <c r="H172" s="30">
        <v>98</v>
      </c>
      <c r="I172" s="48">
        <v>3.6999999999999998E-2</v>
      </c>
      <c r="J172" s="48">
        <v>0.1678</v>
      </c>
      <c r="K172" s="27">
        <v>382325787.50999999</v>
      </c>
      <c r="L172" s="52">
        <f t="shared" si="108"/>
        <v>6.1849055015529876E-3</v>
      </c>
      <c r="M172" s="31">
        <v>1.5330999999999999</v>
      </c>
      <c r="N172" s="31">
        <v>1.5035000000000001</v>
      </c>
      <c r="O172" s="30">
        <v>96</v>
      </c>
      <c r="P172" s="48">
        <v>3.6999999999999998E-2</v>
      </c>
      <c r="Q172" s="48">
        <v>0.2029</v>
      </c>
      <c r="R172" s="55">
        <f t="shared" si="109"/>
        <v>2.9979819684473892E-2</v>
      </c>
      <c r="S172" s="55">
        <f t="shared" si="110"/>
        <v>0</v>
      </c>
      <c r="T172" s="55">
        <f t="shared" si="110"/>
        <v>-2.0408163265306121E-2</v>
      </c>
      <c r="U172" s="55">
        <f t="shared" si="111"/>
        <v>0</v>
      </c>
      <c r="V172" s="56">
        <f t="shared" si="111"/>
        <v>3.5099999999999992E-2</v>
      </c>
    </row>
    <row r="173" spans="1:22">
      <c r="A173" s="169">
        <v>150</v>
      </c>
      <c r="B173" s="166" t="s">
        <v>204</v>
      </c>
      <c r="C173" s="167" t="s">
        <v>31</v>
      </c>
      <c r="D173" s="31">
        <v>10629864249.959999</v>
      </c>
      <c r="E173" s="28">
        <f t="shared" si="107"/>
        <v>0.17471371518157444</v>
      </c>
      <c r="F173" s="31">
        <v>366.17</v>
      </c>
      <c r="G173" s="31">
        <v>369.22</v>
      </c>
      <c r="H173" s="30">
        <v>5485</v>
      </c>
      <c r="I173" s="48">
        <v>9.5999999999999992E-3</v>
      </c>
      <c r="J173" s="48">
        <v>0.12970000000000001</v>
      </c>
      <c r="K173" s="31">
        <v>10761119773.98</v>
      </c>
      <c r="L173" s="52">
        <f t="shared" si="108"/>
        <v>0.17408323233027725</v>
      </c>
      <c r="M173" s="31">
        <v>370.45</v>
      </c>
      <c r="N173" s="31">
        <v>373.59</v>
      </c>
      <c r="O173" s="30">
        <v>5486</v>
      </c>
      <c r="P173" s="48">
        <v>1.18E-2</v>
      </c>
      <c r="Q173" s="48">
        <v>0.14299999999999999</v>
      </c>
      <c r="R173" s="55">
        <f t="shared" si="109"/>
        <v>1.2347808112459609E-2</v>
      </c>
      <c r="S173" s="55">
        <f t="shared" si="110"/>
        <v>1.1835761876387919E-2</v>
      </c>
      <c r="T173" s="55">
        <f t="shared" si="110"/>
        <v>1.8231540565177758E-4</v>
      </c>
      <c r="U173" s="55">
        <f t="shared" si="111"/>
        <v>2.2000000000000006E-3</v>
      </c>
      <c r="V173" s="56">
        <f t="shared" si="111"/>
        <v>1.3299999999999979E-2</v>
      </c>
    </row>
    <row r="174" spans="1:22">
      <c r="A174" s="169">
        <v>151</v>
      </c>
      <c r="B174" s="166" t="s">
        <v>205</v>
      </c>
      <c r="C174" s="167" t="s">
        <v>78</v>
      </c>
      <c r="D174" s="31">
        <v>3644009462.1300001</v>
      </c>
      <c r="E174" s="28">
        <f t="shared" si="107"/>
        <v>5.9893373641901303E-2</v>
      </c>
      <c r="F174" s="31">
        <v>2.5507</v>
      </c>
      <c r="G174" s="31">
        <v>2.5956000000000001</v>
      </c>
      <c r="H174" s="30">
        <v>10304</v>
      </c>
      <c r="I174" s="48">
        <v>-3.3999999999999998E-3</v>
      </c>
      <c r="J174" s="48">
        <v>0.10009999999999999</v>
      </c>
      <c r="K174" s="31">
        <v>3698902457.8499999</v>
      </c>
      <c r="L174" s="52">
        <f t="shared" si="108"/>
        <v>5.9837350523121481E-2</v>
      </c>
      <c r="M174" s="31">
        <v>2.5886999999999998</v>
      </c>
      <c r="N174" s="31">
        <v>2.6349999999999998</v>
      </c>
      <c r="O174" s="30">
        <v>10304</v>
      </c>
      <c r="P174" s="48">
        <v>1.4999999999999999E-2</v>
      </c>
      <c r="Q174" s="48">
        <v>0.1167</v>
      </c>
      <c r="R174" s="55">
        <f t="shared" si="109"/>
        <v>1.5063900434526776E-2</v>
      </c>
      <c r="S174" s="55">
        <f t="shared" si="110"/>
        <v>1.5179534597010193E-2</v>
      </c>
      <c r="T174" s="55">
        <f t="shared" si="110"/>
        <v>0</v>
      </c>
      <c r="U174" s="55">
        <f t="shared" si="111"/>
        <v>1.84E-2</v>
      </c>
      <c r="V174" s="56">
        <f t="shared" si="111"/>
        <v>1.6600000000000004E-2</v>
      </c>
    </row>
    <row r="175" spans="1:22">
      <c r="A175" s="169">
        <v>152</v>
      </c>
      <c r="B175" s="166" t="s">
        <v>206</v>
      </c>
      <c r="C175" s="167" t="s">
        <v>80</v>
      </c>
      <c r="D175" s="31">
        <v>267130865.69999999</v>
      </c>
      <c r="E175" s="28">
        <f t="shared" si="107"/>
        <v>4.3905947327871888E-3</v>
      </c>
      <c r="F175" s="31">
        <v>304.52</v>
      </c>
      <c r="G175" s="31">
        <v>306.42</v>
      </c>
      <c r="H175" s="30">
        <v>32</v>
      </c>
      <c r="I175" s="48">
        <v>1.7086E-2</v>
      </c>
      <c r="J175" s="48">
        <v>7.1400000000000005E-2</v>
      </c>
      <c r="K175" s="31">
        <v>274196715.47000003</v>
      </c>
      <c r="L175" s="52">
        <f t="shared" si="108"/>
        <v>4.4356954969295799E-3</v>
      </c>
      <c r="M175" s="31">
        <v>312.58</v>
      </c>
      <c r="N175" s="31">
        <v>314.58999999999997</v>
      </c>
      <c r="O175" s="30">
        <v>32</v>
      </c>
      <c r="P175" s="48">
        <v>2.5939E-2</v>
      </c>
      <c r="Q175" s="48">
        <v>9.6058000000000004E-2</v>
      </c>
      <c r="R175" s="55">
        <f t="shared" si="109"/>
        <v>2.6450892342539362E-2</v>
      </c>
      <c r="S175" s="55">
        <f t="shared" si="110"/>
        <v>2.6662750473206574E-2</v>
      </c>
      <c r="T175" s="55">
        <f t="shared" si="110"/>
        <v>0</v>
      </c>
      <c r="U175" s="55">
        <f t="shared" si="111"/>
        <v>8.8529999999999998E-3</v>
      </c>
      <c r="V175" s="56">
        <f t="shared" si="111"/>
        <v>2.4657999999999999E-2</v>
      </c>
    </row>
    <row r="176" spans="1:22">
      <c r="A176" s="169">
        <v>153</v>
      </c>
      <c r="B176" s="166" t="s">
        <v>207</v>
      </c>
      <c r="C176" s="166" t="s">
        <v>82</v>
      </c>
      <c r="D176" s="130">
        <v>61008332.895292252</v>
      </c>
      <c r="E176" s="28">
        <f t="shared" si="107"/>
        <v>1.0027402275820108E-3</v>
      </c>
      <c r="F176" s="31">
        <v>1.1867658717815806</v>
      </c>
      <c r="G176" s="31">
        <v>1.1994874935176016</v>
      </c>
      <c r="H176" s="30">
        <v>33</v>
      </c>
      <c r="I176" s="48">
        <v>2.7662825408796194E-3</v>
      </c>
      <c r="J176" s="48">
        <v>-1.5082146209609627E-3</v>
      </c>
      <c r="K176" s="130">
        <v>60682524.682415597</v>
      </c>
      <c r="L176" s="52">
        <f t="shared" si="108"/>
        <v>9.8166457251220728E-4</v>
      </c>
      <c r="M176" s="31">
        <v>1.1812646241680309</v>
      </c>
      <c r="N176" s="31">
        <v>1.1937858963333254</v>
      </c>
      <c r="O176" s="30">
        <v>32</v>
      </c>
      <c r="P176" s="48">
        <v>-5.3403887209282578E-3</v>
      </c>
      <c r="Q176" s="48">
        <v>-6.8405488895387015E-3</v>
      </c>
      <c r="R176" s="55">
        <f t="shared" si="109"/>
        <v>-5.3403887209282578E-3</v>
      </c>
      <c r="S176" s="55">
        <f t="shared" si="110"/>
        <v>-4.7533610938749991E-3</v>
      </c>
      <c r="T176" s="55">
        <f t="shared" si="110"/>
        <v>-3.0303030303030304E-2</v>
      </c>
      <c r="U176" s="55">
        <f t="shared" si="111"/>
        <v>-8.1066712618078768E-3</v>
      </c>
      <c r="V176" s="56">
        <f t="shared" si="111"/>
        <v>-5.3323342685777392E-3</v>
      </c>
    </row>
    <row r="177" spans="1:22" ht="13.5" customHeight="1">
      <c r="A177" s="169">
        <v>154</v>
      </c>
      <c r="B177" s="166" t="s">
        <v>208</v>
      </c>
      <c r="C177" s="167" t="s">
        <v>37</v>
      </c>
      <c r="D177" s="27">
        <v>3647664814.4299998</v>
      </c>
      <c r="E177" s="28">
        <f t="shared" si="107"/>
        <v>5.9953453447777735E-2</v>
      </c>
      <c r="F177" s="31">
        <v>5.131405</v>
      </c>
      <c r="G177" s="31">
        <v>5.2648159999999997</v>
      </c>
      <c r="H177" s="30">
        <v>2414</v>
      </c>
      <c r="I177" s="48">
        <v>7.4525183932450112E-3</v>
      </c>
      <c r="J177" s="48">
        <v>0.21044086197534217</v>
      </c>
      <c r="K177" s="27">
        <v>3697001716.9299998</v>
      </c>
      <c r="L177" s="52">
        <f t="shared" si="108"/>
        <v>5.9806602131678419E-2</v>
      </c>
      <c r="M177" s="31">
        <v>5.1934649999999998</v>
      </c>
      <c r="N177" s="31">
        <v>5.329447</v>
      </c>
      <c r="O177" s="30">
        <v>2427</v>
      </c>
      <c r="P177" s="48">
        <v>1.2094153550538334E-2</v>
      </c>
      <c r="Q177" s="48">
        <v>0.22508011962391783</v>
      </c>
      <c r="R177" s="55">
        <f t="shared" si="109"/>
        <v>1.3525612963347236E-2</v>
      </c>
      <c r="S177" s="55">
        <f t="shared" si="110"/>
        <v>1.2276022561852177E-2</v>
      </c>
      <c r="T177" s="55">
        <f t="shared" si="110"/>
        <v>5.3852526926263461E-3</v>
      </c>
      <c r="U177" s="55">
        <f t="shared" si="111"/>
        <v>4.6416351572933223E-3</v>
      </c>
      <c r="V177" s="56">
        <f t="shared" si="111"/>
        <v>1.4639257648575654E-2</v>
      </c>
    </row>
    <row r="178" spans="1:22" ht="13.5" customHeight="1">
      <c r="A178" s="169">
        <v>155</v>
      </c>
      <c r="B178" s="166" t="s">
        <v>209</v>
      </c>
      <c r="C178" s="167" t="s">
        <v>210</v>
      </c>
      <c r="D178" s="27">
        <v>84353621.290000007</v>
      </c>
      <c r="E178" s="28">
        <f t="shared" si="107"/>
        <v>1.3864461688352149E-3</v>
      </c>
      <c r="F178" s="31">
        <v>2.3416999999999999</v>
      </c>
      <c r="G178" s="31">
        <v>2.3525999999999998</v>
      </c>
      <c r="H178" s="30">
        <v>97</v>
      </c>
      <c r="I178" s="48">
        <v>2.2000000000000001E-3</v>
      </c>
      <c r="J178" s="48">
        <v>0.113</v>
      </c>
      <c r="K178" s="27">
        <v>85251500.319999993</v>
      </c>
      <c r="L178" s="52">
        <f t="shared" si="108"/>
        <v>1.3791182561312923E-3</v>
      </c>
      <c r="M178" s="31">
        <v>2.3641700000000001</v>
      </c>
      <c r="N178" s="31">
        <v>2.37</v>
      </c>
      <c r="O178" s="30">
        <v>98</v>
      </c>
      <c r="P178" s="48">
        <v>8.0000000000000002E-3</v>
      </c>
      <c r="Q178" s="48">
        <v>0.11899999999999999</v>
      </c>
      <c r="R178" s="55">
        <f t="shared" si="109"/>
        <v>1.0644226249791465E-2</v>
      </c>
      <c r="S178" s="55">
        <f t="shared" si="110"/>
        <v>7.3960724305025529E-3</v>
      </c>
      <c r="T178" s="55">
        <f t="shared" si="110"/>
        <v>1.0309278350515464E-2</v>
      </c>
      <c r="U178" s="55">
        <f t="shared" si="111"/>
        <v>5.7999999999999996E-3</v>
      </c>
      <c r="V178" s="56">
        <f t="shared" si="111"/>
        <v>5.9999999999999915E-3</v>
      </c>
    </row>
    <row r="179" spans="1:22">
      <c r="A179" s="169">
        <v>156</v>
      </c>
      <c r="B179" s="166" t="s">
        <v>211</v>
      </c>
      <c r="C179" s="167" t="s">
        <v>132</v>
      </c>
      <c r="D179" s="27">
        <v>573409902.54999995</v>
      </c>
      <c r="E179" s="28">
        <f t="shared" si="107"/>
        <v>9.4246334704407957E-3</v>
      </c>
      <c r="F179" s="31">
        <v>280.34840000000003</v>
      </c>
      <c r="G179" s="31">
        <v>281.99149999999997</v>
      </c>
      <c r="H179" s="30">
        <v>151</v>
      </c>
      <c r="I179" s="48">
        <v>1.37E-2</v>
      </c>
      <c r="J179" s="48">
        <v>0.13539999999999999</v>
      </c>
      <c r="K179" s="27">
        <v>552537390.13</v>
      </c>
      <c r="L179" s="52">
        <f t="shared" si="108"/>
        <v>8.9384280518597821E-3</v>
      </c>
      <c r="M179" s="31">
        <v>284.41000000000003</v>
      </c>
      <c r="N179" s="31">
        <v>286.22000000000003</v>
      </c>
      <c r="O179" s="30">
        <v>151</v>
      </c>
      <c r="P179" s="48">
        <v>1.37E-2</v>
      </c>
      <c r="Q179" s="48">
        <v>0.17299999999999999</v>
      </c>
      <c r="R179" s="55">
        <f t="shared" si="109"/>
        <v>-3.6400683572394225E-2</v>
      </c>
      <c r="S179" s="55">
        <f t="shared" si="110"/>
        <v>1.4995132832018178E-2</v>
      </c>
      <c r="T179" s="55">
        <f t="shared" si="110"/>
        <v>0</v>
      </c>
      <c r="U179" s="55">
        <f t="shared" si="111"/>
        <v>0</v>
      </c>
      <c r="V179" s="56">
        <f t="shared" si="111"/>
        <v>3.7599999999999995E-2</v>
      </c>
    </row>
    <row r="180" spans="1:22">
      <c r="A180" s="169">
        <v>157</v>
      </c>
      <c r="B180" s="166" t="s">
        <v>212</v>
      </c>
      <c r="C180" s="167" t="s">
        <v>33</v>
      </c>
      <c r="D180" s="27">
        <v>1953490571.54</v>
      </c>
      <c r="E180" s="28">
        <f t="shared" si="107"/>
        <v>3.2107803759320347E-2</v>
      </c>
      <c r="F180" s="31">
        <v>552.22</v>
      </c>
      <c r="G180" s="31">
        <v>552.22</v>
      </c>
      <c r="H180" s="30">
        <v>823</v>
      </c>
      <c r="I180" s="48">
        <v>-0.1065</v>
      </c>
      <c r="J180" s="48">
        <v>-0.1123</v>
      </c>
      <c r="K180" s="27">
        <v>2035078778.54</v>
      </c>
      <c r="L180" s="52">
        <f t="shared" si="108"/>
        <v>3.2921582442713371E-2</v>
      </c>
      <c r="M180" s="31">
        <v>552.22</v>
      </c>
      <c r="N180" s="31">
        <v>552.22</v>
      </c>
      <c r="O180" s="30">
        <v>823</v>
      </c>
      <c r="P180" s="48">
        <v>4.1799999999999997E-2</v>
      </c>
      <c r="Q180" s="48">
        <v>6.9199999999999998E-2</v>
      </c>
      <c r="R180" s="55">
        <f t="shared" si="109"/>
        <v>4.1765344654661613E-2</v>
      </c>
      <c r="S180" s="55">
        <f t="shared" si="110"/>
        <v>0</v>
      </c>
      <c r="T180" s="55">
        <f t="shared" si="110"/>
        <v>0</v>
      </c>
      <c r="U180" s="55">
        <f t="shared" si="111"/>
        <v>0.14829999999999999</v>
      </c>
      <c r="V180" s="56">
        <f t="shared" si="111"/>
        <v>0.18149999999999999</v>
      </c>
    </row>
    <row r="181" spans="1:22">
      <c r="A181" s="169">
        <v>158</v>
      </c>
      <c r="B181" s="166" t="s">
        <v>213</v>
      </c>
      <c r="C181" s="167" t="s">
        <v>89</v>
      </c>
      <c r="D181" s="31">
        <v>37106775.479999997</v>
      </c>
      <c r="E181" s="28">
        <f t="shared" si="107"/>
        <v>6.0989138243639808E-4</v>
      </c>
      <c r="F181" s="31">
        <v>2.0099999999999998</v>
      </c>
      <c r="G181" s="31">
        <v>2.0099999999999998</v>
      </c>
      <c r="H181" s="30">
        <v>9</v>
      </c>
      <c r="I181" s="48">
        <v>4.5450000000000004E-3</v>
      </c>
      <c r="J181" s="48">
        <v>7.0710999999999996E-2</v>
      </c>
      <c r="K181" s="31">
        <v>37191747.289999999</v>
      </c>
      <c r="L181" s="52">
        <f t="shared" si="108"/>
        <v>6.0165296179576395E-4</v>
      </c>
      <c r="M181" s="31">
        <v>2.0099999999999998</v>
      </c>
      <c r="N181" s="31">
        <v>2.0099999999999998</v>
      </c>
      <c r="O181" s="30">
        <v>9</v>
      </c>
      <c r="P181" s="48">
        <v>2.2899999999999999E-3</v>
      </c>
      <c r="Q181" s="48">
        <v>7.3163000000000006E-2</v>
      </c>
      <c r="R181" s="55">
        <f t="shared" si="109"/>
        <v>2.2899270793766743E-3</v>
      </c>
      <c r="S181" s="55">
        <f t="shared" si="110"/>
        <v>0</v>
      </c>
      <c r="T181" s="55">
        <f t="shared" si="110"/>
        <v>0</v>
      </c>
      <c r="U181" s="55">
        <f t="shared" si="111"/>
        <v>-2.2550000000000005E-3</v>
      </c>
      <c r="V181" s="56">
        <f t="shared" si="111"/>
        <v>2.4520000000000097E-3</v>
      </c>
    </row>
    <row r="182" spans="1:22">
      <c r="A182" s="169">
        <v>159</v>
      </c>
      <c r="B182" s="166" t="s">
        <v>214</v>
      </c>
      <c r="C182" s="167" t="s">
        <v>45</v>
      </c>
      <c r="D182" s="31">
        <v>298823769.52999997</v>
      </c>
      <c r="E182" s="28">
        <f t="shared" si="107"/>
        <v>4.9115030758125934E-3</v>
      </c>
      <c r="F182" s="31">
        <v>2.9954290000000001</v>
      </c>
      <c r="G182" s="31">
        <v>3.0652509999999999</v>
      </c>
      <c r="H182" s="30">
        <v>123</v>
      </c>
      <c r="I182" s="48">
        <v>1.47E-2</v>
      </c>
      <c r="J182" s="48">
        <v>0.1469</v>
      </c>
      <c r="K182" s="31">
        <v>274752416.27999997</v>
      </c>
      <c r="L182" s="52">
        <f t="shared" si="108"/>
        <v>4.4446850998003939E-3</v>
      </c>
      <c r="M182" s="31">
        <v>2.7534179999999999</v>
      </c>
      <c r="N182" s="31">
        <v>2.8241230000000002</v>
      </c>
      <c r="O182" s="30">
        <v>123</v>
      </c>
      <c r="P182" s="48">
        <v>-9.0200000000000002E-2</v>
      </c>
      <c r="Q182" s="48">
        <v>5.5500000000000001E-2</v>
      </c>
      <c r="R182" s="55">
        <f t="shared" si="109"/>
        <v>-8.0553676462418733E-2</v>
      </c>
      <c r="S182" s="55">
        <f t="shared" si="110"/>
        <v>-7.8665009814856857E-2</v>
      </c>
      <c r="T182" s="55">
        <f t="shared" si="110"/>
        <v>0</v>
      </c>
      <c r="U182" s="55">
        <f t="shared" si="111"/>
        <v>-0.10490000000000001</v>
      </c>
      <c r="V182" s="56">
        <f t="shared" si="111"/>
        <v>-9.1400000000000009E-2</v>
      </c>
    </row>
    <row r="183" spans="1:22">
      <c r="A183" s="169">
        <v>160</v>
      </c>
      <c r="B183" s="166" t="s">
        <v>215</v>
      </c>
      <c r="C183" s="167" t="s">
        <v>49</v>
      </c>
      <c r="D183" s="27">
        <v>2873915643.4899998</v>
      </c>
      <c r="E183" s="28">
        <f t="shared" si="107"/>
        <v>4.7236019895030415E-2</v>
      </c>
      <c r="F183" s="31">
        <v>7329.84</v>
      </c>
      <c r="G183" s="31">
        <v>7401.58</v>
      </c>
      <c r="H183" s="30">
        <v>2379</v>
      </c>
      <c r="I183" s="48">
        <v>6.1999999999999998E-3</v>
      </c>
      <c r="J183" s="48">
        <v>0.14990000000000001</v>
      </c>
      <c r="K183" s="27">
        <v>2921227004.1999998</v>
      </c>
      <c r="L183" s="28">
        <f t="shared" si="108"/>
        <v>4.7256851511982202E-2</v>
      </c>
      <c r="M183" s="31">
        <v>7458.06</v>
      </c>
      <c r="N183" s="31">
        <v>7532.5</v>
      </c>
      <c r="O183" s="30">
        <v>2394</v>
      </c>
      <c r="P183" s="48">
        <v>1.7500000000000002E-2</v>
      </c>
      <c r="Q183" s="48">
        <v>0.17030000000000001</v>
      </c>
      <c r="R183" s="55">
        <f t="shared" si="109"/>
        <v>1.6462334521602902E-2</v>
      </c>
      <c r="S183" s="55">
        <f t="shared" si="110"/>
        <v>1.7688115240259521E-2</v>
      </c>
      <c r="T183" s="55">
        <f t="shared" si="110"/>
        <v>6.3051702395964691E-3</v>
      </c>
      <c r="U183" s="55">
        <f t="shared" si="111"/>
        <v>1.1300000000000001E-2</v>
      </c>
      <c r="V183" s="56">
        <f t="shared" si="111"/>
        <v>2.0400000000000001E-2</v>
      </c>
    </row>
    <row r="184" spans="1:22">
      <c r="A184" s="169">
        <v>161</v>
      </c>
      <c r="B184" s="166" t="s">
        <v>216</v>
      </c>
      <c r="C184" s="166" t="s">
        <v>99</v>
      </c>
      <c r="D184" s="27">
        <v>114277545.26000001</v>
      </c>
      <c r="E184" s="28">
        <f t="shared" si="107"/>
        <v>1.8782793481375132E-3</v>
      </c>
      <c r="F184" s="31">
        <v>1204.1600000000001</v>
      </c>
      <c r="G184" s="31">
        <v>1220.77</v>
      </c>
      <c r="H184" s="30">
        <v>11</v>
      </c>
      <c r="I184" s="48">
        <v>1.02672293967212E-2</v>
      </c>
      <c r="J184" s="48">
        <v>8.8082999999999995E-2</v>
      </c>
      <c r="K184" s="27">
        <v>114935446.61</v>
      </c>
      <c r="L184" s="28">
        <f t="shared" si="108"/>
        <v>1.8593171041151532E-3</v>
      </c>
      <c r="M184" s="31">
        <v>1211.06</v>
      </c>
      <c r="N184" s="31">
        <v>1227.81</v>
      </c>
      <c r="O184" s="30">
        <v>11</v>
      </c>
      <c r="P184" s="48">
        <v>5.4479048969779953E-3</v>
      </c>
      <c r="Q184" s="48">
        <v>9.4045000000000004E-2</v>
      </c>
      <c r="R184" s="55">
        <f t="shared" si="109"/>
        <v>5.7570483204129165E-3</v>
      </c>
      <c r="S184" s="55">
        <f t="shared" si="110"/>
        <v>5.7668520687762341E-3</v>
      </c>
      <c r="T184" s="55">
        <f t="shared" si="110"/>
        <v>0</v>
      </c>
      <c r="U184" s="55">
        <f t="shared" si="111"/>
        <v>-4.819324499743205E-3</v>
      </c>
      <c r="V184" s="56">
        <f t="shared" si="111"/>
        <v>5.962000000000009E-3</v>
      </c>
    </row>
    <row r="185" spans="1:22">
      <c r="A185" s="169">
        <v>162</v>
      </c>
      <c r="B185" s="166" t="s">
        <v>217</v>
      </c>
      <c r="C185" s="166" t="s">
        <v>82</v>
      </c>
      <c r="D185" s="27">
        <v>762312331.91812122</v>
      </c>
      <c r="E185" s="28">
        <f t="shared" si="107"/>
        <v>1.2529456304077041E-2</v>
      </c>
      <c r="F185" s="31">
        <v>1.4514379688360444</v>
      </c>
      <c r="G185" s="31">
        <v>1.4514379688360444</v>
      </c>
      <c r="H185" s="30">
        <v>43</v>
      </c>
      <c r="I185" s="48">
        <v>2.5162933572095243E-3</v>
      </c>
      <c r="J185" s="48">
        <v>8.1307064125399314E-2</v>
      </c>
      <c r="K185" s="27">
        <v>764087595.94471419</v>
      </c>
      <c r="L185" s="28">
        <f t="shared" si="108"/>
        <v>1.23606874822778E-2</v>
      </c>
      <c r="M185" s="31">
        <v>1.4584788095932033</v>
      </c>
      <c r="N185" s="31">
        <v>1.4584788095932033</v>
      </c>
      <c r="O185" s="30">
        <v>43</v>
      </c>
      <c r="P185" s="48">
        <v>2.3287882830467553E-3</v>
      </c>
      <c r="Q185" s="48">
        <v>8.3825199346710233E-2</v>
      </c>
      <c r="R185" s="55">
        <f t="shared" si="109"/>
        <v>2.3287882830467553E-3</v>
      </c>
      <c r="S185" s="55">
        <f t="shared" si="110"/>
        <v>4.8509415547432731E-3</v>
      </c>
      <c r="T185" s="55">
        <f t="shared" si="110"/>
        <v>0</v>
      </c>
      <c r="U185" s="55">
        <f t="shared" si="111"/>
        <v>-1.8750507416276894E-4</v>
      </c>
      <c r="V185" s="56">
        <f t="shared" si="111"/>
        <v>2.5181352213109187E-3</v>
      </c>
    </row>
    <row r="186" spans="1:22">
      <c r="A186" s="169">
        <v>163</v>
      </c>
      <c r="B186" s="166" t="s">
        <v>218</v>
      </c>
      <c r="C186" s="167" t="s">
        <v>52</v>
      </c>
      <c r="D186" s="31">
        <v>2443119906.8499999</v>
      </c>
      <c r="E186" s="28">
        <f t="shared" si="107"/>
        <v>4.0155409845561464E-2</v>
      </c>
      <c r="F186" s="31">
        <v>2.1919</v>
      </c>
      <c r="G186" s="31">
        <v>2.2069999999999999</v>
      </c>
      <c r="H186" s="30">
        <v>4890</v>
      </c>
      <c r="I186" s="48">
        <v>1.6000000000000001E-3</v>
      </c>
      <c r="J186" s="48">
        <v>0.14180000000000001</v>
      </c>
      <c r="K186" s="31">
        <v>2505505128.8299999</v>
      </c>
      <c r="L186" s="52">
        <f t="shared" si="108"/>
        <v>4.0531695642069598E-2</v>
      </c>
      <c r="M186" s="31">
        <v>2.2258</v>
      </c>
      <c r="N186" s="31">
        <v>2.2408999999999999</v>
      </c>
      <c r="O186" s="30">
        <v>2361</v>
      </c>
      <c r="P186" s="48">
        <v>5.0000000000000001E-4</v>
      </c>
      <c r="Q186" s="48">
        <v>0.12570000000000001</v>
      </c>
      <c r="R186" s="55">
        <f t="shared" si="109"/>
        <v>2.5535063508379117E-2</v>
      </c>
      <c r="S186" s="55">
        <f t="shared" si="110"/>
        <v>1.5360217489805185E-2</v>
      </c>
      <c r="T186" s="55">
        <f t="shared" si="110"/>
        <v>-0.51717791411042946</v>
      </c>
      <c r="U186" s="55">
        <f t="shared" si="111"/>
        <v>-1.1000000000000001E-3</v>
      </c>
      <c r="V186" s="56">
        <f t="shared" si="111"/>
        <v>-1.6100000000000003E-2</v>
      </c>
    </row>
    <row r="187" spans="1:22">
      <c r="A187" s="169">
        <v>164</v>
      </c>
      <c r="B187" s="166" t="s">
        <v>219</v>
      </c>
      <c r="C187" s="167" t="s">
        <v>52</v>
      </c>
      <c r="D187" s="31">
        <v>1389404804.8099999</v>
      </c>
      <c r="E187" s="28">
        <f t="shared" si="107"/>
        <v>2.2836422896030762E-2</v>
      </c>
      <c r="F187" s="31">
        <v>1.7008000000000001</v>
      </c>
      <c r="G187" s="31">
        <v>1.7110000000000001</v>
      </c>
      <c r="H187" s="30">
        <v>2352</v>
      </c>
      <c r="I187" s="48">
        <v>-6.9999999999999999E-4</v>
      </c>
      <c r="J187" s="48">
        <v>0.1085</v>
      </c>
      <c r="K187" s="31">
        <v>1434031125.0599999</v>
      </c>
      <c r="L187" s="52">
        <f t="shared" si="108"/>
        <v>2.3198401166046979E-2</v>
      </c>
      <c r="M187" s="31">
        <v>1.7223999999999999</v>
      </c>
      <c r="N187" s="31">
        <v>1.7325999999999999</v>
      </c>
      <c r="O187" s="30">
        <v>949</v>
      </c>
      <c r="P187" s="48">
        <v>6.9999999999999999E-4</v>
      </c>
      <c r="Q187" s="48">
        <v>0.13370000000000001</v>
      </c>
      <c r="R187" s="55">
        <f t="shared" si="109"/>
        <v>3.2119019666196284E-2</v>
      </c>
      <c r="S187" s="55">
        <f t="shared" si="110"/>
        <v>1.2624196376387984E-2</v>
      </c>
      <c r="T187" s="55">
        <f t="shared" si="110"/>
        <v>-0.59651360544217691</v>
      </c>
      <c r="U187" s="55">
        <f t="shared" si="111"/>
        <v>1.4E-3</v>
      </c>
      <c r="V187" s="56">
        <f t="shared" si="111"/>
        <v>2.5200000000000014E-2</v>
      </c>
    </row>
    <row r="188" spans="1:22">
      <c r="A188" s="169">
        <v>165</v>
      </c>
      <c r="B188" s="166" t="s">
        <v>220</v>
      </c>
      <c r="C188" s="167" t="s">
        <v>103</v>
      </c>
      <c r="D188" s="27">
        <v>10396549734.059999</v>
      </c>
      <c r="E188" s="28">
        <f t="shared" si="107"/>
        <v>0.1708789300027484</v>
      </c>
      <c r="F188" s="31">
        <v>603.55999999999995</v>
      </c>
      <c r="G188" s="31">
        <v>610.69000000000005</v>
      </c>
      <c r="H188" s="30">
        <v>35</v>
      </c>
      <c r="I188" s="48">
        <v>-1.1183090510286098E-3</v>
      </c>
      <c r="J188" s="48">
        <v>0.16679736069672457</v>
      </c>
      <c r="K188" s="27">
        <v>10442021249.15</v>
      </c>
      <c r="L188" s="52">
        <f t="shared" si="108"/>
        <v>0.16892115776917563</v>
      </c>
      <c r="M188" s="31">
        <v>606.17999999999995</v>
      </c>
      <c r="N188" s="31">
        <v>613.37</v>
      </c>
      <c r="O188" s="30">
        <v>35</v>
      </c>
      <c r="P188" s="48">
        <v>5.9310189938819313E-3</v>
      </c>
      <c r="Q188" s="48">
        <v>0.17190056614045046</v>
      </c>
      <c r="R188" s="55">
        <f t="shared" si="109"/>
        <v>4.3737120730574222E-3</v>
      </c>
      <c r="S188" s="55">
        <f t="shared" si="110"/>
        <v>4.3884786061667127E-3</v>
      </c>
      <c r="T188" s="55">
        <f t="shared" si="110"/>
        <v>0</v>
      </c>
      <c r="U188" s="55">
        <f t="shared" si="111"/>
        <v>7.0493280449105411E-3</v>
      </c>
      <c r="V188" s="56">
        <f t="shared" si="111"/>
        <v>5.1032054437258889E-3</v>
      </c>
    </row>
    <row r="189" spans="1:22">
      <c r="A189" s="34"/>
      <c r="B189" s="35"/>
      <c r="C189" s="36" t="s">
        <v>53</v>
      </c>
      <c r="D189" s="73">
        <f>SUM(D161:D188)</f>
        <v>60841613029.135788</v>
      </c>
      <c r="E189" s="38">
        <f>(D189/$D$221)</f>
        <v>1.0747500613562879E-2</v>
      </c>
      <c r="F189" s="39"/>
      <c r="G189" s="74"/>
      <c r="H189" s="41">
        <f>SUM(H161:H188)</f>
        <v>74154</v>
      </c>
      <c r="I189" s="80"/>
      <c r="J189" s="80"/>
      <c r="K189" s="73">
        <f>SUM(K161:K188)</f>
        <v>61815946486.813843</v>
      </c>
      <c r="L189" s="38">
        <f>(K189/$K$221)</f>
        <v>1.0831838501493645E-2</v>
      </c>
      <c r="M189" s="39"/>
      <c r="N189" s="74"/>
      <c r="O189" s="41">
        <f>SUM(O161:O188)</f>
        <v>70266</v>
      </c>
      <c r="P189" s="80"/>
      <c r="Q189" s="80"/>
      <c r="R189" s="55">
        <f t="shared" ref="R189" si="117">((K189-D189)/D189)</f>
        <v>1.6014260785812282E-2</v>
      </c>
      <c r="S189" s="55" t="e">
        <f t="shared" ref="S189" si="118">((N189-G189)/G189)</f>
        <v>#DIV/0!</v>
      </c>
      <c r="T189" s="55">
        <f t="shared" ref="T189" si="119">((O189-H189)/H189)</f>
        <v>-5.2431426490816412E-2</v>
      </c>
      <c r="U189" s="55">
        <f t="shared" ref="U189" si="120">P189-I189</f>
        <v>0</v>
      </c>
      <c r="V189" s="56">
        <f t="shared" ref="V189" si="121">Q189-J189</f>
        <v>0</v>
      </c>
    </row>
    <row r="190" spans="1:22" ht="5.25" customHeight="1">
      <c r="A190" s="34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</row>
    <row r="191" spans="1:22" ht="15" customHeight="1">
      <c r="A191" s="180" t="s">
        <v>221</v>
      </c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</row>
    <row r="192" spans="1:22">
      <c r="A192" s="168">
        <v>166</v>
      </c>
      <c r="B192" s="166" t="s">
        <v>222</v>
      </c>
      <c r="C192" s="167" t="s">
        <v>223</v>
      </c>
      <c r="D192" s="76">
        <v>1151298974.0899999</v>
      </c>
      <c r="E192" s="28">
        <f>(D192/$D$194)</f>
        <v>0.19211799525668566</v>
      </c>
      <c r="F192" s="75">
        <v>32.164700000000003</v>
      </c>
      <c r="G192" s="75">
        <v>32.483199999999997</v>
      </c>
      <c r="H192" s="30">
        <v>1492</v>
      </c>
      <c r="I192" s="48">
        <v>2.3E-3</v>
      </c>
      <c r="J192" s="48">
        <v>0.20830000000000001</v>
      </c>
      <c r="K192" s="76">
        <v>1170906698.3</v>
      </c>
      <c r="L192" s="52">
        <f>(K192/$K$194)</f>
        <v>0.19096515930335423</v>
      </c>
      <c r="M192" s="75">
        <v>32.450000000000003</v>
      </c>
      <c r="N192" s="75">
        <v>32.772599999999997</v>
      </c>
      <c r="O192" s="30">
        <v>1493</v>
      </c>
      <c r="P192" s="48">
        <v>1.7600000000000001E-2</v>
      </c>
      <c r="Q192" s="48">
        <v>0.21909999999999999</v>
      </c>
      <c r="R192" s="55">
        <f>((K192-D192)/D192)</f>
        <v>1.7030957771414858E-2</v>
      </c>
      <c r="S192" s="55">
        <f t="shared" ref="S192:T194" si="122">((N192-G192)/G192)</f>
        <v>8.9092207664269712E-3</v>
      </c>
      <c r="T192" s="55">
        <f t="shared" si="122"/>
        <v>6.7024128686327079E-4</v>
      </c>
      <c r="U192" s="55">
        <f t="shared" ref="U192:V194" si="123">P192-I192</f>
        <v>1.5300000000000001E-2</v>
      </c>
      <c r="V192" s="56">
        <f t="shared" si="123"/>
        <v>1.0799999999999976E-2</v>
      </c>
    </row>
    <row r="193" spans="1:24">
      <c r="A193" s="168">
        <v>167</v>
      </c>
      <c r="B193" s="166" t="s">
        <v>224</v>
      </c>
      <c r="C193" s="167" t="s">
        <v>49</v>
      </c>
      <c r="D193" s="42">
        <v>4841367004.71</v>
      </c>
      <c r="E193" s="28">
        <f>(D193/$D$194)</f>
        <v>0.80788200474331429</v>
      </c>
      <c r="F193" s="75">
        <v>3.37</v>
      </c>
      <c r="G193" s="75">
        <v>3.42</v>
      </c>
      <c r="H193" s="30">
        <v>10440</v>
      </c>
      <c r="I193" s="48">
        <v>0</v>
      </c>
      <c r="J193" s="48">
        <v>0.17929999999999999</v>
      </c>
      <c r="K193" s="42">
        <v>4960613326.46</v>
      </c>
      <c r="L193" s="52">
        <f>(K193/$K$194)</f>
        <v>0.80903484069664577</v>
      </c>
      <c r="M193" s="75">
        <v>3.46</v>
      </c>
      <c r="N193" s="75">
        <v>3.51</v>
      </c>
      <c r="O193" s="30">
        <v>10462</v>
      </c>
      <c r="P193" s="48">
        <v>2.63E-2</v>
      </c>
      <c r="Q193" s="48">
        <v>0.21029999999999999</v>
      </c>
      <c r="R193" s="55">
        <f>((K193-D193)/D193)</f>
        <v>2.4630713109332413E-2</v>
      </c>
      <c r="S193" s="55">
        <f t="shared" si="122"/>
        <v>2.6315789473684171E-2</v>
      </c>
      <c r="T193" s="55">
        <f t="shared" si="122"/>
        <v>2.1072796934865899E-3</v>
      </c>
      <c r="U193" s="55">
        <f t="shared" si="123"/>
        <v>2.63E-2</v>
      </c>
      <c r="V193" s="56">
        <f t="shared" si="123"/>
        <v>3.1E-2</v>
      </c>
    </row>
    <row r="194" spans="1:24">
      <c r="A194" s="34"/>
      <c r="B194" s="35"/>
      <c r="C194" s="69" t="s">
        <v>53</v>
      </c>
      <c r="D194" s="73">
        <f>SUM(D192:D193)</f>
        <v>5992665978.8000002</v>
      </c>
      <c r="E194" s="38">
        <f>(D194/$D$221)</f>
        <v>1.0585876684956988E-3</v>
      </c>
      <c r="F194" s="39"/>
      <c r="G194" s="74"/>
      <c r="H194" s="41">
        <f>SUM(H192:H193)</f>
        <v>11932</v>
      </c>
      <c r="I194" s="80"/>
      <c r="J194" s="80"/>
      <c r="K194" s="73">
        <f>SUM(K192:K193)</f>
        <v>6131520024.7600002</v>
      </c>
      <c r="L194" s="38">
        <f>(K194/$K$221)</f>
        <v>1.0744094113489303E-3</v>
      </c>
      <c r="M194" s="39"/>
      <c r="N194" s="74"/>
      <c r="O194" s="41">
        <f>SUM(O192:O193)</f>
        <v>11955</v>
      </c>
      <c r="P194" s="80"/>
      <c r="Q194" s="80"/>
      <c r="R194" s="55">
        <f>((K194-D194)/D194)</f>
        <v>2.3170663349370398E-2</v>
      </c>
      <c r="S194" s="55" t="e">
        <f t="shared" si="122"/>
        <v>#DIV/0!</v>
      </c>
      <c r="T194" s="55">
        <f t="shared" si="122"/>
        <v>1.9275896748240026E-3</v>
      </c>
      <c r="U194" s="55">
        <f t="shared" si="123"/>
        <v>0</v>
      </c>
      <c r="V194" s="56">
        <f t="shared" si="123"/>
        <v>0</v>
      </c>
    </row>
    <row r="195" spans="1:24" ht="6" customHeight="1">
      <c r="A195" s="34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</row>
    <row r="196" spans="1:24" ht="15" customHeight="1">
      <c r="A196" s="181" t="s">
        <v>225</v>
      </c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</row>
    <row r="197" spans="1:24">
      <c r="A197" s="182" t="s">
        <v>226</v>
      </c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</row>
    <row r="198" spans="1:24">
      <c r="A198" s="168">
        <v>168</v>
      </c>
      <c r="B198" s="166" t="s">
        <v>227</v>
      </c>
      <c r="C198" s="167" t="s">
        <v>228</v>
      </c>
      <c r="D198" s="45">
        <v>5812855353.4200001</v>
      </c>
      <c r="E198" s="28">
        <f>(D198/$D$220)</f>
        <v>9.9125586360059498E-2</v>
      </c>
      <c r="F198" s="77">
        <v>2.5</v>
      </c>
      <c r="G198" s="77">
        <v>2.54</v>
      </c>
      <c r="H198" s="44">
        <v>15035</v>
      </c>
      <c r="I198" s="51">
        <v>3.3000000000000002E-2</v>
      </c>
      <c r="J198" s="51">
        <v>9.9299999999999999E-2</v>
      </c>
      <c r="K198" s="45">
        <v>5883251512.7200003</v>
      </c>
      <c r="L198" s="28">
        <f>(K198/$K$220)</f>
        <v>9.9084664963459884E-2</v>
      </c>
      <c r="M198" s="77">
        <v>2.52</v>
      </c>
      <c r="N198" s="77">
        <v>2.56</v>
      </c>
      <c r="O198" s="44">
        <v>15037</v>
      </c>
      <c r="P198" s="51">
        <v>9.5999999999999992E-3</v>
      </c>
      <c r="Q198" s="51">
        <v>0.10979999999999999</v>
      </c>
      <c r="R198" s="55">
        <f>((K198-D198)/D198)</f>
        <v>1.2110426807469505E-2</v>
      </c>
      <c r="S198" s="55">
        <f>((N198-G198)/G198)</f>
        <v>7.8740157480315029E-3</v>
      </c>
      <c r="T198" s="55">
        <f>((O198-H198)/H198)</f>
        <v>1.3302294645826406E-4</v>
      </c>
      <c r="U198" s="55">
        <f>P198-I198</f>
        <v>-2.3400000000000004E-2</v>
      </c>
      <c r="V198" s="56">
        <f>Q198-J198</f>
        <v>1.0499999999999995E-2</v>
      </c>
    </row>
    <row r="199" spans="1:24">
      <c r="A199" s="168">
        <v>169</v>
      </c>
      <c r="B199" s="166" t="s">
        <v>229</v>
      </c>
      <c r="C199" s="167" t="s">
        <v>49</v>
      </c>
      <c r="D199" s="45">
        <v>1095046341.28</v>
      </c>
      <c r="E199" s="28">
        <f>(D199/$D$220)</f>
        <v>1.8673630095913878E-2</v>
      </c>
      <c r="F199" s="77">
        <v>623.87</v>
      </c>
      <c r="G199" s="77">
        <v>631.91999999999996</v>
      </c>
      <c r="H199" s="44">
        <v>1002</v>
      </c>
      <c r="I199" s="51">
        <v>3.3700000000000001E-2</v>
      </c>
      <c r="J199" s="51">
        <v>0.25209999999999999</v>
      </c>
      <c r="K199" s="45">
        <v>1163948395.5599999</v>
      </c>
      <c r="L199" s="28">
        <f>(K199/$K$220)</f>
        <v>1.9603009757354243E-2</v>
      </c>
      <c r="M199" s="77">
        <v>647.05999999999995</v>
      </c>
      <c r="N199" s="77">
        <v>655.17999999999995</v>
      </c>
      <c r="O199" s="44">
        <v>1025</v>
      </c>
      <c r="P199" s="51">
        <v>3.6700000000000003E-2</v>
      </c>
      <c r="Q199" s="51">
        <v>0.29820000000000002</v>
      </c>
      <c r="R199" s="55">
        <f>((K199-D199)/D199)</f>
        <v>6.2921587591864225E-2</v>
      </c>
      <c r="S199" s="55">
        <f>((N199-G199)/G199)</f>
        <v>3.6808456766679314E-2</v>
      </c>
      <c r="T199" s="55">
        <f>((O199-H199)/H199)</f>
        <v>2.2954091816367265E-2</v>
      </c>
      <c r="U199" s="55">
        <f>P199-I199</f>
        <v>3.0000000000000027E-3</v>
      </c>
      <c r="V199" s="56">
        <f>Q199-J199</f>
        <v>4.610000000000003E-2</v>
      </c>
    </row>
    <row r="200" spans="1:24" ht="6" customHeight="1">
      <c r="A200" s="34"/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</row>
    <row r="201" spans="1:24" ht="15" customHeight="1">
      <c r="A201" s="182" t="s">
        <v>171</v>
      </c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</row>
    <row r="202" spans="1:24">
      <c r="A202" s="168">
        <v>170</v>
      </c>
      <c r="B202" s="166" t="s">
        <v>289</v>
      </c>
      <c r="C202" s="167" t="s">
        <v>23</v>
      </c>
      <c r="D202" s="27">
        <v>1296994562.27</v>
      </c>
      <c r="E202" s="28">
        <f>(D202/$D$220)</f>
        <v>2.2117417116732634E-2</v>
      </c>
      <c r="F202" s="75">
        <v>1.075</v>
      </c>
      <c r="G202" s="75">
        <v>1.075</v>
      </c>
      <c r="H202" s="30">
        <v>614</v>
      </c>
      <c r="I202" s="48">
        <v>9.7199999999999995E-2</v>
      </c>
      <c r="J202" s="48">
        <v>0.1487</v>
      </c>
      <c r="K202" s="27">
        <v>1301746344.95</v>
      </c>
      <c r="L202" s="28">
        <f t="shared" ref="L202:L214" si="124">(K202/$K$220)</f>
        <v>2.1923778063526397E-2</v>
      </c>
      <c r="M202" s="75">
        <v>1.0778000000000001</v>
      </c>
      <c r="N202" s="75">
        <v>1.0778000000000001</v>
      </c>
      <c r="O202" s="30">
        <v>618</v>
      </c>
      <c r="P202" s="48">
        <v>0.1358</v>
      </c>
      <c r="Q202" s="48">
        <v>0.14849999999999999</v>
      </c>
      <c r="R202" s="55">
        <f>((K202-D202)/D202)</f>
        <v>3.6636874341890043E-3</v>
      </c>
      <c r="S202" s="55">
        <f>((N202-G202)/G202)</f>
        <v>2.6046511627908242E-3</v>
      </c>
      <c r="T202" s="55">
        <f>((O202-H202)/H202)</f>
        <v>6.5146579804560263E-3</v>
      </c>
      <c r="U202" s="55">
        <f>P202-I202</f>
        <v>3.8600000000000009E-2</v>
      </c>
      <c r="V202" s="56">
        <f>Q202-J202</f>
        <v>-2.0000000000000573E-4</v>
      </c>
      <c r="X202" s="81"/>
    </row>
    <row r="203" spans="1:24">
      <c r="A203" s="168">
        <v>171</v>
      </c>
      <c r="B203" s="166" t="s">
        <v>230</v>
      </c>
      <c r="C203" s="167" t="s">
        <v>231</v>
      </c>
      <c r="D203" s="27">
        <v>349299855.76999998</v>
      </c>
      <c r="E203" s="28">
        <f>(D203/$D$220)</f>
        <v>5.9565481873403341E-3</v>
      </c>
      <c r="F203" s="75">
        <v>1067.49</v>
      </c>
      <c r="G203" s="75">
        <v>1067.49</v>
      </c>
      <c r="H203" s="30">
        <v>18</v>
      </c>
      <c r="I203" s="48">
        <v>1.4E-3</v>
      </c>
      <c r="J203" s="48">
        <v>3.8100000000000002E-2</v>
      </c>
      <c r="K203" s="27">
        <v>349622639.48000002</v>
      </c>
      <c r="L203" s="28">
        <f t="shared" si="124"/>
        <v>5.8882816792070478E-3</v>
      </c>
      <c r="M203" s="75">
        <v>1068.47</v>
      </c>
      <c r="N203" s="75">
        <v>1068.47</v>
      </c>
      <c r="O203" s="30">
        <v>18</v>
      </c>
      <c r="P203" s="48">
        <v>1.4E-3</v>
      </c>
      <c r="Q203" s="48">
        <v>3.95E-2</v>
      </c>
      <c r="R203" s="55">
        <f>((K203-D203)/D203)</f>
        <v>9.2408772768740662E-4</v>
      </c>
      <c r="S203" s="55">
        <f>((N203-G203)/G203)</f>
        <v>9.1804138680457727E-4</v>
      </c>
      <c r="T203" s="55">
        <f>((O203-H203)/H203)</f>
        <v>0</v>
      </c>
      <c r="U203" s="55">
        <f>P203-I203</f>
        <v>0</v>
      </c>
      <c r="V203" s="56">
        <f>Q203-J203</f>
        <v>1.3999999999999985E-3</v>
      </c>
      <c r="X203" s="81"/>
    </row>
    <row r="204" spans="1:24">
      <c r="A204" s="168">
        <v>172</v>
      </c>
      <c r="B204" s="166" t="s">
        <v>232</v>
      </c>
      <c r="C204" s="167" t="s">
        <v>67</v>
      </c>
      <c r="D204" s="27">
        <v>213213128.63</v>
      </c>
      <c r="E204" s="28">
        <f>(D204/$D$220)</f>
        <v>3.6358854831432903E-3</v>
      </c>
      <c r="F204" s="75">
        <v>117.04</v>
      </c>
      <c r="G204" s="75">
        <v>117.04</v>
      </c>
      <c r="H204" s="30">
        <v>75</v>
      </c>
      <c r="I204" s="48">
        <v>2E-3</v>
      </c>
      <c r="J204" s="48">
        <v>0.1263</v>
      </c>
      <c r="K204" s="27">
        <v>244344200.38999999</v>
      </c>
      <c r="L204" s="28">
        <f t="shared" si="124"/>
        <v>4.1152011228930627E-3</v>
      </c>
      <c r="M204" s="75">
        <v>117.42</v>
      </c>
      <c r="N204" s="75">
        <v>117.42</v>
      </c>
      <c r="O204" s="30">
        <v>75</v>
      </c>
      <c r="P204" s="48">
        <v>1.2999999999999999E-3</v>
      </c>
      <c r="Q204" s="48">
        <v>0.1263</v>
      </c>
      <c r="R204" s="55">
        <f t="shared" ref="R204:R221" si="125">((K204-D204)/D204)</f>
        <v>0.14600916913528053</v>
      </c>
      <c r="S204" s="55">
        <f t="shared" ref="S204:S220" si="126">((N204-G204)/G204)</f>
        <v>3.2467532467532079E-3</v>
      </c>
      <c r="T204" s="55">
        <f t="shared" ref="T204:T220" si="127">((O204-H204)/H204)</f>
        <v>0</v>
      </c>
      <c r="U204" s="55">
        <f t="shared" ref="U204:U220" si="128">P204-I204</f>
        <v>-7.000000000000001E-4</v>
      </c>
      <c r="V204" s="56">
        <f t="shared" ref="V204:V220" si="129">Q204-J204</f>
        <v>0</v>
      </c>
    </row>
    <row r="205" spans="1:24">
      <c r="A205" s="168">
        <v>173</v>
      </c>
      <c r="B205" s="172" t="s">
        <v>233</v>
      </c>
      <c r="C205" s="167" t="s">
        <v>70</v>
      </c>
      <c r="D205" s="42">
        <v>61851028.310000002</v>
      </c>
      <c r="E205" s="28">
        <f>(D205/$D$220)</f>
        <v>1.0547345625234244E-3</v>
      </c>
      <c r="F205" s="75">
        <v>101.59</v>
      </c>
      <c r="G205" s="75">
        <v>101.59</v>
      </c>
      <c r="H205" s="30">
        <v>15</v>
      </c>
      <c r="I205" s="48">
        <v>1.5E-3</v>
      </c>
      <c r="J205" s="48">
        <v>4.6600000000000003E-2</v>
      </c>
      <c r="K205" s="42">
        <v>63096631.270000003</v>
      </c>
      <c r="L205" s="28">
        <f t="shared" si="124"/>
        <v>1.0626621275996537E-3</v>
      </c>
      <c r="M205" s="75">
        <v>101.76</v>
      </c>
      <c r="N205" s="75">
        <v>101.76</v>
      </c>
      <c r="O205" s="30">
        <v>15</v>
      </c>
      <c r="P205" s="48">
        <v>1.6999999999999999E-3</v>
      </c>
      <c r="Q205" s="48">
        <v>4.8300000000000003E-2</v>
      </c>
      <c r="R205" s="55">
        <f t="shared" si="125"/>
        <v>2.0138759112572641E-2</v>
      </c>
      <c r="S205" s="55">
        <f t="shared" si="126"/>
        <v>1.6733930504971128E-3</v>
      </c>
      <c r="T205" s="55">
        <f t="shared" si="127"/>
        <v>0</v>
      </c>
      <c r="U205" s="55">
        <f t="shared" si="128"/>
        <v>1.9999999999999987E-4</v>
      </c>
      <c r="V205" s="56">
        <f t="shared" si="129"/>
        <v>1.7000000000000001E-3</v>
      </c>
    </row>
    <row r="206" spans="1:24">
      <c r="A206" s="168">
        <v>174</v>
      </c>
      <c r="B206" s="166" t="s">
        <v>234</v>
      </c>
      <c r="C206" s="167" t="s">
        <v>73</v>
      </c>
      <c r="D206" s="42">
        <v>155911627.09</v>
      </c>
      <c r="E206" s="28">
        <v>0</v>
      </c>
      <c r="F206" s="75">
        <v>1.0907</v>
      </c>
      <c r="G206" s="75">
        <v>1.0907</v>
      </c>
      <c r="H206" s="30">
        <v>41</v>
      </c>
      <c r="I206" s="48">
        <v>1.8E-3</v>
      </c>
      <c r="J206" s="48">
        <v>0.11650000000000001</v>
      </c>
      <c r="K206" s="42">
        <v>156178547.05000001</v>
      </c>
      <c r="L206" s="28">
        <f t="shared" si="124"/>
        <v>2.6303310296137087E-3</v>
      </c>
      <c r="M206" s="75">
        <v>1.093</v>
      </c>
      <c r="N206" s="75">
        <v>1.093</v>
      </c>
      <c r="O206" s="30">
        <v>41</v>
      </c>
      <c r="P206" s="48">
        <v>1.8E-3</v>
      </c>
      <c r="Q206" s="48">
        <v>0.1173</v>
      </c>
      <c r="R206" s="55">
        <f t="shared" ref="R206:R207" si="130">((K206-D206)/D206)</f>
        <v>1.7119952179443856E-3</v>
      </c>
      <c r="S206" s="55">
        <f t="shared" ref="S206:S207" si="131">((N206-G206)/G206)</f>
        <v>2.1087375080223424E-3</v>
      </c>
      <c r="T206" s="55">
        <f t="shared" ref="T206" si="132">((O206-H206)/H206)</f>
        <v>0</v>
      </c>
      <c r="U206" s="55">
        <f t="shared" ref="U206" si="133">P206-I206</f>
        <v>0</v>
      </c>
      <c r="V206" s="56">
        <f t="shared" ref="V206" si="134">Q206-J206</f>
        <v>7.9999999999999516E-4</v>
      </c>
    </row>
    <row r="207" spans="1:24">
      <c r="A207" s="168">
        <v>175</v>
      </c>
      <c r="B207" s="166" t="s">
        <v>235</v>
      </c>
      <c r="C207" s="167" t="s">
        <v>31</v>
      </c>
      <c r="D207" s="27">
        <v>5421590239.0600004</v>
      </c>
      <c r="E207" s="28">
        <f t="shared" ref="E207:E214" si="135">(D207/$D$220)</f>
        <v>9.2453412097138629E-2</v>
      </c>
      <c r="F207" s="75">
        <v>152.87</v>
      </c>
      <c r="G207" s="75">
        <v>152.87</v>
      </c>
      <c r="H207" s="30">
        <v>702</v>
      </c>
      <c r="I207" s="48">
        <v>2.8E-3</v>
      </c>
      <c r="J207" s="48">
        <v>6.5500000000000003E-2</v>
      </c>
      <c r="K207" s="27">
        <v>5408137311.2299995</v>
      </c>
      <c r="L207" s="28">
        <f t="shared" si="124"/>
        <v>9.1082876943308827E-2</v>
      </c>
      <c r="M207" s="75">
        <v>153.22</v>
      </c>
      <c r="N207" s="75">
        <v>153.22</v>
      </c>
      <c r="O207" s="30">
        <v>702</v>
      </c>
      <c r="P207" s="48">
        <v>2.3E-3</v>
      </c>
      <c r="Q207" s="48">
        <v>6.8000000000000005E-2</v>
      </c>
      <c r="R207" s="55">
        <f t="shared" si="130"/>
        <v>-2.481361968870107E-3</v>
      </c>
      <c r="S207" s="55">
        <f t="shared" si="131"/>
        <v>2.2895270491266719E-3</v>
      </c>
      <c r="T207" s="55">
        <f t="shared" si="127"/>
        <v>0</v>
      </c>
      <c r="U207" s="55">
        <f t="shared" si="128"/>
        <v>-5.0000000000000001E-4</v>
      </c>
      <c r="V207" s="56">
        <f t="shared" si="129"/>
        <v>2.5000000000000022E-3</v>
      </c>
    </row>
    <row r="208" spans="1:24">
      <c r="A208" s="168">
        <v>176</v>
      </c>
      <c r="B208" s="166" t="s">
        <v>236</v>
      </c>
      <c r="C208" s="167" t="s">
        <v>65</v>
      </c>
      <c r="D208" s="27">
        <v>779843101.974738</v>
      </c>
      <c r="E208" s="28">
        <f t="shared" si="135"/>
        <v>1.3298525432361329E-2</v>
      </c>
      <c r="F208" s="33">
        <v>1252.0638468235099</v>
      </c>
      <c r="G208" s="33">
        <v>1252.0638468235099</v>
      </c>
      <c r="H208" s="30">
        <v>194</v>
      </c>
      <c r="I208" s="48">
        <v>7.0597942674388764E-2</v>
      </c>
      <c r="J208" s="48">
        <v>0.13338815979310323</v>
      </c>
      <c r="K208" s="27">
        <v>784331177.74323201</v>
      </c>
      <c r="L208" s="28">
        <f t="shared" si="124"/>
        <v>1.3209564778772144E-2</v>
      </c>
      <c r="M208" s="33">
        <v>1254.4341159697799</v>
      </c>
      <c r="N208" s="33">
        <v>1254.4341159697799</v>
      </c>
      <c r="O208" s="30">
        <v>197</v>
      </c>
      <c r="P208" s="48">
        <v>9.8711104707344344E-2</v>
      </c>
      <c r="Q208" s="48">
        <v>0.13208330614149072</v>
      </c>
      <c r="R208" s="55">
        <f t="shared" si="125"/>
        <v>5.7551009390596564E-3</v>
      </c>
      <c r="S208" s="55">
        <f t="shared" si="126"/>
        <v>1.8930896793189326E-3</v>
      </c>
      <c r="T208" s="55">
        <f t="shared" si="127"/>
        <v>1.5463917525773196E-2</v>
      </c>
      <c r="U208" s="55">
        <f t="shared" si="128"/>
        <v>2.811316203295558E-2</v>
      </c>
      <c r="V208" s="56">
        <f t="shared" si="129"/>
        <v>-1.3048536516125087E-3</v>
      </c>
    </row>
    <row r="209" spans="1:22">
      <c r="A209" s="168">
        <v>177</v>
      </c>
      <c r="B209" s="166" t="s">
        <v>237</v>
      </c>
      <c r="C209" s="167" t="s">
        <v>228</v>
      </c>
      <c r="D209" s="27">
        <v>29542842367.02</v>
      </c>
      <c r="E209" s="28">
        <f t="shared" si="135"/>
        <v>0.50378882568455929</v>
      </c>
      <c r="F209" s="33">
        <v>1260.58</v>
      </c>
      <c r="G209" s="33">
        <v>1260.58</v>
      </c>
      <c r="H209" s="30">
        <v>10387</v>
      </c>
      <c r="I209" s="48">
        <v>2.5000000000000001E-3</v>
      </c>
      <c r="J209" s="48">
        <v>7.3999999999999996E-2</v>
      </c>
      <c r="K209" s="27">
        <v>30027682880.959999</v>
      </c>
      <c r="L209" s="28">
        <f t="shared" si="124"/>
        <v>0.50572084016061059</v>
      </c>
      <c r="M209" s="33">
        <v>1262.96</v>
      </c>
      <c r="N209" s="33">
        <v>1262.96</v>
      </c>
      <c r="O209" s="30">
        <v>10421</v>
      </c>
      <c r="P209" s="48">
        <v>1.9E-3</v>
      </c>
      <c r="Q209" s="48">
        <v>5.8999999999999997E-2</v>
      </c>
      <c r="R209" s="55">
        <f t="shared" si="125"/>
        <v>1.6411437596852489E-2</v>
      </c>
      <c r="S209" s="55">
        <f t="shared" si="126"/>
        <v>1.888019800409422E-3</v>
      </c>
      <c r="T209" s="55">
        <f t="shared" si="127"/>
        <v>3.2733224222585926E-3</v>
      </c>
      <c r="U209" s="55">
        <f t="shared" si="128"/>
        <v>-6.0000000000000006E-4</v>
      </c>
      <c r="V209" s="56">
        <f t="shared" si="129"/>
        <v>-1.4999999999999999E-2</v>
      </c>
    </row>
    <row r="210" spans="1:22">
      <c r="A210" s="168">
        <v>178</v>
      </c>
      <c r="B210" s="166" t="s">
        <v>238</v>
      </c>
      <c r="C210" s="167" t="s">
        <v>239</v>
      </c>
      <c r="D210" s="27">
        <v>504612145.68000001</v>
      </c>
      <c r="E210" s="28">
        <f t="shared" si="135"/>
        <v>8.6050609870256707E-3</v>
      </c>
      <c r="F210" s="77">
        <v>126.89</v>
      </c>
      <c r="G210" s="77">
        <v>127.96</v>
      </c>
      <c r="H210" s="44">
        <v>150</v>
      </c>
      <c r="I210" s="48">
        <v>-1.0200000000000001E-2</v>
      </c>
      <c r="J210" s="48">
        <v>2.3400000000000001E-2</v>
      </c>
      <c r="K210" s="27">
        <v>494750947.20999998</v>
      </c>
      <c r="L210" s="28">
        <f t="shared" si="124"/>
        <v>8.3325065635334126E-3</v>
      </c>
      <c r="M210" s="77">
        <v>125.43</v>
      </c>
      <c r="N210" s="77">
        <v>125.43</v>
      </c>
      <c r="O210" s="44">
        <v>150</v>
      </c>
      <c r="P210" s="48">
        <v>-2.8000000000000001E-2</v>
      </c>
      <c r="Q210" s="48">
        <v>-5.1000000000000004E-3</v>
      </c>
      <c r="R210" s="55">
        <f t="shared" si="125"/>
        <v>-1.954213459668391E-2</v>
      </c>
      <c r="S210" s="55">
        <f t="shared" si="126"/>
        <v>-1.9771803688652601E-2</v>
      </c>
      <c r="T210" s="55">
        <f t="shared" si="127"/>
        <v>0</v>
      </c>
      <c r="U210" s="55">
        <f t="shared" si="128"/>
        <v>-1.78E-2</v>
      </c>
      <c r="V210" s="56">
        <f t="shared" si="129"/>
        <v>-2.8500000000000001E-2</v>
      </c>
    </row>
    <row r="211" spans="1:22">
      <c r="A211" s="168">
        <v>179</v>
      </c>
      <c r="B211" s="166" t="s">
        <v>240</v>
      </c>
      <c r="C211" s="167" t="s">
        <v>239</v>
      </c>
      <c r="D211" s="27">
        <v>233113329.31999999</v>
      </c>
      <c r="E211" s="28">
        <f t="shared" si="135"/>
        <v>3.9752400588456633E-3</v>
      </c>
      <c r="F211" s="77">
        <v>122.17</v>
      </c>
      <c r="G211" s="77">
        <v>122.17</v>
      </c>
      <c r="H211" s="44">
        <v>78</v>
      </c>
      <c r="I211" s="48">
        <v>3.8E-3</v>
      </c>
      <c r="J211" s="48">
        <v>9.3799999999999994E-2</v>
      </c>
      <c r="K211" s="27">
        <v>225035546.25999999</v>
      </c>
      <c r="L211" s="28">
        <f t="shared" si="124"/>
        <v>3.790008239122936E-3</v>
      </c>
      <c r="M211" s="77">
        <v>121.27</v>
      </c>
      <c r="N211" s="77">
        <v>121.27</v>
      </c>
      <c r="O211" s="44">
        <v>79</v>
      </c>
      <c r="P211" s="48">
        <v>3.3E-3</v>
      </c>
      <c r="Q211" s="48">
        <v>9.74E-2</v>
      </c>
      <c r="R211" s="55">
        <f t="shared" si="125"/>
        <v>-3.4651742496077713E-2</v>
      </c>
      <c r="S211" s="55">
        <f t="shared" si="126"/>
        <v>-7.3667839895228421E-3</v>
      </c>
      <c r="T211" s="55">
        <f t="shared" si="127"/>
        <v>1.282051282051282E-2</v>
      </c>
      <c r="U211" s="55">
        <f t="shared" si="128"/>
        <v>-5.0000000000000001E-4</v>
      </c>
      <c r="V211" s="56">
        <f t="shared" si="129"/>
        <v>3.600000000000006E-3</v>
      </c>
    </row>
    <row r="212" spans="1:22" ht="13.5" customHeight="1">
      <c r="A212" s="168">
        <v>180</v>
      </c>
      <c r="B212" s="166" t="s">
        <v>241</v>
      </c>
      <c r="C212" s="167" t="s">
        <v>87</v>
      </c>
      <c r="D212" s="27">
        <v>1519833786</v>
      </c>
      <c r="E212" s="28">
        <f t="shared" si="135"/>
        <v>2.5917454684029163E-2</v>
      </c>
      <c r="F212" s="58">
        <v>105.58</v>
      </c>
      <c r="G212" s="58">
        <v>105.58</v>
      </c>
      <c r="H212" s="30">
        <v>631</v>
      </c>
      <c r="I212" s="48">
        <v>2.8999999999999998E-3</v>
      </c>
      <c r="J212" s="48">
        <v>0.14149999999999999</v>
      </c>
      <c r="K212" s="27">
        <v>1534441935</v>
      </c>
      <c r="L212" s="28">
        <f t="shared" si="124"/>
        <v>2.5842795383919544E-2</v>
      </c>
      <c r="M212" s="58">
        <v>105.89</v>
      </c>
      <c r="N212" s="58">
        <v>105.89</v>
      </c>
      <c r="O212" s="30">
        <v>631</v>
      </c>
      <c r="P212" s="48">
        <v>2.8999999999999998E-3</v>
      </c>
      <c r="Q212" s="48">
        <v>0.1421</v>
      </c>
      <c r="R212" s="55">
        <f t="shared" si="125"/>
        <v>9.6116753914562598E-3</v>
      </c>
      <c r="S212" s="55">
        <f t="shared" si="126"/>
        <v>2.9361621519227343E-3</v>
      </c>
      <c r="T212" s="55">
        <f t="shared" si="127"/>
        <v>0</v>
      </c>
      <c r="U212" s="55">
        <f t="shared" si="128"/>
        <v>0</v>
      </c>
      <c r="V212" s="56">
        <f t="shared" si="129"/>
        <v>6.0000000000001719E-4</v>
      </c>
    </row>
    <row r="213" spans="1:22" ht="15.75" customHeight="1">
      <c r="A213" s="168">
        <v>181</v>
      </c>
      <c r="B213" s="166" t="s">
        <v>242</v>
      </c>
      <c r="C213" s="167" t="s">
        <v>49</v>
      </c>
      <c r="D213" s="27">
        <v>5969425835.46</v>
      </c>
      <c r="E213" s="28">
        <f t="shared" si="135"/>
        <v>0.10179555488589953</v>
      </c>
      <c r="F213" s="58">
        <v>136.27000000000001</v>
      </c>
      <c r="G213" s="58">
        <v>136.27000000000001</v>
      </c>
      <c r="H213" s="30">
        <v>1336</v>
      </c>
      <c r="I213" s="48">
        <v>1.2999999999999999E-3</v>
      </c>
      <c r="J213" s="48">
        <v>1.47E-2</v>
      </c>
      <c r="K213" s="27">
        <v>6012131692.0299997</v>
      </c>
      <c r="L213" s="28">
        <f t="shared" si="124"/>
        <v>0.10125524178815491</v>
      </c>
      <c r="M213" s="58">
        <v>136.49</v>
      </c>
      <c r="N213" s="58">
        <v>136.49</v>
      </c>
      <c r="O213" s="30">
        <v>1338</v>
      </c>
      <c r="P213" s="48">
        <v>1.2999999999999999E-3</v>
      </c>
      <c r="Q213" s="48">
        <v>1.6299999999999999E-2</v>
      </c>
      <c r="R213" s="55">
        <f t="shared" si="125"/>
        <v>7.1540978558298496E-3</v>
      </c>
      <c r="S213" s="55">
        <f t="shared" si="126"/>
        <v>1.6144419167828492E-3</v>
      </c>
      <c r="T213" s="55">
        <f t="shared" si="127"/>
        <v>1.4970059880239522E-3</v>
      </c>
      <c r="U213" s="55">
        <f t="shared" si="128"/>
        <v>0</v>
      </c>
      <c r="V213" s="56">
        <f t="shared" si="129"/>
        <v>1.599999999999999E-3</v>
      </c>
    </row>
    <row r="214" spans="1:22">
      <c r="A214" s="168">
        <v>182</v>
      </c>
      <c r="B214" s="166" t="s">
        <v>243</v>
      </c>
      <c r="C214" s="167" t="s">
        <v>52</v>
      </c>
      <c r="D214" s="27">
        <v>4202234893.9299998</v>
      </c>
      <c r="E214" s="28">
        <f t="shared" si="135"/>
        <v>7.1659962713236366E-2</v>
      </c>
      <c r="F214" s="58">
        <v>1.2693000000000001</v>
      </c>
      <c r="G214" s="58">
        <v>1.2693000000000001</v>
      </c>
      <c r="H214" s="30">
        <v>1650</v>
      </c>
      <c r="I214" s="48">
        <v>0.1174</v>
      </c>
      <c r="J214" s="48">
        <v>0.1047</v>
      </c>
      <c r="K214" s="27">
        <v>4207273373.4299998</v>
      </c>
      <c r="L214" s="28">
        <f t="shared" si="124"/>
        <v>7.0858142255975559E-2</v>
      </c>
      <c r="M214" s="58">
        <v>1.2709999999999999</v>
      </c>
      <c r="N214" s="58">
        <v>1.2709999999999999</v>
      </c>
      <c r="O214" s="30">
        <v>1662</v>
      </c>
      <c r="P214" s="48">
        <v>8.48E-2</v>
      </c>
      <c r="Q214" s="48">
        <v>0.10390000000000001</v>
      </c>
      <c r="R214" s="55">
        <f t="shared" si="125"/>
        <v>1.1989999672026735E-3</v>
      </c>
      <c r="S214" s="55">
        <f t="shared" si="126"/>
        <v>1.3393208855273086E-3</v>
      </c>
      <c r="T214" s="55">
        <f t="shared" si="127"/>
        <v>7.2727272727272727E-3</v>
      </c>
      <c r="U214" s="55">
        <f t="shared" si="128"/>
        <v>-3.2600000000000004E-2</v>
      </c>
      <c r="V214" s="56">
        <f t="shared" si="129"/>
        <v>-7.9999999999999516E-4</v>
      </c>
    </row>
    <row r="215" spans="1:22" ht="6" customHeight="1">
      <c r="A215" s="34"/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</row>
    <row r="216" spans="1:22">
      <c r="A216" s="182" t="s">
        <v>244</v>
      </c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</row>
    <row r="217" spans="1:22">
      <c r="A217" s="168">
        <v>183</v>
      </c>
      <c r="B217" s="166" t="s">
        <v>314</v>
      </c>
      <c r="C217" s="167" t="s">
        <v>23</v>
      </c>
      <c r="D217" s="76">
        <v>1187753228.7</v>
      </c>
      <c r="E217" s="28">
        <f>(D217/$D$194)</f>
        <v>0.19820114001045014</v>
      </c>
      <c r="F217" s="75">
        <v>75.331800000000001</v>
      </c>
      <c r="G217" s="75">
        <v>77.603200000000001</v>
      </c>
      <c r="H217" s="32">
        <v>1800</v>
      </c>
      <c r="I217" s="49">
        <v>0.47039999999999998</v>
      </c>
      <c r="J217" s="49">
        <v>0.24</v>
      </c>
      <c r="K217" s="76">
        <v>1229597256.05</v>
      </c>
      <c r="L217" s="52">
        <f>(K217/$K$194)</f>
        <v>0.20053710190698248</v>
      </c>
      <c r="M217" s="75">
        <v>76.583500000000001</v>
      </c>
      <c r="N217" s="75">
        <v>78.892499999999998</v>
      </c>
      <c r="O217" s="32">
        <v>1814</v>
      </c>
      <c r="P217" s="49">
        <v>0.86629999999999996</v>
      </c>
      <c r="Q217" s="49">
        <v>0.2717</v>
      </c>
      <c r="R217" s="55">
        <f>((K217-D217)/D217)</f>
        <v>3.5229563127181167E-2</v>
      </c>
      <c r="S217" s="55">
        <f t="shared" ref="S217" si="136">((N217-G217)/G217)</f>
        <v>1.6614005608016128E-2</v>
      </c>
      <c r="T217" s="55">
        <f t="shared" ref="T217" si="137">((O217-H217)/H217)</f>
        <v>7.7777777777777776E-3</v>
      </c>
      <c r="U217" s="55">
        <f t="shared" ref="U217" si="138">P217-I217</f>
        <v>0.39589999999999997</v>
      </c>
      <c r="V217" s="56">
        <f t="shared" ref="V217" si="139">Q217-J217</f>
        <v>3.1700000000000006E-2</v>
      </c>
    </row>
    <row r="218" spans="1:22">
      <c r="A218" s="165">
        <v>184</v>
      </c>
      <c r="B218" s="166" t="s">
        <v>245</v>
      </c>
      <c r="C218" s="167" t="s">
        <v>228</v>
      </c>
      <c r="D218" s="27">
        <v>233055978.55000001</v>
      </c>
      <c r="E218" s="28">
        <f t="shared" ref="E218" si="140">(D218/$D$220)</f>
        <v>3.974262066386053E-3</v>
      </c>
      <c r="F218" s="33">
        <v>1134.69</v>
      </c>
      <c r="G218" s="33">
        <v>1134.69</v>
      </c>
      <c r="H218" s="30">
        <v>136</v>
      </c>
      <c r="I218" s="48">
        <v>2.6100000000000002E-2</v>
      </c>
      <c r="J218" s="48">
        <v>3.5099999999999999E-2</v>
      </c>
      <c r="K218" s="27">
        <v>234895081.53</v>
      </c>
      <c r="L218" s="28">
        <f t="shared" ref="L218" si="141">(K218/$K$220)</f>
        <v>3.956060760727899E-3</v>
      </c>
      <c r="M218" s="33">
        <v>1143.46</v>
      </c>
      <c r="N218" s="33">
        <v>1143.46</v>
      </c>
      <c r="O218" s="30">
        <v>136</v>
      </c>
      <c r="P218" s="48">
        <v>7.7000000000000002E-3</v>
      </c>
      <c r="Q218" s="48">
        <v>4.2000000000000003E-2</v>
      </c>
      <c r="R218" s="55">
        <f t="shared" ref="R218" si="142">((K218-D218)/D218)</f>
        <v>7.8912499539479809E-3</v>
      </c>
      <c r="S218" s="55">
        <f t="shared" ref="S218" si="143">((N218-G218)/G218)</f>
        <v>7.7289832465254667E-3</v>
      </c>
      <c r="T218" s="55">
        <f t="shared" ref="T218" si="144">((O218-H218)/H218)</f>
        <v>0</v>
      </c>
      <c r="U218" s="55">
        <f t="shared" ref="U218" si="145">P218-I218</f>
        <v>-1.84E-2</v>
      </c>
      <c r="V218" s="56">
        <f t="shared" ref="V218" si="146">Q218-J218</f>
        <v>6.9000000000000034E-3</v>
      </c>
    </row>
    <row r="219" spans="1:22">
      <c r="A219" s="165">
        <v>185</v>
      </c>
      <c r="B219" s="166" t="s">
        <v>290</v>
      </c>
      <c r="C219" s="167" t="s">
        <v>291</v>
      </c>
      <c r="D219" s="27">
        <v>61844443.350000001</v>
      </c>
      <c r="E219" s="28">
        <f t="shared" ref="E219" si="147">(D219/$D$220)</f>
        <v>1.0546222703741327E-3</v>
      </c>
      <c r="F219" s="33">
        <v>102.86</v>
      </c>
      <c r="G219" s="33">
        <v>104.98</v>
      </c>
      <c r="H219" s="30">
        <v>158</v>
      </c>
      <c r="I219" s="48">
        <v>2.6200000000000001E-2</v>
      </c>
      <c r="J219" s="48">
        <v>0.12970000000000001</v>
      </c>
      <c r="K219" s="27">
        <v>55539026.82</v>
      </c>
      <c r="L219" s="28">
        <f t="shared" ref="L219" si="148">(K219/$K$220)</f>
        <v>9.3537831128897024E-4</v>
      </c>
      <c r="M219" s="33">
        <v>103.3</v>
      </c>
      <c r="N219" s="33">
        <v>105.43</v>
      </c>
      <c r="O219" s="30">
        <v>160</v>
      </c>
      <c r="P219" s="48">
        <v>3.8999999999999998E-3</v>
      </c>
      <c r="Q219" s="48">
        <v>3.5799999999999998E-2</v>
      </c>
      <c r="R219" s="55">
        <f t="shared" ref="R219" si="149">((K219-D219)/D219)</f>
        <v>-0.10195607217798656</v>
      </c>
      <c r="S219" s="55">
        <f t="shared" ref="S219" si="150">((N219-G219)/G219)</f>
        <v>4.2865307677653159E-3</v>
      </c>
      <c r="T219" s="55">
        <f t="shared" ref="T219" si="151">((O219-H219)/H219)</f>
        <v>1.2658227848101266E-2</v>
      </c>
      <c r="U219" s="55">
        <f t="shared" ref="U219" si="152">P219-I219</f>
        <v>-2.23E-2</v>
      </c>
      <c r="V219" s="56">
        <f t="shared" ref="V219" si="153">Q219-J219</f>
        <v>-9.3900000000000011E-2</v>
      </c>
    </row>
    <row r="220" spans="1:22">
      <c r="A220" s="34"/>
      <c r="B220" s="35"/>
      <c r="C220" s="69" t="s">
        <v>53</v>
      </c>
      <c r="D220" s="46">
        <f>SUM(D198:D219)</f>
        <v>58641321245.814735</v>
      </c>
      <c r="E220" s="38">
        <f>(D220/$D$221)</f>
        <v>1.0358825229826158E-2</v>
      </c>
      <c r="F220" s="39"/>
      <c r="G220" s="72"/>
      <c r="H220" s="82">
        <f>SUM(H198:H219)</f>
        <v>34022</v>
      </c>
      <c r="I220" s="79"/>
      <c r="J220" s="79"/>
      <c r="K220" s="46">
        <f>SUM(K198:K219)</f>
        <v>59376004499.683235</v>
      </c>
      <c r="L220" s="38">
        <f>(K220/$K$221)</f>
        <v>1.0404294169332527E-2</v>
      </c>
      <c r="M220" s="39"/>
      <c r="N220" s="72"/>
      <c r="O220" s="41">
        <f>SUM(O198:O219)</f>
        <v>34119</v>
      </c>
      <c r="P220" s="79"/>
      <c r="Q220" s="79"/>
      <c r="R220" s="55">
        <f t="shared" si="125"/>
        <v>1.2528422591108221E-2</v>
      </c>
      <c r="S220" s="55" t="e">
        <f t="shared" si="126"/>
        <v>#DIV/0!</v>
      </c>
      <c r="T220" s="55">
        <f t="shared" si="127"/>
        <v>2.8510963494209631E-3</v>
      </c>
      <c r="U220" s="55">
        <f t="shared" si="128"/>
        <v>0</v>
      </c>
      <c r="V220" s="56">
        <f t="shared" si="129"/>
        <v>0</v>
      </c>
    </row>
    <row r="221" spans="1:22">
      <c r="A221" s="83"/>
      <c r="B221" s="83"/>
      <c r="C221" s="84" t="s">
        <v>246</v>
      </c>
      <c r="D221" s="85">
        <f>SUM(D25,D69,D109,D149,D158,D189,D194,D220)</f>
        <v>5661001121726.5078</v>
      </c>
      <c r="E221" s="86"/>
      <c r="F221" s="86"/>
      <c r="G221" s="87"/>
      <c r="H221" s="85">
        <f>SUM(H25,H69,H109,H149,H158,H189,H194,H220)</f>
        <v>898052</v>
      </c>
      <c r="I221" s="109"/>
      <c r="J221" s="109"/>
      <c r="K221" s="85">
        <f>SUM(K25,K69,K109,K149,K158,K189,K194,K220)</f>
        <v>5706874828154.9619</v>
      </c>
      <c r="L221" s="86"/>
      <c r="M221" s="86"/>
      <c r="N221" s="87"/>
      <c r="O221" s="85">
        <f>SUM(O25,O69,O109,O149,O158,O189,O194,O220)</f>
        <v>899055</v>
      </c>
      <c r="P221" s="110"/>
      <c r="Q221" s="85"/>
      <c r="R221" s="116">
        <f t="shared" si="125"/>
        <v>8.1034618156838323E-3</v>
      </c>
      <c r="S221" s="116"/>
      <c r="T221" s="116"/>
      <c r="U221" s="116"/>
      <c r="V221" s="116"/>
    </row>
    <row r="222" spans="1:22" ht="6.75" customHeight="1">
      <c r="A222" s="34"/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35"/>
    </row>
    <row r="223" spans="1:22" ht="14.4" customHeight="1">
      <c r="A223" s="181" t="s">
        <v>247</v>
      </c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</row>
    <row r="224" spans="1:22" ht="14.4" customHeight="1">
      <c r="A224" s="168">
        <v>1</v>
      </c>
      <c r="B224" s="166" t="s">
        <v>312</v>
      </c>
      <c r="C224" s="167" t="s">
        <v>23</v>
      </c>
      <c r="D224" s="27">
        <f>868336.05*1587.8698</f>
        <v>1378804590.0462899</v>
      </c>
      <c r="E224" s="28">
        <f t="shared" ref="E224:E227" si="154">(D224/$D$220)</f>
        <v>2.3512508940011237E-2</v>
      </c>
      <c r="F224" s="33">
        <f>1.0031*1587.8698</f>
        <v>1592.7921963800002</v>
      </c>
      <c r="G224" s="33">
        <f>1.0031*1587.8698</f>
        <v>1592.7921963800002</v>
      </c>
      <c r="H224" s="30">
        <v>27</v>
      </c>
      <c r="I224" s="48">
        <v>5.1999999999999998E-2</v>
      </c>
      <c r="J224" s="48">
        <v>2.5700000000000001E-2</v>
      </c>
      <c r="K224" s="27">
        <f>884302.25*1560.1226</f>
        <v>1379619925.4558499</v>
      </c>
      <c r="L224" s="28">
        <f>(K224/$K$229)</f>
        <v>7.9570142550919404E-2</v>
      </c>
      <c r="M224" s="33">
        <f>1.0043*1560.1226</f>
        <v>1566.8311271799998</v>
      </c>
      <c r="N224" s="33">
        <f>1.0043*1560.1226</f>
        <v>1566.8311271799998</v>
      </c>
      <c r="O224" s="30">
        <v>30</v>
      </c>
      <c r="P224" s="48">
        <v>6.2399999999999997E-2</v>
      </c>
      <c r="Q224" s="48">
        <v>3.0800000000000001E-2</v>
      </c>
      <c r="R224" s="55">
        <f t="shared" ref="R224" si="155">((K224-D224)/D224)</f>
        <v>5.913349980453664E-4</v>
      </c>
      <c r="S224" s="55">
        <f t="shared" ref="S224" si="156">((N224-G224)/G224)</f>
        <v>-1.6299093666457591E-2</v>
      </c>
      <c r="T224" s="55">
        <f t="shared" ref="T224" si="157">((O224-H224)/H224)</f>
        <v>0.1111111111111111</v>
      </c>
      <c r="U224" s="55">
        <f t="shared" ref="U224" si="158">P224-I224</f>
        <v>1.04E-2</v>
      </c>
      <c r="V224" s="56">
        <f t="shared" ref="V224" si="159">Q224-J224</f>
        <v>5.1000000000000004E-3</v>
      </c>
    </row>
    <row r="225" spans="1:22" ht="14.4" customHeight="1">
      <c r="A225" s="168">
        <v>2</v>
      </c>
      <c r="B225" s="166" t="s">
        <v>248</v>
      </c>
      <c r="C225" s="167" t="s">
        <v>186</v>
      </c>
      <c r="D225" s="27">
        <v>4217146962.7993798</v>
      </c>
      <c r="E225" s="28">
        <f t="shared" ref="E225" si="160">(D225/$D$220)</f>
        <v>7.1914255565999202E-2</v>
      </c>
      <c r="F225" s="33">
        <v>123.2</v>
      </c>
      <c r="G225" s="33">
        <v>123.2</v>
      </c>
      <c r="H225" s="30">
        <v>9</v>
      </c>
      <c r="I225" s="48">
        <v>0.28426428919980018</v>
      </c>
      <c r="J225" s="48">
        <v>0.21061168672104413</v>
      </c>
      <c r="K225" s="27">
        <v>4245581685.8135633</v>
      </c>
      <c r="L225" s="28">
        <f>(K225/$K$229)</f>
        <v>0.2448656573585917</v>
      </c>
      <c r="M225" s="33">
        <v>123.2</v>
      </c>
      <c r="N225" s="33">
        <v>123.2</v>
      </c>
      <c r="O225" s="30">
        <v>9</v>
      </c>
      <c r="P225" s="48">
        <v>0.30071050504202085</v>
      </c>
      <c r="Q225" s="48">
        <v>0.24007360823022061</v>
      </c>
      <c r="R225" s="55">
        <f t="shared" ref="R225" si="161">((K225-D225)/D225)</f>
        <v>6.7426445568565859E-3</v>
      </c>
      <c r="S225" s="55">
        <f t="shared" ref="S225" si="162">((N225-G225)/G225)</f>
        <v>0</v>
      </c>
      <c r="T225" s="55">
        <f t="shared" ref="T225" si="163">((O225-H225)/H225)</f>
        <v>0</v>
      </c>
      <c r="U225" s="55">
        <f t="shared" ref="U225" si="164">P225-I225</f>
        <v>1.6446215842220668E-2</v>
      </c>
      <c r="V225" s="56">
        <f t="shared" ref="V225" si="165">Q225-J225</f>
        <v>2.9461921509176481E-2</v>
      </c>
    </row>
    <row r="226" spans="1:22" ht="14.4" customHeight="1">
      <c r="A226" s="168">
        <v>3</v>
      </c>
      <c r="B226" s="166" t="s">
        <v>310</v>
      </c>
      <c r="C226" s="167" t="s">
        <v>31</v>
      </c>
      <c r="D226" s="27">
        <f>352107.93*1585.5</f>
        <v>558267123.01499999</v>
      </c>
      <c r="E226" s="28">
        <f t="shared" si="154"/>
        <v>9.5200297529933944E-3</v>
      </c>
      <c r="F226" s="33">
        <f>101.39*1585.5</f>
        <v>160753.845</v>
      </c>
      <c r="G226" s="33">
        <f>101.39*1585.5</f>
        <v>160753.845</v>
      </c>
      <c r="H226" s="30">
        <v>0</v>
      </c>
      <c r="I226" s="48">
        <v>1.1000000000000001E-3</v>
      </c>
      <c r="J226" s="48">
        <v>1.3899999999999999E-2</v>
      </c>
      <c r="K226" s="27">
        <f>351976.34*1551</f>
        <v>545915303.34000003</v>
      </c>
      <c r="L226" s="28">
        <f>(K226/$K$229)</f>
        <v>3.1485888037706744E-2</v>
      </c>
      <c r="M226" s="33">
        <f>101.35*1551</f>
        <v>157193.84999999998</v>
      </c>
      <c r="N226" s="33">
        <f>101.35*1551</f>
        <v>157193.84999999998</v>
      </c>
      <c r="O226" s="30">
        <v>3</v>
      </c>
      <c r="P226" s="48">
        <v>-4.0000000000000002E-4</v>
      </c>
      <c r="Q226" s="48">
        <v>1.35E-2</v>
      </c>
      <c r="R226" s="55">
        <f t="shared" ref="R226:R227" si="166">((K226-D226)/D226)</f>
        <v>-2.2125285845765404E-2</v>
      </c>
      <c r="S226" s="55">
        <f t="shared" ref="S226:S227" si="167">((N226-G226)/G226)</f>
        <v>-2.2145628927258472E-2</v>
      </c>
      <c r="T226" s="55" t="e">
        <f t="shared" ref="T226:T227" si="168">((O226-H226)/H226)</f>
        <v>#DIV/0!</v>
      </c>
      <c r="U226" s="55">
        <f t="shared" ref="U226:U227" si="169">P226-I226</f>
        <v>-1.5E-3</v>
      </c>
      <c r="V226" s="56">
        <f t="shared" ref="V226:V227" si="170">Q226-J226</f>
        <v>-3.9999999999999931E-4</v>
      </c>
    </row>
    <row r="227" spans="1:22" ht="14.4" customHeight="1">
      <c r="A227" s="168">
        <v>4</v>
      </c>
      <c r="B227" s="166" t="s">
        <v>297</v>
      </c>
      <c r="C227" s="167" t="s">
        <v>41</v>
      </c>
      <c r="D227" s="27">
        <v>10968266312.540001</v>
      </c>
      <c r="E227" s="28">
        <f t="shared" si="154"/>
        <v>0.18703989063552712</v>
      </c>
      <c r="F227" s="33">
        <v>1.05</v>
      </c>
      <c r="G227" s="33">
        <v>1.05</v>
      </c>
      <c r="H227" s="30">
        <v>16</v>
      </c>
      <c r="I227" s="48">
        <v>3.8999999999999998E-3</v>
      </c>
      <c r="J227" s="48">
        <v>2.4400000000000002E-2</v>
      </c>
      <c r="K227" s="27">
        <v>11062300218.75</v>
      </c>
      <c r="L227" s="28">
        <f>(K227/$K$229)</f>
        <v>0.63802268226603198</v>
      </c>
      <c r="M227" s="33">
        <v>1.06</v>
      </c>
      <c r="N227" s="33">
        <v>1.06</v>
      </c>
      <c r="O227" s="30">
        <v>16</v>
      </c>
      <c r="P227" s="48">
        <v>8.6E-3</v>
      </c>
      <c r="Q227" s="48">
        <v>4.3400000000000001E-2</v>
      </c>
      <c r="R227" s="55">
        <f t="shared" si="166"/>
        <v>8.5732697885435426E-3</v>
      </c>
      <c r="S227" s="55">
        <f t="shared" si="167"/>
        <v>9.5238095238095316E-3</v>
      </c>
      <c r="T227" s="55">
        <f t="shared" si="168"/>
        <v>0</v>
      </c>
      <c r="U227" s="55">
        <f t="shared" si="169"/>
        <v>4.7000000000000002E-3</v>
      </c>
      <c r="V227" s="56">
        <f t="shared" si="170"/>
        <v>1.9E-2</v>
      </c>
    </row>
    <row r="228" spans="1:22" ht="14.4" customHeight="1">
      <c r="A228" s="168">
        <v>5</v>
      </c>
      <c r="B228" s="166" t="s">
        <v>317</v>
      </c>
      <c r="C228" s="167" t="s">
        <v>52</v>
      </c>
      <c r="D228" s="27">
        <v>100104587.45999999</v>
      </c>
      <c r="E228" s="28">
        <f t="shared" ref="E228" si="171">(D228/$D$220)</f>
        <v>1.707065689062122E-3</v>
      </c>
      <c r="F228" s="33">
        <v>1</v>
      </c>
      <c r="G228" s="33">
        <v>1</v>
      </c>
      <c r="H228" s="30">
        <v>9</v>
      </c>
      <c r="I228" s="48">
        <v>3.0000000000000001E-3</v>
      </c>
      <c r="J228" s="48">
        <v>3.0000000000000001E-3</v>
      </c>
      <c r="K228" s="27">
        <v>104995005</v>
      </c>
      <c r="L228" s="28">
        <f>(K228/$K$229)</f>
        <v>6.0556297867501718E-3</v>
      </c>
      <c r="M228" s="33">
        <v>1.0024</v>
      </c>
      <c r="N228" s="33">
        <v>1.0024</v>
      </c>
      <c r="O228" s="30">
        <v>2</v>
      </c>
      <c r="P228" s="48">
        <v>3.8E-3</v>
      </c>
      <c r="Q228" s="48">
        <v>2.3999999999999998E-3</v>
      </c>
      <c r="R228" s="55">
        <f t="shared" ref="R228:R229" si="172">((K228-D228)/D228)</f>
        <v>4.8853081203237864E-2</v>
      </c>
      <c r="S228" s="55">
        <f t="shared" ref="S228" si="173">((N228-G228)/G228)</f>
        <v>2.3999999999999577E-3</v>
      </c>
      <c r="T228" s="55">
        <f t="shared" ref="T228" si="174">((O228-H228)/H228)</f>
        <v>-0.77777777777777779</v>
      </c>
      <c r="U228" s="55">
        <f t="shared" ref="U228" si="175">P228-I228</f>
        <v>7.9999999999999993E-4</v>
      </c>
      <c r="V228" s="56">
        <f t="shared" ref="V228" si="176">Q228-J228</f>
        <v>-6.0000000000000027E-4</v>
      </c>
    </row>
    <row r="229" spans="1:22" ht="14.4" customHeight="1">
      <c r="A229" s="88"/>
      <c r="B229" s="88"/>
      <c r="C229" s="88" t="s">
        <v>53</v>
      </c>
      <c r="D229" s="88">
        <f>SUM(D224:D228)</f>
        <v>17222589575.860672</v>
      </c>
      <c r="E229" s="88"/>
      <c r="F229" s="88"/>
      <c r="G229" s="88"/>
      <c r="H229" s="88">
        <f>SUM(H224:H228)</f>
        <v>61</v>
      </c>
      <c r="I229" s="88"/>
      <c r="J229" s="88"/>
      <c r="K229" s="88">
        <f>SUM(K224:K228)</f>
        <v>17338412138.359413</v>
      </c>
      <c r="L229" s="38"/>
      <c r="M229" s="88"/>
      <c r="N229" s="88"/>
      <c r="O229" s="88">
        <f>SUM(O224:O228)</f>
        <v>60</v>
      </c>
      <c r="P229" s="88"/>
      <c r="Q229" s="88"/>
      <c r="R229" s="116">
        <f t="shared" si="172"/>
        <v>6.7250376018411911E-3</v>
      </c>
      <c r="S229" s="88"/>
      <c r="T229" s="88"/>
      <c r="U229" s="88"/>
      <c r="V229" s="88"/>
    </row>
    <row r="230" spans="1:22" ht="6" customHeight="1">
      <c r="A230" s="34"/>
      <c r="B230" s="131"/>
      <c r="C230" s="69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35"/>
    </row>
    <row r="231" spans="1:22" ht="15.6">
      <c r="A231" s="181" t="s">
        <v>249</v>
      </c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</row>
    <row r="232" spans="1:22">
      <c r="A232" s="168">
        <v>1</v>
      </c>
      <c r="B232" s="166" t="s">
        <v>250</v>
      </c>
      <c r="C232" s="167" t="s">
        <v>251</v>
      </c>
      <c r="D232" s="27">
        <v>117431274879</v>
      </c>
      <c r="E232" s="28">
        <f>(D232/$D$234)</f>
        <v>0.89451986638195324</v>
      </c>
      <c r="F232" s="58">
        <v>111.28</v>
      </c>
      <c r="G232" s="58">
        <v>111.28</v>
      </c>
      <c r="H232" s="30">
        <v>0</v>
      </c>
      <c r="I232" s="48">
        <v>0.23899999999999999</v>
      </c>
      <c r="J232" s="48">
        <v>0.23899999999999999</v>
      </c>
      <c r="K232" s="27">
        <v>117431274879</v>
      </c>
      <c r="L232" s="28">
        <f>(K232/$K$234)</f>
        <v>0.89409071401847051</v>
      </c>
      <c r="M232" s="58">
        <v>111.28</v>
      </c>
      <c r="N232" s="58">
        <v>111.28</v>
      </c>
      <c r="O232" s="30">
        <v>0</v>
      </c>
      <c r="P232" s="48">
        <v>0.23899999999999999</v>
      </c>
      <c r="Q232" s="48">
        <v>0.23899999999999999</v>
      </c>
      <c r="R232" s="55">
        <f>((K232-D232)/D232)</f>
        <v>0</v>
      </c>
      <c r="S232" s="55">
        <f>((N232-G232)/G232)</f>
        <v>0</v>
      </c>
      <c r="T232" s="55" t="e">
        <f>((O232-H232)/H232)</f>
        <v>#DIV/0!</v>
      </c>
      <c r="U232" s="55">
        <f>P232-I232</f>
        <v>0</v>
      </c>
      <c r="V232" s="56">
        <f>Q232-J232</f>
        <v>0</v>
      </c>
    </row>
    <row r="233" spans="1:22" ht="14.4" customHeight="1">
      <c r="A233" s="168">
        <v>2</v>
      </c>
      <c r="B233" s="166" t="s">
        <v>252</v>
      </c>
      <c r="C233" s="167" t="s">
        <v>52</v>
      </c>
      <c r="D233" s="27">
        <v>13847279452.02</v>
      </c>
      <c r="E233" s="28">
        <f>(D233/$D$234)</f>
        <v>0.10548013361804676</v>
      </c>
      <c r="F233" s="89">
        <v>1000000</v>
      </c>
      <c r="G233" s="89">
        <v>1000000</v>
      </c>
      <c r="H233" s="30">
        <v>26</v>
      </c>
      <c r="I233" s="48">
        <v>0.221</v>
      </c>
      <c r="J233" s="48">
        <v>0.221</v>
      </c>
      <c r="K233" s="27">
        <v>13910291516.66</v>
      </c>
      <c r="L233" s="28">
        <f>(K233/$K$234)</f>
        <v>0.1059092859815295</v>
      </c>
      <c r="M233" s="89">
        <v>1000000</v>
      </c>
      <c r="N233" s="89">
        <v>1000000</v>
      </c>
      <c r="O233" s="30">
        <v>26</v>
      </c>
      <c r="P233" s="48">
        <v>0.2213</v>
      </c>
      <c r="Q233" s="48">
        <v>0.2213</v>
      </c>
      <c r="R233" s="55">
        <f>((K233-D233)/D233)</f>
        <v>4.5505014077553965E-3</v>
      </c>
      <c r="S233" s="55">
        <f>((N233-G233)/G233)</f>
        <v>0</v>
      </c>
      <c r="T233" s="55">
        <f>((O233-H233)/H233)</f>
        <v>0</v>
      </c>
      <c r="U233" s="55">
        <f>P233-I233</f>
        <v>2.9999999999999472E-4</v>
      </c>
      <c r="V233" s="56">
        <f>Q233-J233</f>
        <v>2.9999999999999472E-4</v>
      </c>
    </row>
    <row r="234" spans="1:22" ht="15" customHeight="1">
      <c r="A234" s="83"/>
      <c r="B234" s="83"/>
      <c r="C234" s="84" t="s">
        <v>253</v>
      </c>
      <c r="D234" s="88">
        <f>SUM(D232:D233)</f>
        <v>131278554331.02</v>
      </c>
      <c r="E234" s="90"/>
      <c r="F234" s="91"/>
      <c r="G234" s="91"/>
      <c r="H234" s="88">
        <f>SUM(H232:H233)</f>
        <v>26</v>
      </c>
      <c r="I234" s="111"/>
      <c r="J234" s="111"/>
      <c r="K234" s="88">
        <f>SUM(K232:K233)</f>
        <v>131341566395.66</v>
      </c>
      <c r="L234" s="90"/>
      <c r="M234" s="91"/>
      <c r="N234" s="91"/>
      <c r="O234" s="88">
        <f>SUM(O232:O233)</f>
        <v>26</v>
      </c>
      <c r="P234" s="111"/>
      <c r="Q234" s="88"/>
      <c r="R234" s="116">
        <f>((K234-D234)/D234)</f>
        <v>4.7998749651914912E-4</v>
      </c>
      <c r="S234" s="117"/>
      <c r="T234" s="117"/>
      <c r="U234" s="116"/>
      <c r="V234" s="118"/>
    </row>
    <row r="235" spans="1:22" ht="4.5" customHeight="1">
      <c r="A235" s="34"/>
      <c r="B235" s="183"/>
      <c r="C235" s="183"/>
      <c r="D235" s="183"/>
      <c r="E235" s="183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</row>
    <row r="236" spans="1:22" ht="15.6">
      <c r="A236" s="181" t="s">
        <v>254</v>
      </c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</row>
    <row r="237" spans="1:22">
      <c r="A237" s="168">
        <v>1</v>
      </c>
      <c r="B237" s="166" t="s">
        <v>255</v>
      </c>
      <c r="C237" s="167" t="s">
        <v>80</v>
      </c>
      <c r="D237" s="92">
        <v>1065100121.0599999</v>
      </c>
      <c r="E237" s="93">
        <f t="shared" ref="E237:E248" si="177">(D237/$D$249)</f>
        <v>7.7951791583658225E-2</v>
      </c>
      <c r="F237" s="89">
        <v>260.25</v>
      </c>
      <c r="G237" s="89">
        <v>260.25</v>
      </c>
      <c r="H237" s="94">
        <v>266</v>
      </c>
      <c r="I237" s="50">
        <v>2.5302000000000002E-2</v>
      </c>
      <c r="J237" s="50">
        <v>6.7348000000000005E-2</v>
      </c>
      <c r="K237" s="92">
        <v>1089598792.5699999</v>
      </c>
      <c r="L237" s="93">
        <f t="shared" ref="L237:L248" si="178">(K237/$K$249)</f>
        <v>7.8329446251170373E-2</v>
      </c>
      <c r="M237" s="89">
        <v>260.25</v>
      </c>
      <c r="N237" s="89">
        <v>260.25</v>
      </c>
      <c r="O237" s="94">
        <v>266</v>
      </c>
      <c r="P237" s="50">
        <v>2.3136E-2</v>
      </c>
      <c r="Q237" s="50">
        <v>9.1897999999999994E-2</v>
      </c>
      <c r="R237" s="55">
        <f>((K237-D237)/D237)</f>
        <v>2.3001285067565883E-2</v>
      </c>
      <c r="S237" s="55">
        <f>((N237-G237)/G237)</f>
        <v>0</v>
      </c>
      <c r="T237" s="55">
        <f>((O237-H237)/H237)</f>
        <v>0</v>
      </c>
      <c r="U237" s="55">
        <f>P237-I237</f>
        <v>-2.1660000000000013E-3</v>
      </c>
      <c r="V237" s="56">
        <f>Q237-J237</f>
        <v>2.4549999999999988E-2</v>
      </c>
    </row>
    <row r="238" spans="1:22">
      <c r="A238" s="168">
        <v>2</v>
      </c>
      <c r="B238" s="166" t="s">
        <v>256</v>
      </c>
      <c r="C238" s="167" t="s">
        <v>228</v>
      </c>
      <c r="D238" s="92">
        <v>1281359985.23</v>
      </c>
      <c r="E238" s="93">
        <f t="shared" si="177"/>
        <v>9.3779265007389478E-2</v>
      </c>
      <c r="F238" s="89">
        <v>36.450000000000003</v>
      </c>
      <c r="G238" s="89">
        <v>40.28</v>
      </c>
      <c r="H238" s="94">
        <v>213</v>
      </c>
      <c r="I238" s="50">
        <v>6.9699999999999998E-2</v>
      </c>
      <c r="J238" s="50">
        <v>0.19120000000000001</v>
      </c>
      <c r="K238" s="92">
        <v>1313990937.6800001</v>
      </c>
      <c r="L238" s="93">
        <f t="shared" si="178"/>
        <v>9.4460624616485411E-2</v>
      </c>
      <c r="M238" s="89">
        <v>37.369999999999997</v>
      </c>
      <c r="N238" s="89">
        <v>41.31</v>
      </c>
      <c r="O238" s="94">
        <v>213</v>
      </c>
      <c r="P238" s="50">
        <v>2.5499999999999998E-2</v>
      </c>
      <c r="Q238" s="50">
        <v>0.21909999999999999</v>
      </c>
      <c r="R238" s="55">
        <f t="shared" ref="R238:R249" si="179">((K238-D238)/D238)</f>
        <v>2.546587440386075E-2</v>
      </c>
      <c r="S238" s="55">
        <f t="shared" ref="S238:S249" si="180">((N238-G238)/G238)</f>
        <v>2.5571002979146006E-2</v>
      </c>
      <c r="T238" s="55">
        <f t="shared" ref="T238:T249" si="181">((O238-H238)/H238)</f>
        <v>0</v>
      </c>
      <c r="U238" s="55">
        <f t="shared" ref="U238:U249" si="182">P238-I238</f>
        <v>-4.4200000000000003E-2</v>
      </c>
      <c r="V238" s="56">
        <f t="shared" ref="V238:V249" si="183">Q238-J238</f>
        <v>2.789999999999998E-2</v>
      </c>
    </row>
    <row r="239" spans="1:22">
      <c r="A239" s="168">
        <v>3</v>
      </c>
      <c r="B239" s="166" t="s">
        <v>257</v>
      </c>
      <c r="C239" s="167" t="s">
        <v>43</v>
      </c>
      <c r="D239" s="92">
        <v>419499070.03000003</v>
      </c>
      <c r="E239" s="93">
        <f t="shared" si="177"/>
        <v>3.0702000149969839E-2</v>
      </c>
      <c r="F239" s="89">
        <v>31.299139</v>
      </c>
      <c r="G239" s="89">
        <v>31.614625</v>
      </c>
      <c r="H239" s="94">
        <v>167</v>
      </c>
      <c r="I239" s="50">
        <v>8.113218188798843E-4</v>
      </c>
      <c r="J239" s="50">
        <v>8.113218188798843E-4</v>
      </c>
      <c r="K239" s="92">
        <v>416774262.58000004</v>
      </c>
      <c r="L239" s="93">
        <f t="shared" si="178"/>
        <v>2.996120904524038E-2</v>
      </c>
      <c r="M239" s="89">
        <v>31.417044000000001</v>
      </c>
      <c r="N239" s="89">
        <v>31.767289000000002</v>
      </c>
      <c r="O239" s="94">
        <v>167</v>
      </c>
      <c r="P239" s="50">
        <v>-6.4953837676091641E-3</v>
      </c>
      <c r="Q239" s="50">
        <v>-6.4953837676091641E-3</v>
      </c>
      <c r="R239" s="55">
        <f t="shared" si="179"/>
        <v>-6.4953837676091303E-3</v>
      </c>
      <c r="S239" s="55">
        <f t="shared" si="180"/>
        <v>4.8289043441129371E-3</v>
      </c>
      <c r="T239" s="55">
        <f t="shared" si="181"/>
        <v>0</v>
      </c>
      <c r="U239" s="55">
        <f t="shared" si="182"/>
        <v>-7.3067055864890484E-3</v>
      </c>
      <c r="V239" s="56">
        <f t="shared" si="183"/>
        <v>-7.3067055864890484E-3</v>
      </c>
    </row>
    <row r="240" spans="1:22">
      <c r="A240" s="168">
        <v>4</v>
      </c>
      <c r="B240" s="166" t="s">
        <v>258</v>
      </c>
      <c r="C240" s="167" t="s">
        <v>43</v>
      </c>
      <c r="D240" s="92">
        <v>875943253.06999993</v>
      </c>
      <c r="E240" s="93">
        <f t="shared" si="177"/>
        <v>6.4107913004901221E-2</v>
      </c>
      <c r="F240" s="89">
        <v>65.729471000000004</v>
      </c>
      <c r="G240" s="89">
        <v>66.093299999999999</v>
      </c>
      <c r="H240" s="94">
        <v>460</v>
      </c>
      <c r="I240" s="50">
        <v>-3.734808963533176E-2</v>
      </c>
      <c r="J240" s="50">
        <v>-9.1759926982418749E-3</v>
      </c>
      <c r="K240" s="92">
        <v>872471865.18999994</v>
      </c>
      <c r="L240" s="93">
        <f t="shared" si="178"/>
        <v>6.2720552313449834E-2</v>
      </c>
      <c r="M240" s="89">
        <v>67.128118999999998</v>
      </c>
      <c r="N240" s="89">
        <v>67.534085000000005</v>
      </c>
      <c r="O240" s="94">
        <v>460</v>
      </c>
      <c r="P240" s="50">
        <v>-3.9630282758996715E-3</v>
      </c>
      <c r="Q240" s="50">
        <v>-1.3102656255619016E-2</v>
      </c>
      <c r="R240" s="55">
        <f t="shared" si="179"/>
        <v>-3.9630282758997219E-3</v>
      </c>
      <c r="S240" s="55">
        <f t="shared" si="180"/>
        <v>2.1799259531601618E-2</v>
      </c>
      <c r="T240" s="55">
        <f t="shared" si="181"/>
        <v>0</v>
      </c>
      <c r="U240" s="55">
        <f t="shared" si="182"/>
        <v>3.3385061359432089E-2</v>
      </c>
      <c r="V240" s="56">
        <f t="shared" si="183"/>
        <v>-3.9266635573771413E-3</v>
      </c>
    </row>
    <row r="241" spans="1:26">
      <c r="A241" s="168">
        <v>5</v>
      </c>
      <c r="B241" s="166" t="s">
        <v>259</v>
      </c>
      <c r="C241" s="167" t="s">
        <v>260</v>
      </c>
      <c r="D241" s="92">
        <v>1625293727.45</v>
      </c>
      <c r="E241" s="93">
        <f t="shared" si="177"/>
        <v>0.11895084358672454</v>
      </c>
      <c r="F241" s="89">
        <v>47712</v>
      </c>
      <c r="G241" s="89">
        <v>50580</v>
      </c>
      <c r="H241" s="94">
        <v>236</v>
      </c>
      <c r="I241" s="50">
        <v>-1.6E-2</v>
      </c>
      <c r="J241" s="50">
        <v>0.28999999999999998</v>
      </c>
      <c r="K241" s="92">
        <v>1626414176.05</v>
      </c>
      <c r="L241" s="93">
        <f t="shared" si="178"/>
        <v>0.11692021196587882</v>
      </c>
      <c r="M241" s="89">
        <v>46550</v>
      </c>
      <c r="N241" s="89">
        <v>49525</v>
      </c>
      <c r="O241" s="94">
        <v>236</v>
      </c>
      <c r="P241" s="50">
        <v>1E-3</v>
      </c>
      <c r="Q241" s="50">
        <v>0.28999999999999998</v>
      </c>
      <c r="R241" s="55">
        <f t="shared" si="179"/>
        <v>6.8938222124183626E-4</v>
      </c>
      <c r="S241" s="55">
        <f t="shared" si="180"/>
        <v>-2.0858046658758404E-2</v>
      </c>
      <c r="T241" s="55">
        <f t="shared" si="181"/>
        <v>0</v>
      </c>
      <c r="U241" s="55">
        <f t="shared" si="182"/>
        <v>1.7000000000000001E-2</v>
      </c>
      <c r="V241" s="56">
        <f t="shared" si="183"/>
        <v>0</v>
      </c>
    </row>
    <row r="242" spans="1:26">
      <c r="A242" s="168">
        <v>6</v>
      </c>
      <c r="B242" s="166" t="s">
        <v>261</v>
      </c>
      <c r="C242" s="167" t="s">
        <v>262</v>
      </c>
      <c r="D242" s="92">
        <v>761056981.24000001</v>
      </c>
      <c r="E242" s="93">
        <f t="shared" si="177"/>
        <v>5.5699698095862477E-2</v>
      </c>
      <c r="F242" s="89">
        <v>291.39999999999998</v>
      </c>
      <c r="G242" s="89">
        <v>291.39999999999998</v>
      </c>
      <c r="H242" s="94">
        <v>144</v>
      </c>
      <c r="I242" s="50">
        <v>1.6400000000000001E-2</v>
      </c>
      <c r="J242" s="50">
        <v>0.16089999999999999</v>
      </c>
      <c r="K242" s="92">
        <v>780736282</v>
      </c>
      <c r="L242" s="93">
        <f t="shared" si="178"/>
        <v>5.6125833705279904E-2</v>
      </c>
      <c r="M242" s="89">
        <v>291.39999999999998</v>
      </c>
      <c r="N242" s="89">
        <v>291.39999999999998</v>
      </c>
      <c r="O242" s="94">
        <v>144</v>
      </c>
      <c r="P242" s="50">
        <v>2.5899999999999999E-2</v>
      </c>
      <c r="Q242" s="50">
        <v>0.19040000000000001</v>
      </c>
      <c r="R242" s="55">
        <f t="shared" si="179"/>
        <v>2.5857854595770544E-2</v>
      </c>
      <c r="S242" s="55">
        <f t="shared" si="180"/>
        <v>0</v>
      </c>
      <c r="T242" s="55">
        <f t="shared" si="181"/>
        <v>0</v>
      </c>
      <c r="U242" s="55">
        <f t="shared" si="182"/>
        <v>9.499999999999998E-3</v>
      </c>
      <c r="V242" s="56">
        <f t="shared" si="183"/>
        <v>2.9500000000000026E-2</v>
      </c>
    </row>
    <row r="243" spans="1:26">
      <c r="A243" s="168">
        <v>7</v>
      </c>
      <c r="B243" s="166" t="s">
        <v>263</v>
      </c>
      <c r="C243" s="167" t="s">
        <v>262</v>
      </c>
      <c r="D243" s="92">
        <v>788842040.33000004</v>
      </c>
      <c r="E243" s="93">
        <f t="shared" si="177"/>
        <v>5.7733211276921728E-2</v>
      </c>
      <c r="F243" s="89">
        <v>315</v>
      </c>
      <c r="G243" s="89">
        <v>315</v>
      </c>
      <c r="H243" s="94">
        <v>657</v>
      </c>
      <c r="I243" s="50">
        <v>1.83E-2</v>
      </c>
      <c r="J243" s="50">
        <v>8.3699999999999997E-2</v>
      </c>
      <c r="K243" s="92">
        <v>805366010.80999994</v>
      </c>
      <c r="L243" s="93">
        <f t="shared" si="178"/>
        <v>5.7896423974064415E-2</v>
      </c>
      <c r="M243" s="89">
        <v>306.89999999999998</v>
      </c>
      <c r="N243" s="89">
        <v>306.89999999999998</v>
      </c>
      <c r="O243" s="94">
        <v>657</v>
      </c>
      <c r="P243" s="50">
        <v>2.0899999999999998E-2</v>
      </c>
      <c r="Q243" s="50">
        <v>0.1062</v>
      </c>
      <c r="R243" s="55">
        <f t="shared" si="179"/>
        <v>2.0947122028495527E-2</v>
      </c>
      <c r="S243" s="55">
        <f t="shared" si="180"/>
        <v>-2.5714285714285787E-2</v>
      </c>
      <c r="T243" s="55">
        <f t="shared" si="181"/>
        <v>0</v>
      </c>
      <c r="U243" s="55">
        <f t="shared" si="182"/>
        <v>2.5999999999999981E-3</v>
      </c>
      <c r="V243" s="56">
        <f t="shared" si="183"/>
        <v>2.2500000000000006E-2</v>
      </c>
    </row>
    <row r="244" spans="1:26">
      <c r="A244" s="168">
        <v>8</v>
      </c>
      <c r="B244" s="166" t="s">
        <v>264</v>
      </c>
      <c r="C244" s="167" t="s">
        <v>265</v>
      </c>
      <c r="D244" s="92">
        <v>83491518.280000001</v>
      </c>
      <c r="E244" s="93">
        <f t="shared" si="177"/>
        <v>6.1105179722340123E-3</v>
      </c>
      <c r="F244" s="89">
        <v>23.87</v>
      </c>
      <c r="G244" s="89">
        <v>23.97</v>
      </c>
      <c r="H244" s="94">
        <v>90</v>
      </c>
      <c r="I244" s="50">
        <v>8.9999999999999998E-4</v>
      </c>
      <c r="J244" s="50">
        <v>0.29649999999999999</v>
      </c>
      <c r="K244" s="92">
        <v>84854933.439999998</v>
      </c>
      <c r="L244" s="93">
        <f t="shared" si="178"/>
        <v>6.1000801334938279E-3</v>
      </c>
      <c r="M244" s="89">
        <v>24.31</v>
      </c>
      <c r="N244" s="89">
        <v>24.41</v>
      </c>
      <c r="O244" s="94">
        <v>93</v>
      </c>
      <c r="P244" s="50">
        <v>8.9999999999999993E-3</v>
      </c>
      <c r="Q244" s="50">
        <v>0.30809999999999998</v>
      </c>
      <c r="R244" s="55">
        <f t="shared" si="179"/>
        <v>1.6329984028169195E-2</v>
      </c>
      <c r="S244" s="55">
        <f t="shared" si="180"/>
        <v>1.8356278681685493E-2</v>
      </c>
      <c r="T244" s="55">
        <f t="shared" si="181"/>
        <v>3.3333333333333333E-2</v>
      </c>
      <c r="U244" s="55">
        <f t="shared" si="182"/>
        <v>8.0999999999999996E-3</v>
      </c>
      <c r="V244" s="56">
        <f t="shared" si="183"/>
        <v>1.1599999999999999E-2</v>
      </c>
    </row>
    <row r="245" spans="1:26">
      <c r="A245" s="168">
        <v>9</v>
      </c>
      <c r="B245" s="166" t="s">
        <v>266</v>
      </c>
      <c r="C245" s="167" t="s">
        <v>265</v>
      </c>
      <c r="D245" s="95">
        <v>751445385.89999998</v>
      </c>
      <c r="E245" s="93">
        <f t="shared" si="177"/>
        <v>5.4996251479046313E-2</v>
      </c>
      <c r="F245" s="89">
        <v>11.59</v>
      </c>
      <c r="G245" s="89">
        <v>11.69</v>
      </c>
      <c r="H245" s="94">
        <v>131</v>
      </c>
      <c r="I245" s="50">
        <v>0</v>
      </c>
      <c r="J245" s="50">
        <v>0.1009</v>
      </c>
      <c r="K245" s="95">
        <v>785407785.00999999</v>
      </c>
      <c r="L245" s="93">
        <f t="shared" si="178"/>
        <v>5.6461660292487205E-2</v>
      </c>
      <c r="M245" s="89">
        <v>12.13</v>
      </c>
      <c r="N245" s="89">
        <v>12.23</v>
      </c>
      <c r="O245" s="94">
        <v>139</v>
      </c>
      <c r="P245" s="50">
        <v>0</v>
      </c>
      <c r="Q245" s="50">
        <v>0.1009</v>
      </c>
      <c r="R245" s="55">
        <f t="shared" si="179"/>
        <v>4.5196097743448814E-2</v>
      </c>
      <c r="S245" s="55">
        <f t="shared" si="180"/>
        <v>4.619332763045346E-2</v>
      </c>
      <c r="T245" s="55">
        <f t="shared" si="181"/>
        <v>6.1068702290076333E-2</v>
      </c>
      <c r="U245" s="55">
        <f t="shared" si="182"/>
        <v>0</v>
      </c>
      <c r="V245" s="56">
        <f t="shared" si="183"/>
        <v>0</v>
      </c>
    </row>
    <row r="246" spans="1:26" ht="15" customHeight="1">
      <c r="A246" s="168">
        <v>10</v>
      </c>
      <c r="B246" s="166" t="s">
        <v>267</v>
      </c>
      <c r="C246" s="167" t="s">
        <v>265</v>
      </c>
      <c r="D246" s="92">
        <v>96459225.989999995</v>
      </c>
      <c r="E246" s="93">
        <f t="shared" si="177"/>
        <v>7.0595893588015976E-3</v>
      </c>
      <c r="F246" s="89">
        <v>131.85</v>
      </c>
      <c r="G246" s="89">
        <v>133.85</v>
      </c>
      <c r="H246" s="94">
        <v>307</v>
      </c>
      <c r="I246" s="50">
        <v>1.2999999999999999E-3</v>
      </c>
      <c r="J246" s="50">
        <v>0.46339999999999998</v>
      </c>
      <c r="K246" s="92">
        <v>96698782.140000001</v>
      </c>
      <c r="L246" s="93">
        <f t="shared" si="178"/>
        <v>6.9515147316962156E-3</v>
      </c>
      <c r="M246" s="89">
        <v>132.18</v>
      </c>
      <c r="N246" s="89">
        <v>134.18</v>
      </c>
      <c r="O246" s="94">
        <v>307</v>
      </c>
      <c r="P246" s="50">
        <v>0.3967</v>
      </c>
      <c r="Q246" s="50">
        <v>1.0439000000000001</v>
      </c>
      <c r="R246" s="55">
        <f t="shared" si="179"/>
        <v>2.4834964985603445E-3</v>
      </c>
      <c r="S246" s="55">
        <f t="shared" si="180"/>
        <v>2.4654463952186218E-3</v>
      </c>
      <c r="T246" s="55">
        <f t="shared" si="181"/>
        <v>0</v>
      </c>
      <c r="U246" s="55">
        <f t="shared" si="182"/>
        <v>0.39539999999999997</v>
      </c>
      <c r="V246" s="56">
        <f t="shared" si="183"/>
        <v>0.58050000000000002</v>
      </c>
    </row>
    <row r="247" spans="1:26">
      <c r="A247" s="168">
        <v>11</v>
      </c>
      <c r="B247" s="166" t="s">
        <v>268</v>
      </c>
      <c r="C247" s="167" t="s">
        <v>265</v>
      </c>
      <c r="D247" s="92">
        <v>5854560047.5100002</v>
      </c>
      <c r="E247" s="93">
        <f t="shared" si="177"/>
        <v>0.42847938481438125</v>
      </c>
      <c r="F247" s="89">
        <v>41.44</v>
      </c>
      <c r="G247" s="89">
        <v>41.64</v>
      </c>
      <c r="H247" s="94">
        <v>308</v>
      </c>
      <c r="I247" s="50">
        <v>0</v>
      </c>
      <c r="J247" s="50">
        <v>6.9099999999999995E-2</v>
      </c>
      <c r="K247" s="92">
        <v>5978035741.9300003</v>
      </c>
      <c r="L247" s="93">
        <f t="shared" si="178"/>
        <v>0.42975105380818307</v>
      </c>
      <c r="M247" s="89">
        <v>42.45</v>
      </c>
      <c r="N247" s="89">
        <v>42.65</v>
      </c>
      <c r="O247" s="94">
        <v>310</v>
      </c>
      <c r="P247" s="50">
        <v>0</v>
      </c>
      <c r="Q247" s="50">
        <v>6.9099999999999995E-2</v>
      </c>
      <c r="R247" s="55">
        <f t="shared" si="179"/>
        <v>2.1090516352721578E-2</v>
      </c>
      <c r="S247" s="55">
        <f t="shared" si="180"/>
        <v>2.4255523535062391E-2</v>
      </c>
      <c r="T247" s="55">
        <f t="shared" si="181"/>
        <v>6.4935064935064939E-3</v>
      </c>
      <c r="U247" s="55">
        <f t="shared" si="182"/>
        <v>0</v>
      </c>
      <c r="V247" s="56">
        <f t="shared" si="183"/>
        <v>0</v>
      </c>
    </row>
    <row r="248" spans="1:26">
      <c r="A248" s="168">
        <v>12</v>
      </c>
      <c r="B248" s="166" t="s">
        <v>269</v>
      </c>
      <c r="C248" s="167" t="s">
        <v>265</v>
      </c>
      <c r="D248" s="95">
        <v>60523263.832999997</v>
      </c>
      <c r="E248" s="93">
        <f t="shared" si="177"/>
        <v>4.4295336701093138E-3</v>
      </c>
      <c r="F248" s="89">
        <v>34.35</v>
      </c>
      <c r="G248" s="89">
        <v>34.549999999999997</v>
      </c>
      <c r="H248" s="94">
        <v>80</v>
      </c>
      <c r="I248" s="50">
        <v>-2.0000000000000001E-4</v>
      </c>
      <c r="J248" s="50">
        <v>-5.62E-2</v>
      </c>
      <c r="K248" s="95">
        <v>60112520.119999997</v>
      </c>
      <c r="L248" s="93">
        <f t="shared" si="178"/>
        <v>4.3213891625705344E-3</v>
      </c>
      <c r="M248" s="89">
        <v>34.76</v>
      </c>
      <c r="N248" s="89">
        <v>34.96</v>
      </c>
      <c r="O248" s="94">
        <v>81</v>
      </c>
      <c r="P248" s="50">
        <v>2.53E-2</v>
      </c>
      <c r="Q248" s="50">
        <v>-3.2300000000000002E-2</v>
      </c>
      <c r="R248" s="55">
        <f t="shared" si="179"/>
        <v>-6.7865426777602772E-3</v>
      </c>
      <c r="S248" s="55">
        <f t="shared" si="180"/>
        <v>1.1866859623733827E-2</v>
      </c>
      <c r="T248" s="55">
        <f t="shared" si="181"/>
        <v>1.2500000000000001E-2</v>
      </c>
      <c r="U248" s="55">
        <f t="shared" si="182"/>
        <v>2.5499999999999998E-2</v>
      </c>
      <c r="V248" s="56">
        <f t="shared" si="183"/>
        <v>2.3899999999999998E-2</v>
      </c>
    </row>
    <row r="249" spans="1:26">
      <c r="A249" s="127"/>
      <c r="B249" s="127"/>
      <c r="C249" s="128" t="s">
        <v>270</v>
      </c>
      <c r="D249" s="88">
        <f>SUM(D237:D248)</f>
        <v>13663574619.923</v>
      </c>
      <c r="E249" s="90"/>
      <c r="F249" s="90"/>
      <c r="G249" s="91"/>
      <c r="H249" s="88">
        <f>SUM(H237:H248)</f>
        <v>3059</v>
      </c>
      <c r="I249" s="111"/>
      <c r="J249" s="111"/>
      <c r="K249" s="88">
        <f>SUM(K237:K248)</f>
        <v>13910462089.52</v>
      </c>
      <c r="L249" s="90"/>
      <c r="M249" s="90"/>
      <c r="N249" s="91"/>
      <c r="O249" s="88">
        <f>SUM(O237:O248)</f>
        <v>3073</v>
      </c>
      <c r="P249" s="111"/>
      <c r="Q249" s="111"/>
      <c r="R249" s="55">
        <f t="shared" si="179"/>
        <v>1.8069024868280877E-2</v>
      </c>
      <c r="S249" s="55" t="e">
        <f t="shared" si="180"/>
        <v>#DIV/0!</v>
      </c>
      <c r="T249" s="55">
        <f t="shared" si="181"/>
        <v>4.5766590389016018E-3</v>
      </c>
      <c r="U249" s="55">
        <f t="shared" si="182"/>
        <v>0</v>
      </c>
      <c r="V249" s="56">
        <f t="shared" si="183"/>
        <v>0</v>
      </c>
      <c r="Z249" s="63"/>
    </row>
    <row r="250" spans="1:26">
      <c r="A250" s="96"/>
      <c r="B250" s="96"/>
      <c r="C250" s="97" t="s">
        <v>271</v>
      </c>
      <c r="D250" s="98">
        <f>SUM(D221,D229,D234,D249)</f>
        <v>5823165840253.3105</v>
      </c>
      <c r="E250" s="99"/>
      <c r="F250" s="99"/>
      <c r="G250" s="100"/>
      <c r="H250" s="98">
        <f>SUM(H221,H229,H234,H249)</f>
        <v>901198</v>
      </c>
      <c r="I250" s="112"/>
      <c r="J250" s="112"/>
      <c r="K250" s="98">
        <f>SUM(K221,K229,K234,K249)</f>
        <v>5869465268778.501</v>
      </c>
      <c r="L250" s="99"/>
      <c r="M250" s="99"/>
      <c r="N250" s="98"/>
      <c r="O250" s="98">
        <f>SUM(O221,O229,O234,O249)</f>
        <v>902214</v>
      </c>
      <c r="P250" s="113"/>
      <c r="Q250" s="98"/>
      <c r="R250" s="119"/>
      <c r="S250" s="120"/>
      <c r="T250" s="120"/>
      <c r="U250" s="121"/>
      <c r="V250" s="121"/>
      <c r="Z250" s="63"/>
    </row>
    <row r="251" spans="1:26">
      <c r="A251" s="101" t="s">
        <v>272</v>
      </c>
      <c r="B251" s="125" t="s">
        <v>321</v>
      </c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</row>
    <row r="252" spans="1:26">
      <c r="B252" s="124"/>
    </row>
    <row r="253" spans="1:26">
      <c r="B253" s="124"/>
      <c r="C253" s="103"/>
      <c r="D253" s="104"/>
      <c r="K253" s="104"/>
    </row>
    <row r="254" spans="1:26" ht="15">
      <c r="B254" s="105"/>
      <c r="C254" s="106"/>
      <c r="D254" s="107"/>
      <c r="F254" s="108"/>
      <c r="G254" s="108"/>
      <c r="I254" s="114"/>
      <c r="J254" s="115"/>
    </row>
    <row r="255" spans="1:26">
      <c r="C255" s="124"/>
    </row>
    <row r="257" spans="2:2">
      <c r="B257" s="103"/>
    </row>
  </sheetData>
  <sheetProtection algorithmName="SHA-512" hashValue="ontfCbK0IPfThVRGjlHH3IqCwIqC3hL/vyNMPSmwyxb+5a6tbYpVgmLWppqA3HeswdNmRAwu9vh8DIaI+U29Jw==" saltValue="G/jSeJ1h6h/gkI/CNcZudw==" spinCount="100000" sheet="1" objects="1" scenarios="1"/>
  <sortState ref="A150:C177">
    <sortCondition descending="1" ref="A149"/>
  </sortState>
  <mergeCells count="34">
    <mergeCell ref="A223:V223"/>
    <mergeCell ref="A231:V231"/>
    <mergeCell ref="B235:V235"/>
    <mergeCell ref="A236:V236"/>
    <mergeCell ref="B200:V200"/>
    <mergeCell ref="A201:V201"/>
    <mergeCell ref="B215:V215"/>
    <mergeCell ref="A216:V216"/>
    <mergeCell ref="B222:U222"/>
    <mergeCell ref="B190:V190"/>
    <mergeCell ref="A191:V191"/>
    <mergeCell ref="B195:V195"/>
    <mergeCell ref="A196:V196"/>
    <mergeCell ref="A197:V197"/>
    <mergeCell ref="A131:V131"/>
    <mergeCell ref="B150:V150"/>
    <mergeCell ref="A151:V151"/>
    <mergeCell ref="B159:V159"/>
    <mergeCell ref="A160:V160"/>
    <mergeCell ref="A71:V71"/>
    <mergeCell ref="B110:V110"/>
    <mergeCell ref="A111:V111"/>
    <mergeCell ref="A112:V112"/>
    <mergeCell ref="B130:V130"/>
    <mergeCell ref="B4:V4"/>
    <mergeCell ref="A5:V5"/>
    <mergeCell ref="B26:V26"/>
    <mergeCell ref="A27:V27"/>
    <mergeCell ref="B70:V70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5 E135" formula="1"/>
    <ignoredError sqref="S158 S25 S69 S109 S149 S189 S194 S220 S249 T232:T233 R49:T49 R135 R124:T124 R45:T45" evalError="1"/>
    <ignoredError sqref="P121:Q1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G9" sqref="G9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8"/>
      <c r="B1" s="148"/>
      <c r="C1" s="148"/>
      <c r="D1" s="148"/>
      <c r="E1" s="19"/>
      <c r="F1" s="19"/>
      <c r="G1" s="185"/>
    </row>
    <row r="2" spans="1:7" ht="27.6">
      <c r="A2" s="151" t="s">
        <v>273</v>
      </c>
      <c r="B2" s="152" t="s">
        <v>318</v>
      </c>
      <c r="C2" s="152" t="s">
        <v>322</v>
      </c>
      <c r="D2" s="153"/>
      <c r="E2" s="19"/>
      <c r="F2" s="19"/>
      <c r="G2" s="185"/>
    </row>
    <row r="3" spans="1:7">
      <c r="A3" s="154" t="s">
        <v>17</v>
      </c>
      <c r="B3" s="155">
        <f t="shared" ref="B3:C10" si="0">B13</f>
        <v>41.941704345109997</v>
      </c>
      <c r="C3" s="155">
        <f t="shared" si="0"/>
        <v>42.835043182520003</v>
      </c>
      <c r="D3" s="153"/>
      <c r="E3" s="19"/>
      <c r="F3" s="19"/>
      <c r="G3" s="185"/>
    </row>
    <row r="4" spans="1:7" ht="15.6" customHeight="1">
      <c r="A4" s="151" t="s">
        <v>54</v>
      </c>
      <c r="B4" s="156">
        <f t="shared" si="0"/>
        <v>2990.6642413624418</v>
      </c>
      <c r="C4" s="156">
        <f t="shared" si="0"/>
        <v>3044.8468891352236</v>
      </c>
      <c r="D4" s="153"/>
      <c r="E4" s="19"/>
      <c r="F4" s="19"/>
      <c r="G4" s="185"/>
    </row>
    <row r="5" spans="1:7" ht="16.2" customHeight="1">
      <c r="A5" s="151" t="s">
        <v>274</v>
      </c>
      <c r="B5" s="155">
        <f t="shared" si="0"/>
        <v>209.15974234228909</v>
      </c>
      <c r="C5" s="155">
        <f t="shared" si="0"/>
        <v>210.58683511191572</v>
      </c>
      <c r="D5" s="153"/>
      <c r="E5" s="19"/>
      <c r="F5" s="19"/>
      <c r="G5" s="185"/>
    </row>
    <row r="6" spans="1:7">
      <c r="A6" s="151" t="s">
        <v>154</v>
      </c>
      <c r="B6" s="156">
        <f t="shared" si="0"/>
        <v>1938.0345043664831</v>
      </c>
      <c r="C6" s="156">
        <f t="shared" si="0"/>
        <v>1924.6014249240279</v>
      </c>
      <c r="D6" s="153"/>
      <c r="E6" s="19"/>
      <c r="F6" s="19"/>
      <c r="G6" s="185"/>
    </row>
    <row r="7" spans="1:7">
      <c r="A7" s="151" t="s">
        <v>275</v>
      </c>
      <c r="B7" s="155">
        <f t="shared" si="0"/>
        <v>355.72532905643385</v>
      </c>
      <c r="C7" s="155">
        <f t="shared" si="0"/>
        <v>356.68116479001731</v>
      </c>
      <c r="D7" s="153"/>
      <c r="E7" s="19"/>
      <c r="F7" s="19"/>
      <c r="G7" s="185"/>
    </row>
    <row r="8" spans="1:7">
      <c r="A8" s="151" t="s">
        <v>191</v>
      </c>
      <c r="B8" s="157">
        <f t="shared" si="0"/>
        <v>60.841613029135786</v>
      </c>
      <c r="C8" s="157">
        <f t="shared" si="0"/>
        <v>61.815946486813843</v>
      </c>
      <c r="D8" s="153"/>
      <c r="E8" s="19"/>
      <c r="F8" s="19"/>
      <c r="G8" s="185"/>
    </row>
    <row r="9" spans="1:7">
      <c r="A9" s="151" t="s">
        <v>221</v>
      </c>
      <c r="B9" s="155">
        <f t="shared" si="0"/>
        <v>5.9926659787999998</v>
      </c>
      <c r="C9" s="155">
        <f t="shared" si="0"/>
        <v>6.1315200247600004</v>
      </c>
      <c r="D9" s="153"/>
      <c r="E9" s="19"/>
      <c r="F9" s="19"/>
      <c r="G9" s="185"/>
    </row>
    <row r="10" spans="1:7">
      <c r="A10" s="151" t="s">
        <v>276</v>
      </c>
      <c r="B10" s="155">
        <f t="shared" si="0"/>
        <v>58.641321245814737</v>
      </c>
      <c r="C10" s="155">
        <f t="shared" si="0"/>
        <v>59.376004499683233</v>
      </c>
      <c r="D10" s="153"/>
      <c r="E10" s="19"/>
      <c r="F10" s="19"/>
      <c r="G10" s="185"/>
    </row>
    <row r="11" spans="1:7">
      <c r="A11" s="151"/>
      <c r="B11" s="155"/>
      <c r="C11" s="155"/>
      <c r="D11" s="153"/>
      <c r="E11" s="19"/>
      <c r="F11" s="19"/>
      <c r="G11" s="185"/>
    </row>
    <row r="12" spans="1:7">
      <c r="A12" s="148"/>
      <c r="B12" s="148"/>
      <c r="C12" s="148"/>
      <c r="D12" s="148"/>
      <c r="E12" s="19"/>
      <c r="F12" s="19"/>
      <c r="G12" s="185"/>
    </row>
    <row r="13" spans="1:7">
      <c r="A13" s="158" t="s">
        <v>17</v>
      </c>
      <c r="B13" s="159">
        <f>'Weekly Valuation'!D25/1000000000</f>
        <v>41.941704345109997</v>
      </c>
      <c r="C13" s="160">
        <f>'Weekly Valuation'!K25/1000000000</f>
        <v>42.835043182520003</v>
      </c>
      <c r="D13" s="148"/>
      <c r="E13" s="19"/>
      <c r="F13" s="19"/>
      <c r="G13" s="185"/>
    </row>
    <row r="14" spans="1:7">
      <c r="A14" s="161" t="s">
        <v>54</v>
      </c>
      <c r="B14" s="159">
        <f>'Weekly Valuation'!D69/1000000000</f>
        <v>2990.6642413624418</v>
      </c>
      <c r="C14" s="162">
        <f>'Weekly Valuation'!K69/1000000000</f>
        <v>3044.8468891352236</v>
      </c>
      <c r="D14" s="148"/>
      <c r="E14" s="19"/>
      <c r="F14" s="19"/>
      <c r="G14" s="185"/>
    </row>
    <row r="15" spans="1:7">
      <c r="A15" s="161" t="s">
        <v>274</v>
      </c>
      <c r="B15" s="159">
        <f>'Weekly Valuation'!D109/1000000000</f>
        <v>209.15974234228909</v>
      </c>
      <c r="C15" s="160">
        <f>'Weekly Valuation'!K109/1000000000</f>
        <v>210.58683511191572</v>
      </c>
      <c r="D15" s="148"/>
      <c r="E15" s="19"/>
      <c r="F15" s="19"/>
      <c r="G15" s="185"/>
    </row>
    <row r="16" spans="1:7">
      <c r="A16" s="161" t="s">
        <v>154</v>
      </c>
      <c r="B16" s="159">
        <f>'Weekly Valuation'!D149/1000000000</f>
        <v>1938.0345043664831</v>
      </c>
      <c r="C16" s="162">
        <f>'Weekly Valuation'!K149/1000000000</f>
        <v>1924.6014249240279</v>
      </c>
      <c r="D16" s="148"/>
      <c r="E16" s="19"/>
      <c r="F16" s="19"/>
      <c r="G16" s="185"/>
    </row>
    <row r="17" spans="1:7">
      <c r="A17" s="161" t="s">
        <v>275</v>
      </c>
      <c r="B17" s="159">
        <f>'Weekly Valuation'!D158/1000000000</f>
        <v>355.72532905643385</v>
      </c>
      <c r="C17" s="160">
        <f>'Weekly Valuation'!K158/1000000000</f>
        <v>356.68116479001731</v>
      </c>
      <c r="D17" s="148"/>
      <c r="E17" s="19"/>
      <c r="F17" s="19"/>
      <c r="G17" s="185"/>
    </row>
    <row r="18" spans="1:7">
      <c r="A18" s="161" t="s">
        <v>191</v>
      </c>
      <c r="B18" s="159">
        <f>'Weekly Valuation'!D189/1000000000</f>
        <v>60.841613029135786</v>
      </c>
      <c r="C18" s="163">
        <f>'Weekly Valuation'!K189/1000000000</f>
        <v>61.815946486813843</v>
      </c>
      <c r="D18" s="148"/>
      <c r="E18" s="19"/>
      <c r="F18" s="19"/>
      <c r="G18" s="185"/>
    </row>
    <row r="19" spans="1:7">
      <c r="A19" s="161" t="s">
        <v>221</v>
      </c>
      <c r="B19" s="159">
        <f>'Weekly Valuation'!D194/1000000000</f>
        <v>5.9926659787999998</v>
      </c>
      <c r="C19" s="160">
        <f>'Weekly Valuation'!K194/1000000000</f>
        <v>6.1315200247600004</v>
      </c>
      <c r="D19" s="148"/>
      <c r="E19" s="19"/>
      <c r="F19" s="19"/>
      <c r="G19" s="185"/>
    </row>
    <row r="20" spans="1:7">
      <c r="A20" s="161" t="s">
        <v>276</v>
      </c>
      <c r="B20" s="159">
        <f>'Weekly Valuation'!D220/1000000000</f>
        <v>58.641321245814737</v>
      </c>
      <c r="C20" s="160">
        <f>'Weekly Valuation'!K220/1000000000</f>
        <v>59.376004499683233</v>
      </c>
      <c r="D20" s="148"/>
      <c r="E20" s="19"/>
      <c r="F20" s="19"/>
      <c r="G20" s="185"/>
    </row>
    <row r="21" spans="1:7">
      <c r="A21" s="144"/>
      <c r="B21" s="148"/>
      <c r="C21" s="147"/>
      <c r="D21" s="148"/>
      <c r="E21" s="19"/>
      <c r="F21" s="19"/>
      <c r="G21" s="185"/>
    </row>
    <row r="22" spans="1:7">
      <c r="A22" s="144"/>
      <c r="B22" s="148"/>
      <c r="C22" s="145"/>
      <c r="D22" s="148"/>
      <c r="E22" s="19"/>
      <c r="F22" s="19"/>
      <c r="G22" s="185"/>
    </row>
    <row r="23" spans="1:7">
      <c r="A23" s="164"/>
      <c r="B23" s="150"/>
      <c r="C23" s="146"/>
      <c r="D23" s="19"/>
      <c r="E23" s="19"/>
      <c r="F23" s="19"/>
      <c r="G23" s="185"/>
    </row>
    <row r="24" spans="1:7">
      <c r="A24" s="164"/>
      <c r="B24" s="150"/>
      <c r="C24" s="150"/>
      <c r="D24" s="19"/>
      <c r="E24" s="19"/>
      <c r="F24" s="19"/>
      <c r="G24" s="185"/>
    </row>
    <row r="25" spans="1:7">
      <c r="A25" s="164"/>
      <c r="B25" s="150"/>
      <c r="C25" s="150"/>
      <c r="D25" s="19"/>
      <c r="E25" s="19"/>
      <c r="F25" s="19"/>
      <c r="G25" s="185"/>
    </row>
    <row r="26" spans="1:7">
      <c r="A26" s="164"/>
      <c r="B26" s="150"/>
      <c r="C26" s="150"/>
      <c r="D26" s="19"/>
      <c r="E26" s="19"/>
      <c r="F26" s="19"/>
      <c r="G26" s="185"/>
    </row>
    <row r="27" spans="1:7">
      <c r="A27" s="164"/>
      <c r="B27" s="150"/>
      <c r="C27" s="150"/>
      <c r="D27" s="19"/>
      <c r="E27" s="19"/>
      <c r="F27" s="19"/>
      <c r="G27" s="185"/>
    </row>
    <row r="28" spans="1:7">
      <c r="A28" s="15"/>
      <c r="B28" s="15"/>
      <c r="C28" s="15"/>
      <c r="D28" s="15"/>
      <c r="E28" s="15"/>
      <c r="F28" s="15"/>
    </row>
    <row r="29" spans="1:7">
      <c r="A29" s="15"/>
      <c r="B29" s="15"/>
      <c r="C29" s="15"/>
      <c r="D29" s="15"/>
      <c r="E29" s="15"/>
      <c r="F29" s="15"/>
    </row>
  </sheetData>
  <sheetProtection algorithmName="SHA-512" hashValue="kkfc1/5i6rifv3MoVWYJtatI09pKz7RhNZ6Up+C2HvFtm+UltGMtkfWy1Yms/PCrzfNSAeHvecyDabC7cTp9hw==" saltValue="rrVZ+AEIwhPr4ep/jEZ5W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13" sqref="I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2" t="s">
        <v>273</v>
      </c>
      <c r="B1" s="143">
        <v>45813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4" t="s">
        <v>221</v>
      </c>
      <c r="B2" s="145">
        <f>'Weekly Valuation'!K194</f>
        <v>6131520024.7600002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4" t="s">
        <v>17</v>
      </c>
      <c r="B3" s="145">
        <f>'Weekly Valuation'!K25</f>
        <v>42835043182.520004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4" t="s">
        <v>276</v>
      </c>
      <c r="B4" s="146">
        <f>'Weekly Valuation'!K220</f>
        <v>59376004499.683235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4" t="s">
        <v>191</v>
      </c>
      <c r="B5" s="145">
        <f>'Weekly Valuation'!K189</f>
        <v>61815946486.813843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4" t="s">
        <v>275</v>
      </c>
      <c r="B6" s="145">
        <f>'Weekly Valuation'!K158</f>
        <v>356681164790.01733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4" t="s">
        <v>274</v>
      </c>
      <c r="B7" s="145">
        <f>'Weekly Valuation'!K109</f>
        <v>210586835111.91571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4" t="s">
        <v>154</v>
      </c>
      <c r="B8" s="147">
        <f>'Weekly Valuation'!K149</f>
        <v>1924601424924.0278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4" t="s">
        <v>54</v>
      </c>
      <c r="B9" s="147">
        <f>'Weekly Valuation'!K69</f>
        <v>3044846889135.2236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8"/>
      <c r="B10" s="148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4"/>
      <c r="B11" s="149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4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0"/>
      <c r="B13" s="150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50"/>
      <c r="B14" s="150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44"/>
      <c r="B15" s="146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50"/>
      <c r="B16" s="150"/>
      <c r="C16" s="19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50"/>
      <c r="B17" s="150"/>
      <c r="C17" s="19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86"/>
      <c r="B18" s="150"/>
      <c r="C18" s="19"/>
      <c r="D18" s="19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86"/>
      <c r="B19" s="186"/>
      <c r="C19" s="19"/>
      <c r="D19" s="19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86"/>
      <c r="B20" s="186"/>
      <c r="C20" s="19"/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64"/>
      <c r="B21" s="186"/>
      <c r="C21" s="19"/>
      <c r="D21" s="1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20"/>
    </row>
    <row r="33" spans="1:17" ht="15" customHeight="1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20"/>
    </row>
  </sheetData>
  <sheetProtection algorithmName="SHA-512" hashValue="I+BaZXKTaqrpVL50YUZgZ/LyclPtCokmcK9/em0p4ABm6oxP2+U3sUx9miss3VvwcMC0NhO1eEVXcvq8Tc7bvA==" saltValue="h0eHfnkTGArdje850zbah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D7" sqref="D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9"/>
      <c r="M1" s="15"/>
    </row>
    <row r="2" spans="1:13">
      <c r="A2" s="137" t="s">
        <v>277</v>
      </c>
      <c r="B2" s="138">
        <v>45764</v>
      </c>
      <c r="C2" s="138">
        <v>45772</v>
      </c>
      <c r="D2" s="138">
        <v>45779</v>
      </c>
      <c r="E2" s="138">
        <v>45786</v>
      </c>
      <c r="F2" s="138">
        <v>45793</v>
      </c>
      <c r="G2" s="138">
        <v>45800</v>
      </c>
      <c r="H2" s="138">
        <v>45807</v>
      </c>
      <c r="I2" s="138">
        <v>45813</v>
      </c>
      <c r="J2" s="19"/>
      <c r="K2" s="15"/>
      <c r="L2" s="19"/>
      <c r="M2" s="15"/>
    </row>
    <row r="3" spans="1:13">
      <c r="A3" s="137" t="s">
        <v>278</v>
      </c>
      <c r="B3" s="139">
        <f t="shared" ref="B3:I3" si="0">B4</f>
        <v>5068.1363340060261</v>
      </c>
      <c r="C3" s="139">
        <f t="shared" si="0"/>
        <v>5133.5118080609327</v>
      </c>
      <c r="D3" s="139">
        <f t="shared" si="0"/>
        <v>5212.4190322973518</v>
      </c>
      <c r="E3" s="139">
        <f t="shared" si="0"/>
        <v>5297.7036669070822</v>
      </c>
      <c r="F3" s="139">
        <f t="shared" si="0"/>
        <v>5600.7611033252406</v>
      </c>
      <c r="G3" s="139">
        <f t="shared" si="0"/>
        <v>5614.7878514083422</v>
      </c>
      <c r="H3" s="139">
        <f t="shared" si="0"/>
        <v>5661.0011217265082</v>
      </c>
      <c r="I3" s="139">
        <f t="shared" si="0"/>
        <v>5706.8748281549615</v>
      </c>
      <c r="J3" s="19"/>
      <c r="K3" s="15"/>
      <c r="L3" s="19"/>
      <c r="M3" s="15"/>
    </row>
    <row r="4" spans="1:13">
      <c r="A4" s="19"/>
      <c r="B4" s="140">
        <f>'NAV Trend'!C10/1000000000</f>
        <v>5068.1363340060261</v>
      </c>
      <c r="C4" s="140">
        <f>'NAV Trend'!D10/1000000000</f>
        <v>5133.5118080609327</v>
      </c>
      <c r="D4" s="140">
        <f>'NAV Trend'!E10/1000000000</f>
        <v>5212.4190322973518</v>
      </c>
      <c r="E4" s="140">
        <f>'NAV Trend'!F10/1000000000</f>
        <v>5297.7036669070822</v>
      </c>
      <c r="F4" s="140">
        <f>'NAV Trend'!G10/1000000000</f>
        <v>5600.7611033252406</v>
      </c>
      <c r="G4" s="140">
        <f>'NAV Trend'!H10/1000000000</f>
        <v>5614.7878514083422</v>
      </c>
      <c r="H4" s="141">
        <f>'NAV Trend'!I10/1000000000</f>
        <v>5661.0011217265082</v>
      </c>
      <c r="I4" s="141">
        <f>'NAV Trend'!J10/1000000000</f>
        <v>5706.8748281549615</v>
      </c>
      <c r="J4" s="19"/>
      <c r="K4" s="15"/>
      <c r="L4" s="19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9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9"/>
      <c r="M6" s="13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9"/>
      <c r="M7" s="13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9"/>
      <c r="M8" s="13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3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3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3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38wekJGWzfojy/i5I4i/kfFtmFEK1QSv8VWUBKEY2AgCnFC6EUX5ahmyRuqjrmtBUiGr6ulKeoxNDmTH+qgyZA==" saltValue="V6BkwzeZepLAl+hMznmUe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7" sqref="F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5"/>
      <c r="N1" s="15"/>
    </row>
    <row r="2" spans="1:14">
      <c r="A2" s="137" t="s">
        <v>277</v>
      </c>
      <c r="B2" s="138">
        <v>45764</v>
      </c>
      <c r="C2" s="138">
        <v>45772</v>
      </c>
      <c r="D2" s="138">
        <v>45779</v>
      </c>
      <c r="E2" s="138">
        <v>45786</v>
      </c>
      <c r="F2" s="138">
        <v>45793</v>
      </c>
      <c r="G2" s="138">
        <v>45800</v>
      </c>
      <c r="H2" s="138">
        <v>45807</v>
      </c>
      <c r="I2" s="138">
        <v>45813</v>
      </c>
      <c r="J2" s="19"/>
      <c r="K2" s="19"/>
      <c r="L2" s="19"/>
      <c r="M2" s="15"/>
      <c r="N2" s="15"/>
    </row>
    <row r="3" spans="1:14">
      <c r="A3" s="137" t="s">
        <v>279</v>
      </c>
      <c r="B3" s="139">
        <f t="shared" ref="B3:I3" si="0">B4</f>
        <v>13.257768084610001</v>
      </c>
      <c r="C3" s="139">
        <f t="shared" si="0"/>
        <v>13.511956801399998</v>
      </c>
      <c r="D3" s="139">
        <f t="shared" si="0"/>
        <v>13.564027253040001</v>
      </c>
      <c r="E3" s="139">
        <f t="shared" si="0"/>
        <v>13.89362105705</v>
      </c>
      <c r="F3" s="139">
        <f t="shared" si="0"/>
        <v>13.906596090597997</v>
      </c>
      <c r="G3" s="139">
        <f t="shared" si="0"/>
        <v>13.574054999743</v>
      </c>
      <c r="H3" s="139">
        <f t="shared" si="0"/>
        <v>13.663574619923001</v>
      </c>
      <c r="I3" s="139">
        <f t="shared" si="0"/>
        <v>13.910462089520001</v>
      </c>
      <c r="J3" s="19"/>
      <c r="K3" s="19"/>
      <c r="L3" s="19"/>
      <c r="M3" s="15"/>
      <c r="N3" s="15"/>
    </row>
    <row r="4" spans="1:14">
      <c r="A4" s="19"/>
      <c r="B4" s="140">
        <f>'NAV Trend'!C16/1000000000</f>
        <v>13.257768084610001</v>
      </c>
      <c r="C4" s="140">
        <f>'NAV Trend'!D16/1000000000</f>
        <v>13.511956801399998</v>
      </c>
      <c r="D4" s="140">
        <f>'NAV Trend'!E16/1000000000</f>
        <v>13.564027253040001</v>
      </c>
      <c r="E4" s="140">
        <f>'NAV Trend'!F16/1000000000</f>
        <v>13.89362105705</v>
      </c>
      <c r="F4" s="140">
        <f>'NAV Trend'!G16/1000000000</f>
        <v>13.906596090597997</v>
      </c>
      <c r="G4" s="140">
        <f>'NAV Trend'!H16/1000000000</f>
        <v>13.574054999743</v>
      </c>
      <c r="H4" s="140">
        <f>'NAV Trend'!I16/1000000000</f>
        <v>13.663574619923001</v>
      </c>
      <c r="I4" s="141">
        <f>'NAV Trend'!J16/1000000000</f>
        <v>13.910462089520001</v>
      </c>
      <c r="J4" s="19"/>
      <c r="K4" s="19"/>
      <c r="L4" s="19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5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5"/>
      <c r="N7" s="15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5"/>
      <c r="N8" s="15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5"/>
      <c r="N9" s="15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5"/>
      <c r="N10" s="15"/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pBaL5jF3+kgKGMrl30wd4ZFPdGUqQ00NyXMAMhlvFiO8pXBCXqRB7bkekwGJyCGdYmDHWkYEsHSADcVYkVIw6g==" saltValue="R108Ufx4Tj/a845TVp38V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45758</v>
      </c>
      <c r="C1" s="2">
        <v>45764</v>
      </c>
      <c r="D1" s="2">
        <v>45772</v>
      </c>
      <c r="E1" s="2">
        <v>45779</v>
      </c>
      <c r="F1" s="2">
        <v>45786</v>
      </c>
      <c r="G1" s="2">
        <v>45793</v>
      </c>
      <c r="H1" s="2">
        <v>45800</v>
      </c>
      <c r="I1" s="2">
        <v>45807</v>
      </c>
      <c r="J1" s="2">
        <v>45813</v>
      </c>
    </row>
    <row r="2" spans="1:11">
      <c r="A2" s="3" t="s">
        <v>17</v>
      </c>
      <c r="B2" s="4">
        <v>36611510201.959999</v>
      </c>
      <c r="C2" s="4">
        <v>36683565580.029999</v>
      </c>
      <c r="D2" s="4">
        <v>37720290975.739998</v>
      </c>
      <c r="E2" s="4">
        <v>38729991583.780006</v>
      </c>
      <c r="F2" s="4">
        <v>40052509206.349998</v>
      </c>
      <c r="G2" s="4">
        <v>40696491951.950005</v>
      </c>
      <c r="H2" s="4">
        <v>41222274085.630005</v>
      </c>
      <c r="I2" s="4">
        <v>41941704345.110001</v>
      </c>
      <c r="J2" s="4">
        <v>42835043182.520004</v>
      </c>
    </row>
    <row r="3" spans="1:11">
      <c r="A3" s="3" t="s">
        <v>54</v>
      </c>
      <c r="B3" s="4">
        <v>2628962377044.7275</v>
      </c>
      <c r="C3" s="4">
        <v>2676748756640.1934</v>
      </c>
      <c r="D3" s="4">
        <v>2723282785142.8521</v>
      </c>
      <c r="E3" s="4">
        <v>2781211975883.1699</v>
      </c>
      <c r="F3" s="4">
        <v>2849135060100.6763</v>
      </c>
      <c r="G3" s="4">
        <v>2909623160997.8462</v>
      </c>
      <c r="H3" s="4">
        <v>2955969352323.3311</v>
      </c>
      <c r="I3" s="4">
        <v>2990664241362.4419</v>
      </c>
      <c r="J3" s="4">
        <v>3044846889135.2236</v>
      </c>
    </row>
    <row r="4" spans="1:11">
      <c r="A4" s="3" t="s">
        <v>274</v>
      </c>
      <c r="B4" s="5">
        <v>208697208780.68359</v>
      </c>
      <c r="C4" s="5">
        <v>208401097853.44882</v>
      </c>
      <c r="D4" s="5">
        <v>208855945686.08514</v>
      </c>
      <c r="E4" s="5">
        <v>207828394902.42545</v>
      </c>
      <c r="F4" s="5">
        <v>208791291417.70242</v>
      </c>
      <c r="G4" s="5">
        <v>208401438383.2999</v>
      </c>
      <c r="H4" s="5">
        <v>209025769943.79047</v>
      </c>
      <c r="I4" s="5">
        <v>209159742342.28909</v>
      </c>
      <c r="J4" s="5">
        <v>210586835111.91571</v>
      </c>
    </row>
    <row r="5" spans="1:11">
      <c r="A5" s="3" t="s">
        <v>154</v>
      </c>
      <c r="B5" s="4">
        <v>1931287068703.0198</v>
      </c>
      <c r="C5" s="4">
        <v>1923487330363.6252</v>
      </c>
      <c r="D5" s="4">
        <v>1938221468200.9041</v>
      </c>
      <c r="E5" s="4">
        <v>1957941795296.7214</v>
      </c>
      <c r="F5" s="4">
        <v>1970845618406.8262</v>
      </c>
      <c r="G5" s="4">
        <v>1962901357676.8562</v>
      </c>
      <c r="H5" s="4">
        <v>1929073604440.7039</v>
      </c>
      <c r="I5" s="4">
        <v>1938034504366.4832</v>
      </c>
      <c r="J5" s="4">
        <v>1924601424924.0278</v>
      </c>
    </row>
    <row r="6" spans="1:11">
      <c r="A6" s="3" t="s">
        <v>275</v>
      </c>
      <c r="B6" s="6">
        <v>101448900231.00531</v>
      </c>
      <c r="C6" s="6">
        <v>101489098873.64462</v>
      </c>
      <c r="D6" s="6">
        <v>102301113357.0766</v>
      </c>
      <c r="E6" s="6">
        <v>102351541673.75938</v>
      </c>
      <c r="F6" s="6">
        <v>102440757490.53162</v>
      </c>
      <c r="G6" s="6">
        <v>353913355615.99237</v>
      </c>
      <c r="H6" s="6">
        <v>354567498315.10614</v>
      </c>
      <c r="I6" s="6">
        <v>355725329056.43384</v>
      </c>
      <c r="J6" s="6">
        <v>356681164790.01733</v>
      </c>
    </row>
    <row r="7" spans="1:11">
      <c r="A7" s="3" t="s">
        <v>191</v>
      </c>
      <c r="B7" s="7">
        <v>57125272136.110069</v>
      </c>
      <c r="C7" s="7">
        <v>57583359181.10791</v>
      </c>
      <c r="D7" s="7">
        <v>58607779909.068443</v>
      </c>
      <c r="E7" s="7">
        <v>59306649006.764648</v>
      </c>
      <c r="F7" s="7">
        <v>60348931993.098541</v>
      </c>
      <c r="G7" s="7">
        <v>60537200481.56192</v>
      </c>
      <c r="H7" s="7">
        <v>60839325442.61261</v>
      </c>
      <c r="I7" s="7">
        <v>60841613029.135788</v>
      </c>
      <c r="J7" s="7">
        <v>61815946486.813843</v>
      </c>
    </row>
    <row r="8" spans="1:11">
      <c r="A8" s="3" t="s">
        <v>221</v>
      </c>
      <c r="B8" s="6">
        <v>6789293199.9500008</v>
      </c>
      <c r="C8" s="6">
        <v>6651248992.7700005</v>
      </c>
      <c r="D8" s="6">
        <v>6859652223.0999994</v>
      </c>
      <c r="E8" s="6">
        <v>6938267747.5299997</v>
      </c>
      <c r="F8" s="6">
        <v>7090375954.5700006</v>
      </c>
      <c r="G8" s="6">
        <v>5933942499.0900002</v>
      </c>
      <c r="H8" s="6">
        <v>5993726972.2399998</v>
      </c>
      <c r="I8" s="6">
        <v>5992665978.8000002</v>
      </c>
      <c r="J8" s="6">
        <v>6131520024.7600002</v>
      </c>
    </row>
    <row r="9" spans="1:11">
      <c r="A9" s="3" t="s">
        <v>276</v>
      </c>
      <c r="B9" s="6">
        <v>56384304267.594231</v>
      </c>
      <c r="C9" s="6">
        <v>57091876521.208221</v>
      </c>
      <c r="D9" s="6">
        <v>57662772566.107521</v>
      </c>
      <c r="E9" s="6">
        <v>58110416203.200249</v>
      </c>
      <c r="F9" s="6">
        <v>58999122337.327522</v>
      </c>
      <c r="G9" s="6">
        <v>58754155718.644669</v>
      </c>
      <c r="H9" s="6">
        <v>58096299884.927956</v>
      </c>
      <c r="I9" s="6">
        <v>58641321245.814735</v>
      </c>
      <c r="J9" s="6">
        <v>59376004499.683235</v>
      </c>
    </row>
    <row r="10" spans="1:11" ht="15.6">
      <c r="A10" s="8" t="s">
        <v>280</v>
      </c>
      <c r="B10" s="9">
        <f t="shared" ref="B10:J10" si="0">SUM(B2:B9)</f>
        <v>5027305934565.0498</v>
      </c>
      <c r="C10" s="9">
        <f t="shared" si="0"/>
        <v>5068136334006.0264</v>
      </c>
      <c r="D10" s="9">
        <f t="shared" si="0"/>
        <v>5133511808060.9326</v>
      </c>
      <c r="E10" s="9">
        <f t="shared" si="0"/>
        <v>5212419032297.3516</v>
      </c>
      <c r="F10" s="9">
        <f t="shared" si="0"/>
        <v>5297703666907.082</v>
      </c>
      <c r="G10" s="9">
        <f t="shared" si="0"/>
        <v>5600761103325.2402</v>
      </c>
      <c r="H10" s="9">
        <f t="shared" si="0"/>
        <v>5614787851408.3418</v>
      </c>
      <c r="I10" s="9">
        <f t="shared" si="0"/>
        <v>5661001121726.5078</v>
      </c>
      <c r="J10" s="9">
        <f t="shared" si="0"/>
        <v>5706874828154.9619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5047721134285.5381</v>
      </c>
      <c r="D12" s="14">
        <f t="shared" ref="D12:J12" si="1">(C10+D10)/2</f>
        <v>5100824071033.4795</v>
      </c>
      <c r="E12" s="14">
        <f t="shared" si="1"/>
        <v>5172965420179.1426</v>
      </c>
      <c r="F12" s="14">
        <f t="shared" si="1"/>
        <v>5255061349602.2168</v>
      </c>
      <c r="G12" s="14">
        <f t="shared" si="1"/>
        <v>5449232385116.1611</v>
      </c>
      <c r="H12" s="14">
        <f t="shared" si="1"/>
        <v>5607774477366.791</v>
      </c>
      <c r="I12" s="14">
        <f t="shared" si="1"/>
        <v>5637894486567.4248</v>
      </c>
      <c r="J12" s="14">
        <f t="shared" si="1"/>
        <v>5683937974940.7344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45758</v>
      </c>
      <c r="C15" s="2">
        <v>45764</v>
      </c>
      <c r="D15" s="2">
        <v>45772</v>
      </c>
      <c r="E15" s="2">
        <v>45779</v>
      </c>
      <c r="F15" s="2">
        <v>45786</v>
      </c>
      <c r="G15" s="2">
        <v>45793</v>
      </c>
      <c r="H15" s="2">
        <v>45800</v>
      </c>
      <c r="I15" s="2">
        <v>45807</v>
      </c>
      <c r="J15" s="2">
        <v>45813</v>
      </c>
      <c r="K15" s="15"/>
    </row>
    <row r="16" spans="1:11">
      <c r="A16" s="16" t="s">
        <v>283</v>
      </c>
      <c r="B16" s="17">
        <v>13325340046.259998</v>
      </c>
      <c r="C16" s="17">
        <v>13257768084.610001</v>
      </c>
      <c r="D16" s="17">
        <v>13511956801.399998</v>
      </c>
      <c r="E16" s="17">
        <v>13564027253.040001</v>
      </c>
      <c r="F16" s="17">
        <v>13893621057.049999</v>
      </c>
      <c r="G16" s="17">
        <v>13906596090.597998</v>
      </c>
      <c r="H16" s="17">
        <v>13574054999.743</v>
      </c>
      <c r="I16" s="17">
        <v>13663574619.923</v>
      </c>
      <c r="J16" s="17">
        <v>13910462089.52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zz0bRAs1t50BvvLsih+AEpodv1CNEtnjRSijPSV8/T5yEn0FnKl5aO5XcdF/0yZ2iG/YYrS1wjE5TJyesEUJAQ==" saltValue="dL5A8egj9zXMG5h4J8hup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2025-06-16T11:10:46Z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