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26" i="1" l="1"/>
  <c r="M126" i="1"/>
  <c r="K126" i="1"/>
  <c r="N143" i="1"/>
  <c r="M143" i="1"/>
  <c r="K143" i="1"/>
  <c r="N145" i="1"/>
  <c r="M145" i="1"/>
  <c r="K145" i="1"/>
  <c r="K115" i="1" l="1"/>
  <c r="N119" i="1" l="1"/>
  <c r="M119" i="1"/>
  <c r="K119" i="1"/>
  <c r="K125" i="1"/>
  <c r="N133" i="1"/>
  <c r="M133" i="1"/>
  <c r="K133" i="1"/>
  <c r="K142" i="1"/>
  <c r="N134" i="1"/>
  <c r="M134" i="1"/>
  <c r="K134" i="1"/>
  <c r="N114" i="1" l="1"/>
  <c r="M114" i="1"/>
  <c r="K114" i="1"/>
  <c r="K127" i="1"/>
  <c r="N136" i="1" l="1"/>
  <c r="M136" i="1"/>
  <c r="K136" i="1"/>
  <c r="N129" i="1" l="1"/>
  <c r="M129" i="1"/>
  <c r="K129" i="1"/>
  <c r="N228" i="1" l="1"/>
  <c r="M228" i="1"/>
  <c r="K228" i="1"/>
  <c r="N124" i="1"/>
  <c r="M124" i="1"/>
  <c r="K124" i="1"/>
  <c r="N123" i="1"/>
  <c r="M123" i="1"/>
  <c r="K123" i="1"/>
  <c r="N118" i="1" l="1"/>
  <c r="M118" i="1"/>
  <c r="K118" i="1"/>
  <c r="N226" i="1"/>
  <c r="M226" i="1"/>
  <c r="K226" i="1"/>
  <c r="N117" i="1"/>
  <c r="M117" i="1"/>
  <c r="K117" i="1"/>
  <c r="N116" i="1"/>
  <c r="M116" i="1"/>
  <c r="K116" i="1"/>
  <c r="N146" i="1"/>
  <c r="M146" i="1"/>
  <c r="K146" i="1"/>
  <c r="N130" i="1"/>
  <c r="M130" i="1"/>
  <c r="K130" i="1"/>
  <c r="N148" i="1" l="1"/>
  <c r="M148" i="1"/>
  <c r="K148" i="1"/>
  <c r="N139" i="1"/>
  <c r="M139" i="1"/>
  <c r="K139" i="1"/>
  <c r="N128" i="1" l="1"/>
  <c r="M128" i="1"/>
  <c r="K128" i="1"/>
  <c r="N120" i="1"/>
  <c r="M120" i="1"/>
  <c r="K120" i="1"/>
  <c r="N121" i="1" l="1"/>
  <c r="M121" i="1"/>
  <c r="K121" i="1"/>
  <c r="N140" i="1"/>
  <c r="M140" i="1"/>
  <c r="K140" i="1"/>
  <c r="N149" i="1" l="1"/>
  <c r="M149" i="1"/>
  <c r="K149" i="1"/>
  <c r="G228" i="1"/>
  <c r="F228" i="1"/>
  <c r="G226" i="1"/>
  <c r="F226" i="1"/>
  <c r="D228" i="1"/>
  <c r="D226" i="1"/>
  <c r="R154" i="1" l="1"/>
  <c r="S154" i="1"/>
  <c r="T154" i="1"/>
  <c r="U154" i="1"/>
  <c r="V154" i="1"/>
  <c r="R126" i="1" l="1"/>
  <c r="N141" i="1"/>
  <c r="M141" i="1"/>
  <c r="R125" i="1"/>
  <c r="S133" i="1"/>
  <c r="R133" i="1"/>
  <c r="S149" i="1"/>
  <c r="R149" i="1"/>
  <c r="S121" i="1"/>
  <c r="S140" i="1"/>
  <c r="R140" i="1"/>
  <c r="R127" i="1"/>
  <c r="N142" i="1"/>
  <c r="M142" i="1"/>
  <c r="S145" i="1"/>
  <c r="R145" i="1"/>
  <c r="S136" i="1"/>
  <c r="R136" i="1"/>
  <c r="S120" i="1"/>
  <c r="R120" i="1"/>
  <c r="K159" i="1"/>
  <c r="L156" i="1" s="1"/>
  <c r="V219" i="1"/>
  <c r="U219" i="1"/>
  <c r="T219" i="1"/>
  <c r="S219" i="1"/>
  <c r="R219" i="1"/>
  <c r="K196" i="1"/>
  <c r="L219" i="1" s="1"/>
  <c r="D196" i="1"/>
  <c r="B19" i="2" s="1"/>
  <c r="B9" i="2" s="1"/>
  <c r="E219" i="1"/>
  <c r="V220" i="1"/>
  <c r="U220" i="1"/>
  <c r="T220" i="1"/>
  <c r="S220" i="1"/>
  <c r="R220" i="1"/>
  <c r="K222" i="1"/>
  <c r="L204" i="1" s="1"/>
  <c r="D222" i="1"/>
  <c r="E205" i="1" s="1"/>
  <c r="S134" i="1"/>
  <c r="S148" i="1"/>
  <c r="R115" i="1"/>
  <c r="S143" i="1"/>
  <c r="R143" i="1"/>
  <c r="R128" i="1"/>
  <c r="S114" i="1"/>
  <c r="V234" i="1"/>
  <c r="M125" i="1"/>
  <c r="N125" i="1"/>
  <c r="S125" i="1" s="1"/>
  <c r="V227" i="1"/>
  <c r="U227" i="1"/>
  <c r="T227" i="1"/>
  <c r="S227" i="1"/>
  <c r="R227" i="1"/>
  <c r="K230" i="1"/>
  <c r="R230" i="1" s="1"/>
  <c r="L227" i="1"/>
  <c r="E227" i="1"/>
  <c r="N127" i="1"/>
  <c r="N138" i="1"/>
  <c r="S138" i="1" s="1"/>
  <c r="M138" i="1"/>
  <c r="U142" i="1"/>
  <c r="V142" i="1"/>
  <c r="N115" i="1"/>
  <c r="S115" i="1" s="1"/>
  <c r="M115" i="1"/>
  <c r="M127" i="1"/>
  <c r="R228" i="1"/>
  <c r="S228" i="1"/>
  <c r="T228" i="1"/>
  <c r="U228" i="1"/>
  <c r="V228" i="1"/>
  <c r="V53" i="1"/>
  <c r="U53" i="1"/>
  <c r="T53" i="1"/>
  <c r="S53" i="1"/>
  <c r="R53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9" i="1"/>
  <c r="V59" i="1"/>
  <c r="U59" i="1"/>
  <c r="S59" i="1"/>
  <c r="T59" i="1"/>
  <c r="R32" i="1"/>
  <c r="V32" i="1"/>
  <c r="U32" i="1"/>
  <c r="T32" i="1"/>
  <c r="S32" i="1"/>
  <c r="T137" i="1"/>
  <c r="V125" i="1"/>
  <c r="U125" i="1"/>
  <c r="T125" i="1"/>
  <c r="R46" i="1"/>
  <c r="S46" i="1"/>
  <c r="T46" i="1"/>
  <c r="U46" i="1"/>
  <c r="V46" i="1"/>
  <c r="O230" i="1"/>
  <c r="H230" i="1"/>
  <c r="D230" i="1"/>
  <c r="V226" i="1"/>
  <c r="U226" i="1"/>
  <c r="T226" i="1"/>
  <c r="S226" i="1"/>
  <c r="R226" i="1"/>
  <c r="L228" i="1"/>
  <c r="V136" i="1"/>
  <c r="U136" i="1"/>
  <c r="T136" i="1"/>
  <c r="V83" i="1"/>
  <c r="U83" i="1"/>
  <c r="T83" i="1"/>
  <c r="S83" i="1"/>
  <c r="R83" i="1"/>
  <c r="R172" i="1"/>
  <c r="V23" i="1"/>
  <c r="U23" i="1"/>
  <c r="T23" i="1"/>
  <c r="S23" i="1"/>
  <c r="R23" i="1"/>
  <c r="O222" i="1"/>
  <c r="H222" i="1"/>
  <c r="V221" i="1"/>
  <c r="U221" i="1"/>
  <c r="T221" i="1"/>
  <c r="S221" i="1"/>
  <c r="R221" i="1"/>
  <c r="E221" i="1"/>
  <c r="E226" i="1"/>
  <c r="R31" i="1"/>
  <c r="R117" i="1"/>
  <c r="S117" i="1"/>
  <c r="T117" i="1"/>
  <c r="U117" i="1"/>
  <c r="V117" i="1"/>
  <c r="R54" i="1"/>
  <c r="R213" i="1"/>
  <c r="V205" i="1"/>
  <c r="U205" i="1"/>
  <c r="T205" i="1"/>
  <c r="S205" i="1"/>
  <c r="R205" i="1"/>
  <c r="T145" i="1"/>
  <c r="U145" i="1"/>
  <c r="V145" i="1"/>
  <c r="R6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5" i="1"/>
  <c r="V34" i="1"/>
  <c r="U34" i="1"/>
  <c r="T34" i="1"/>
  <c r="S34" i="1"/>
  <c r="R34" i="1"/>
  <c r="V77" i="1"/>
  <c r="V50" i="1"/>
  <c r="U50" i="1"/>
  <c r="T50" i="1"/>
  <c r="S50" i="1"/>
  <c r="R50" i="1"/>
  <c r="J10" i="4"/>
  <c r="I4" i="5" s="1"/>
  <c r="I3" i="5" s="1"/>
  <c r="I10" i="4"/>
  <c r="H4" i="5" s="1"/>
  <c r="H3" i="5" s="1"/>
  <c r="H10" i="4"/>
  <c r="G4" i="5"/>
  <c r="G3" i="5"/>
  <c r="G10" i="4"/>
  <c r="F10" i="4"/>
  <c r="G12" i="4" s="1"/>
  <c r="E4" i="5"/>
  <c r="E3" i="5"/>
  <c r="E10" i="4"/>
  <c r="D10" i="4"/>
  <c r="C10" i="4"/>
  <c r="D12" i="4" s="1"/>
  <c r="B4" i="5"/>
  <c r="B3" i="5"/>
  <c r="B10" i="4"/>
  <c r="I4" i="6"/>
  <c r="I3" i="6"/>
  <c r="H4" i="6"/>
  <c r="H3" i="6"/>
  <c r="G4" i="6"/>
  <c r="G3" i="6"/>
  <c r="F4" i="6"/>
  <c r="F3" i="6" s="1"/>
  <c r="E4" i="6"/>
  <c r="E3" i="6"/>
  <c r="D4" i="6"/>
  <c r="D3" i="6"/>
  <c r="C4" i="6"/>
  <c r="C3" i="6"/>
  <c r="B4" i="6"/>
  <c r="B3" i="6"/>
  <c r="F4" i="5"/>
  <c r="F3" i="5"/>
  <c r="V250" i="1"/>
  <c r="U250" i="1"/>
  <c r="S250" i="1"/>
  <c r="O250" i="1"/>
  <c r="K250" i="1"/>
  <c r="L247" i="1" s="1"/>
  <c r="H250" i="1"/>
  <c r="D250" i="1"/>
  <c r="E238" i="1" s="1"/>
  <c r="E248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4" i="1" s="1"/>
  <c r="H235" i="1"/>
  <c r="D235" i="1"/>
  <c r="E233" i="1" s="1"/>
  <c r="E234" i="1"/>
  <c r="U234" i="1"/>
  <c r="T234" i="1"/>
  <c r="S234" i="1"/>
  <c r="R234" i="1"/>
  <c r="V233" i="1"/>
  <c r="U233" i="1"/>
  <c r="T233" i="1"/>
  <c r="S233" i="1"/>
  <c r="R233" i="1"/>
  <c r="V229" i="1"/>
  <c r="U229" i="1"/>
  <c r="T229" i="1"/>
  <c r="S229" i="1"/>
  <c r="R229" i="1"/>
  <c r="V222" i="1"/>
  <c r="U222" i="1"/>
  <c r="S222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4" i="1"/>
  <c r="U204" i="1"/>
  <c r="T204" i="1"/>
  <c r="S204" i="1"/>
  <c r="R204" i="1"/>
  <c r="V201" i="1"/>
  <c r="U201" i="1"/>
  <c r="T201" i="1"/>
  <c r="S201" i="1"/>
  <c r="R201" i="1"/>
  <c r="V200" i="1"/>
  <c r="U200" i="1"/>
  <c r="T200" i="1"/>
  <c r="S200" i="1"/>
  <c r="R200" i="1"/>
  <c r="V196" i="1"/>
  <c r="U196" i="1"/>
  <c r="S196" i="1"/>
  <c r="O196" i="1"/>
  <c r="H196" i="1"/>
  <c r="T196" i="1" s="1"/>
  <c r="V195" i="1"/>
  <c r="U195" i="1"/>
  <c r="T195" i="1"/>
  <c r="S195" i="1"/>
  <c r="R195" i="1"/>
  <c r="V194" i="1"/>
  <c r="U194" i="1"/>
  <c r="T194" i="1"/>
  <c r="S194" i="1"/>
  <c r="R194" i="1"/>
  <c r="V191" i="1"/>
  <c r="U191" i="1"/>
  <c r="S191" i="1"/>
  <c r="O191" i="1"/>
  <c r="K191" i="1"/>
  <c r="L171" i="1" s="1"/>
  <c r="H191" i="1"/>
  <c r="D191" i="1"/>
  <c r="E167" i="1"/>
  <c r="V159" i="1"/>
  <c r="U159" i="1"/>
  <c r="S159" i="1"/>
  <c r="O159" i="1"/>
  <c r="H159" i="1"/>
  <c r="T159" i="1" s="1"/>
  <c r="D159" i="1"/>
  <c r="E153" i="1" s="1"/>
  <c r="E157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T110" i="1" s="1"/>
  <c r="K110" i="1"/>
  <c r="L79" i="1" s="1"/>
  <c r="H110" i="1"/>
  <c r="D110" i="1"/>
  <c r="E92" i="1" s="1"/>
  <c r="E136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E46" i="1" s="1"/>
  <c r="H70" i="1"/>
  <c r="D70" i="1"/>
  <c r="B14" i="2"/>
  <c r="B4" i="2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H12" i="4"/>
  <c r="E12" i="4"/>
  <c r="C12" i="4"/>
  <c r="F12" i="4"/>
  <c r="B15" i="2"/>
  <c r="B5" i="2"/>
  <c r="E83" i="1"/>
  <c r="B20" i="2"/>
  <c r="B10" i="2"/>
  <c r="E190" i="1"/>
  <c r="E178" i="1"/>
  <c r="E165" i="1"/>
  <c r="E188" i="1"/>
  <c r="E176" i="1"/>
  <c r="E163" i="1"/>
  <c r="E183" i="1"/>
  <c r="E171" i="1"/>
  <c r="E181" i="1"/>
  <c r="E186" i="1"/>
  <c r="E174" i="1"/>
  <c r="E164" i="1"/>
  <c r="E173" i="1"/>
  <c r="E179" i="1"/>
  <c r="E166" i="1"/>
  <c r="E185" i="1"/>
  <c r="E184" i="1"/>
  <c r="E172" i="1"/>
  <c r="E169" i="1"/>
  <c r="E189" i="1"/>
  <c r="E177" i="1"/>
  <c r="E182" i="1"/>
  <c r="E170" i="1"/>
  <c r="E180" i="1"/>
  <c r="E168" i="1"/>
  <c r="E187" i="1"/>
  <c r="E175" i="1"/>
  <c r="E162" i="1"/>
  <c r="E14" i="1"/>
  <c r="E34" i="1"/>
  <c r="D4" i="5"/>
  <c r="D3" i="5" s="1"/>
  <c r="E8" i="1"/>
  <c r="E12" i="1"/>
  <c r="E10" i="1"/>
  <c r="E6" i="1"/>
  <c r="E18" i="1"/>
  <c r="E206" i="1"/>
  <c r="E22" i="1"/>
  <c r="E49" i="1"/>
  <c r="E20" i="1"/>
  <c r="E16" i="1"/>
  <c r="E76" i="1"/>
  <c r="E108" i="1"/>
  <c r="E104" i="1"/>
  <c r="E79" i="1"/>
  <c r="E102" i="1"/>
  <c r="E98" i="1"/>
  <c r="E81" i="1"/>
  <c r="E73" i="1"/>
  <c r="E75" i="1"/>
  <c r="E94" i="1"/>
  <c r="E86" i="1"/>
  <c r="E106" i="1"/>
  <c r="E90" i="1"/>
  <c r="E97" i="1"/>
  <c r="E99" i="1"/>
  <c r="E101" i="1"/>
  <c r="E103" i="1"/>
  <c r="E105" i="1"/>
  <c r="E107" i="1"/>
  <c r="E109" i="1"/>
  <c r="E243" i="1"/>
  <c r="E78" i="1"/>
  <c r="E80" i="1"/>
  <c r="E82" i="1"/>
  <c r="E85" i="1"/>
  <c r="E87" i="1"/>
  <c r="E89" i="1"/>
  <c r="E91" i="1"/>
  <c r="E209" i="1"/>
  <c r="E211" i="1"/>
  <c r="E204" i="1"/>
  <c r="R235" i="1"/>
  <c r="D150" i="1"/>
  <c r="E139" i="1" s="1"/>
  <c r="E143" i="1"/>
  <c r="E212" i="1"/>
  <c r="E214" i="1"/>
  <c r="C4" i="5"/>
  <c r="C3" i="5" s="1"/>
  <c r="I12" i="4"/>
  <c r="R116" i="1"/>
  <c r="R119" i="1"/>
  <c r="E7" i="1"/>
  <c r="E9" i="1"/>
  <c r="E11" i="1"/>
  <c r="E13" i="1"/>
  <c r="E15" i="1"/>
  <c r="E17" i="1"/>
  <c r="E19" i="1"/>
  <c r="E21" i="1"/>
  <c r="E24" i="1"/>
  <c r="R130" i="1"/>
  <c r="R134" i="1"/>
  <c r="E195" i="1"/>
  <c r="B13" i="2"/>
  <c r="B3" i="2" s="1"/>
  <c r="R142" i="1"/>
  <c r="R146" i="1"/>
  <c r="E158" i="1"/>
  <c r="E156" i="1"/>
  <c r="B18" i="2"/>
  <c r="B8" i="2"/>
  <c r="E194" i="1"/>
  <c r="L233" i="1"/>
  <c r="E117" i="1"/>
  <c r="E125" i="1"/>
  <c r="E145" i="1"/>
  <c r="E133" i="1"/>
  <c r="E116" i="1"/>
  <c r="E118" i="1"/>
  <c r="E141" i="1"/>
  <c r="E140" i="1"/>
  <c r="E126" i="1"/>
  <c r="B16" i="2"/>
  <c r="B6" i="2" s="1"/>
  <c r="L226" i="1" l="1"/>
  <c r="L158" i="1"/>
  <c r="L153" i="1"/>
  <c r="B6" i="3"/>
  <c r="L229" i="1"/>
  <c r="T222" i="1"/>
  <c r="L155" i="1"/>
  <c r="L154" i="1"/>
  <c r="L157" i="1"/>
  <c r="C17" i="2"/>
  <c r="C7" i="2" s="1"/>
  <c r="E247" i="1"/>
  <c r="E245" i="1"/>
  <c r="L239" i="1"/>
  <c r="R196" i="1"/>
  <c r="L195" i="1"/>
  <c r="L194" i="1"/>
  <c r="B2" i="3"/>
  <c r="C19" i="2"/>
  <c r="C9" i="2" s="1"/>
  <c r="L211" i="1"/>
  <c r="L201" i="1"/>
  <c r="L212" i="1"/>
  <c r="L214" i="1"/>
  <c r="C20" i="2"/>
  <c r="C10" i="2" s="1"/>
  <c r="L200" i="1"/>
  <c r="L216" i="1"/>
  <c r="L210" i="1"/>
  <c r="L207" i="1"/>
  <c r="B4" i="3"/>
  <c r="L205" i="1"/>
  <c r="L215" i="1"/>
  <c r="L213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5" i="1"/>
  <c r="L91" i="1"/>
  <c r="L248" i="1"/>
  <c r="L243" i="1"/>
  <c r="L245" i="1"/>
  <c r="L241" i="1"/>
  <c r="L208" i="1"/>
  <c r="L220" i="1"/>
  <c r="L206" i="1"/>
  <c r="L209" i="1"/>
  <c r="L221" i="1"/>
  <c r="E30" i="1"/>
  <c r="T250" i="1"/>
  <c r="L246" i="1"/>
  <c r="L249" i="1"/>
  <c r="L244" i="1"/>
  <c r="L242" i="1"/>
  <c r="L240" i="1"/>
  <c r="L238" i="1"/>
  <c r="K150" i="1"/>
  <c r="L118" i="1" s="1"/>
  <c r="R118" i="1"/>
  <c r="R121" i="1"/>
  <c r="T70" i="1"/>
  <c r="L32" i="1"/>
  <c r="E56" i="1"/>
  <c r="L33" i="1"/>
  <c r="L44" i="1"/>
  <c r="E69" i="1"/>
  <c r="L64" i="1"/>
  <c r="L63" i="1"/>
  <c r="L68" i="1"/>
  <c r="E64" i="1"/>
  <c r="L48" i="1"/>
  <c r="E47" i="1"/>
  <c r="L31" i="1"/>
  <c r="E35" i="1"/>
  <c r="E62" i="1"/>
  <c r="E44" i="1"/>
  <c r="L29" i="1"/>
  <c r="E48" i="1"/>
  <c r="E31" i="1"/>
  <c r="E67" i="1"/>
  <c r="E96" i="1"/>
  <c r="L36" i="1"/>
  <c r="L61" i="1"/>
  <c r="L43" i="1"/>
  <c r="E28" i="1"/>
  <c r="L47" i="1"/>
  <c r="L30" i="1"/>
  <c r="E65" i="1"/>
  <c r="L45" i="1"/>
  <c r="E60" i="1"/>
  <c r="E42" i="1"/>
  <c r="E45" i="1"/>
  <c r="E29" i="1"/>
  <c r="E63" i="1"/>
  <c r="E59" i="1"/>
  <c r="L58" i="1"/>
  <c r="L41" i="1"/>
  <c r="E43" i="1"/>
  <c r="L28" i="1"/>
  <c r="E61" i="1"/>
  <c r="B9" i="3"/>
  <c r="E57" i="1"/>
  <c r="E40" i="1"/>
  <c r="L42" i="1"/>
  <c r="E58" i="1"/>
  <c r="L96" i="1"/>
  <c r="L69" i="1"/>
  <c r="L56" i="1"/>
  <c r="L39" i="1"/>
  <c r="E41" i="1"/>
  <c r="L52" i="1"/>
  <c r="L50" i="1"/>
  <c r="L53" i="1"/>
  <c r="E68" i="1"/>
  <c r="E55" i="1"/>
  <c r="E38" i="1"/>
  <c r="L40" i="1"/>
  <c r="L55" i="1"/>
  <c r="E50" i="1"/>
  <c r="L46" i="1"/>
  <c r="E53" i="1"/>
  <c r="C14" i="2"/>
  <c r="C4" i="2" s="1"/>
  <c r="L67" i="1"/>
  <c r="L54" i="1"/>
  <c r="L37" i="1"/>
  <c r="E39" i="1"/>
  <c r="L66" i="1"/>
  <c r="L35" i="1"/>
  <c r="L59" i="1"/>
  <c r="E66" i="1"/>
  <c r="E52" i="1"/>
  <c r="E36" i="1"/>
  <c r="L38" i="1"/>
  <c r="E51" i="1"/>
  <c r="L57" i="1"/>
  <c r="E32" i="1"/>
  <c r="L65" i="1"/>
  <c r="L51" i="1"/>
  <c r="E33" i="1"/>
  <c r="E37" i="1"/>
  <c r="E54" i="1"/>
  <c r="L60" i="1"/>
  <c r="L62" i="1"/>
  <c r="R70" i="1"/>
  <c r="E241" i="1"/>
  <c r="E239" i="1"/>
  <c r="E242" i="1"/>
  <c r="E244" i="1"/>
  <c r="E246" i="1"/>
  <c r="E249" i="1"/>
  <c r="E240" i="1"/>
  <c r="R250" i="1"/>
  <c r="E220" i="1"/>
  <c r="E207" i="1"/>
  <c r="E200" i="1"/>
  <c r="E201" i="1"/>
  <c r="E216" i="1"/>
  <c r="E210" i="1"/>
  <c r="E228" i="1"/>
  <c r="E229" i="1"/>
  <c r="E215" i="1"/>
  <c r="R222" i="1"/>
  <c r="E213" i="1"/>
  <c r="T191" i="1"/>
  <c r="H223" i="1"/>
  <c r="H251" i="1" s="1"/>
  <c r="B17" i="2"/>
  <c r="B7" i="2" s="1"/>
  <c r="E155" i="1"/>
  <c r="R159" i="1"/>
  <c r="T150" i="1"/>
  <c r="E122" i="1"/>
  <c r="E149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4" i="1"/>
  <c r="E100" i="1"/>
  <c r="E95" i="1"/>
  <c r="E74" i="1"/>
  <c r="E88" i="1"/>
  <c r="E93" i="1"/>
  <c r="D223" i="1"/>
  <c r="E25" i="1" s="1"/>
  <c r="J12" i="4"/>
  <c r="O223" i="1"/>
  <c r="O251" i="1" s="1"/>
  <c r="L180" i="1"/>
  <c r="L172" i="1"/>
  <c r="L183" i="1"/>
  <c r="R191" i="1"/>
  <c r="B5" i="3"/>
  <c r="L162" i="1"/>
  <c r="L184" i="1"/>
  <c r="L49" i="1"/>
  <c r="L175" i="1"/>
  <c r="L174" i="1"/>
  <c r="L187" i="1"/>
  <c r="L173" i="1"/>
  <c r="L165" i="1"/>
  <c r="L166" i="1"/>
  <c r="L182" i="1"/>
  <c r="L179" i="1"/>
  <c r="C18" i="2"/>
  <c r="C8" i="2" s="1"/>
  <c r="L178" i="1"/>
  <c r="L186" i="1"/>
  <c r="L167" i="1"/>
  <c r="L185" i="1"/>
  <c r="L163" i="1"/>
  <c r="L169" i="1"/>
  <c r="L164" i="1"/>
  <c r="L176" i="1"/>
  <c r="L177" i="1"/>
  <c r="L188" i="1"/>
  <c r="L189" i="1"/>
  <c r="L181" i="1"/>
  <c r="L168" i="1"/>
  <c r="L170" i="1"/>
  <c r="L73" i="1"/>
  <c r="L99" i="1"/>
  <c r="L76" i="1"/>
  <c r="L97" i="1"/>
  <c r="L100" i="1"/>
  <c r="L106" i="1"/>
  <c r="L93" i="1"/>
  <c r="L74" i="1"/>
  <c r="L83" i="1"/>
  <c r="L136" i="1"/>
  <c r="L84" i="1"/>
  <c r="E77" i="1"/>
  <c r="L89" i="1"/>
  <c r="R110" i="1"/>
  <c r="L92" i="1"/>
  <c r="L87" i="1"/>
  <c r="L81" i="1"/>
  <c r="L85" i="1"/>
  <c r="C15" i="2"/>
  <c r="C5" i="2" s="1"/>
  <c r="L90" i="1"/>
  <c r="L98" i="1"/>
  <c r="L105" i="1"/>
  <c r="L82" i="1"/>
  <c r="B7" i="3"/>
  <c r="L88" i="1"/>
  <c r="L80" i="1"/>
  <c r="L107" i="1"/>
  <c r="L78" i="1"/>
  <c r="L102" i="1"/>
  <c r="L103" i="1"/>
  <c r="L77" i="1"/>
  <c r="L94" i="1"/>
  <c r="L104" i="1"/>
  <c r="L109" i="1"/>
  <c r="L101" i="1"/>
  <c r="L75" i="1"/>
  <c r="L86" i="1"/>
  <c r="L108" i="1"/>
  <c r="L142" i="1" l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7" i="1"/>
  <c r="L135" i="1"/>
  <c r="L145" i="1"/>
  <c r="K223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34" i="1"/>
  <c r="L115" i="1"/>
  <c r="L127" i="1"/>
  <c r="L149" i="1"/>
  <c r="E222" i="1"/>
  <c r="D251" i="1"/>
  <c r="E159" i="1"/>
  <c r="E196" i="1"/>
  <c r="E110" i="1"/>
  <c r="E191" i="1"/>
  <c r="E150" i="1"/>
  <c r="E70" i="1"/>
  <c r="L25" i="1" l="1"/>
  <c r="L70" i="1"/>
  <c r="L159" i="1"/>
  <c r="R223" i="1"/>
  <c r="L196" i="1"/>
  <c r="L191" i="1"/>
  <c r="K251" i="1"/>
  <c r="L222" i="1"/>
  <c r="L110" i="1"/>
</calcChain>
</file>

<file path=xl/sharedStrings.xml><?xml version="1.0" encoding="utf-8"?>
<sst xmlns="http://schemas.openxmlformats.org/spreadsheetml/2006/main" count="515" uniqueCount="325">
  <si>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</si>
  <si>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</si>
  <si>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</si>
  <si>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</si>
  <si>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</si>
  <si>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</si>
  <si>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</si>
  <si>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</si>
  <si>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</si>
  <si>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</si>
  <si>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</si>
  <si>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</si>
  <si>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</si>
  <si>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</si>
  <si>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</si>
  <si>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</si>
  <si>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</si>
  <si>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</si>
  <si>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</si>
  <si>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</si>
  <si>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</si>
  <si>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</si>
  <si>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</si>
  <si>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</si>
  <si>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</si>
  <si>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</si>
  <si>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</si>
  <si>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</si>
  <si>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</si>
  <si>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</si>
  <si>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</si>
  <si>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</si>
  <si>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</si>
  <si>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</si>
  <si>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</si>
  <si>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</si>
  <si>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</si>
  <si>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</si>
  <si>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</si>
  <si>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</si>
  <si>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</si>
  <si>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</si>
  <si>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</si>
  <si>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</si>
  <si>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</si>
  <si>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</si>
  <si>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</si>
  <si>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</si>
  <si>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</si>
  <si>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</si>
  <si>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</si>
  <si>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</si>
  <si>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</si>
  <si>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</si>
  <si>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</si>
  <si>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</si>
  <si>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</si>
  <si>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</si>
  <si>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</si>
  <si>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</si>
  <si>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</si>
  <si>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</si>
  <si>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</si>
  <si>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</si>
  <si>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</si>
  <si>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</si>
  <si>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</si>
  <si>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</si>
  <si>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</si>
  <si>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</si>
  <si>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</si>
  <si>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</si>
  <si>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</si>
  <si>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</si>
  <si>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</si>
  <si>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</si>
  <si>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</si>
  <si>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</si>
  <si>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</si>
  <si>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</si>
  <si>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</si>
  <si>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</si>
  <si>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</si>
  <si>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</si>
  <si>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</si>
  <si>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</si>
  <si>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</si>
  <si>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</si>
  <si>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</si>
  <si>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</si>
  <si>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</si>
  <si>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</si>
  <si>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</si>
  <si>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</si>
  <si>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</si>
  <si>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</si>
  <si>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</si>
  <si>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</si>
  <si>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</si>
  <si>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</si>
  <si>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</si>
  <si>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</si>
  <si>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</si>
  <si>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</si>
  <si>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</si>
  <si>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</si>
  <si>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</si>
  <si>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</si>
  <si>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</si>
  <si>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</si>
  <si>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</si>
  <si>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</si>
  <si>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</si>
  <si>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</si>
  <si>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</si>
  <si>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</si>
  <si>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</si>
  <si>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</si>
  <si>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</si>
  <si>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</si>
  <si>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</si>
  <si>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</si>
  <si>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</si>
  <si>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</si>
  <si>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</si>
  <si>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</si>
  <si>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</si>
  <si>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</si>
  <si>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</si>
  <si>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</si>
  <si>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</si>
  <si>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</si>
  <si>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</si>
  <si>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</si>
  <si>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</si>
  <si>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</si>
  <si>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</si>
  <si>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</si>
  <si>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</si>
  <si>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</si>
  <si>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</si>
  <si>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</si>
  <si>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</si>
  <si>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</si>
  <si>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</si>
  <si>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</si>
  <si>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</si>
  <si>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</si>
  <si>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</si>
  <si>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</si>
  <si>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</si>
  <si>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</si>
  <si>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</si>
  <si>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</si>
  <si>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</si>
  <si>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</si>
  <si>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</si>
  <si>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</si>
  <si>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</si>
  <si>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</si>
  <si>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</si>
  <si>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</si>
  <si>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</si>
  <si>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</si>
  <si>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</si>
  <si>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</si>
  <si>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</si>
  <si>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</si>
  <si>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</si>
  <si>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</si>
  <si>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</si>
  <si>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</si>
  <si>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</si>
  <si>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</si>
  <si>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</si>
  <si>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</si>
  <si>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</si>
  <si>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</si>
  <si>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</si>
  <si>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</si>
  <si>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</si>
  <si>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</si>
  <si>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</si>
  <si>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</si>
  <si>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</si>
  <si>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</si>
  <si>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</si>
  <si>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</si>
  <si>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</si>
  <si>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</si>
  <si>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</si>
  <si>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</si>
  <si>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</si>
  <si>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</si>
  <si>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</si>
  <si>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</si>
  <si>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</si>
  <si>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</si>
  <si>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</si>
  <si>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</si>
  <si>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</si>
  <si>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</si>
  <si>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</si>
  <si>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</si>
  <si>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</si>
  <si>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</si>
  <si>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</si>
  <si>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</si>
  <si>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</si>
  <si>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</si>
  <si>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</si>
  <si>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</si>
  <si>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</si>
  <si>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</si>
  <si>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</si>
  <si>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</si>
  <si>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</si>
  <si>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</si>
  <si>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</si>
  <si>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</si>
  <si>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</si>
  <si>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</si>
  <si>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</si>
  <si>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</si>
  <si>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</si>
  <si>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</si>
  <si>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</si>
  <si>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</si>
  <si>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</si>
  <si>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</si>
  <si>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</si>
  <si>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</si>
  <si>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</si>
  <si>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</si>
  <si>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</si>
  <si>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</si>
  <si>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</si>
  <si>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</si>
  <si>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</si>
  <si>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</si>
  <si>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</si>
  <si>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</si>
  <si>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</si>
  <si>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</si>
  <si>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</si>
  <si>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</si>
  <si>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</si>
  <si>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</si>
  <si>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</si>
  <si>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</si>
  <si>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</si>
  <si>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</si>
  <si>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</si>
  <si>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</si>
  <si>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</si>
  <si>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</si>
  <si>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</si>
  <si>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</si>
  <si>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</si>
  <si>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</si>
  <si>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</si>
  <si>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</si>
  <si>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</si>
  <si>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</si>
  <si>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</si>
  <si>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</si>
  <si>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</si>
  <si>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</si>
  <si>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</si>
  <si>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</si>
  <si>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</si>
  <si>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</si>
  <si>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</si>
  <si>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</si>
  <si>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</si>
  <si>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</si>
  <si>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</si>
  <si>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</si>
  <si>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</si>
  <si>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</si>
  <si>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</si>
  <si>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</si>
  <si>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</si>
  <si>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</si>
  <si>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</si>
  <si>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</si>
  <si>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</si>
  <si>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</si>
  <si>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</si>
  <si>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</si>
  <si>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</si>
  <si>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</si>
  <si>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</si>
  <si>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</si>
  <si>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</si>
  <si>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</si>
  <si>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</si>
  <si>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</si>
  <si>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</si>
  <si>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</si>
  <si>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</si>
  <si>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</si>
  <si>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</si>
  <si>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</si>
  <si>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</si>
  <si>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</si>
  <si>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</si>
  <si>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</si>
  <si>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</si>
  <si>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</si>
  <si>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</si>
  <si>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</si>
  <si>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</si>
  <si>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</si>
  <si>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</si>
  <si>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</si>
  <si>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0.9%</t>
  </si>
  <si>
    <t>NAV, Unit Price and Yield as at Week Ended May 16, 2025</t>
  </si>
  <si>
    <t>ARM Halal Balanced Fund</t>
  </si>
  <si>
    <t>MOFI Real Estate Investment Fund</t>
  </si>
  <si>
    <t>Week Ended May 16, 2025</t>
  </si>
  <si>
    <t>WEEKLY VALUATION REPORT OF COLLECTIVE INVESTMENT SCHEMES AS AT WEEK ENDED FRIDAY, MAY 23, 2025</t>
  </si>
  <si>
    <t>NAV, Unit Price and Yield as at Week Ended May 23, 2025</t>
  </si>
  <si>
    <t>NFEM RATE NG₦/US$ as at 23rd May, 2025 = N1580.4411</t>
  </si>
  <si>
    <t>Week Ended May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</si>
</sst>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name val="Calibri"/>
      <charset val="134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right"/>
    </xf>
    <xf numFmtId="0" fontId="42" fillId="0" borderId="0" xfId="0" applyFont="1"/>
    <xf numFmtId="167" fontId="41" fillId="0" borderId="0" xfId="1" applyNumberFormat="1" applyFont="1"/>
    <xf numFmtId="0" fontId="16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wrapText="1"/>
    </xf>
    <xf numFmtId="49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  <xf numFmtId="0" fontId="43" fillId="0" borderId="0" xfId="0" applyFont="1"/>
    <xf numFmtId="16" fontId="44" fillId="2" borderId="0" xfId="0" applyNumberFormat="1" applyFont="1" applyFill="1"/>
    <xf numFmtId="164" fontId="45" fillId="0" borderId="0" xfId="1" applyFont="1"/>
    <xf numFmtId="43" fontId="45" fillId="0" borderId="0" xfId="0" applyNumberFormat="1" applyFont="1"/>
    <xf numFmtId="4" fontId="45" fillId="0" borderId="0" xfId="0" applyNumberFormat="1" applyFont="1"/>
    <xf numFmtId="0" fontId="46" fillId="0" borderId="0" xfId="0" applyFont="1" applyBorder="1" applyAlignment="1">
      <alignment horizontal="right"/>
    </xf>
    <xf numFmtId="16" fontId="47" fillId="2" borderId="0" xfId="0" applyNumberFormat="1" applyFont="1" applyFill="1" applyBorder="1"/>
    <xf numFmtId="0" fontId="47" fillId="0" borderId="0" xfId="0" applyFont="1" applyBorder="1" applyAlignment="1">
      <alignment horizontal="right"/>
    </xf>
    <xf numFmtId="4" fontId="48" fillId="2" borderId="0" xfId="0" applyNumberFormat="1" applyFont="1" applyFill="1" applyBorder="1"/>
    <xf numFmtId="164" fontId="48" fillId="2" borderId="0" xfId="1" applyFont="1" applyFill="1" applyBorder="1" applyAlignment="1">
      <alignment horizontal="right" vertical="top" wrapText="1"/>
    </xf>
    <xf numFmtId="4" fontId="48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4" fontId="48" fillId="2" borderId="0" xfId="0" applyNumberFormat="1" applyFont="1" applyFill="1"/>
    <xf numFmtId="0" fontId="49" fillId="0" borderId="0" xfId="0" applyFont="1" applyBorder="1" applyAlignment="1">
      <alignment horizontal="right"/>
    </xf>
    <xf numFmtId="16" fontId="49" fillId="2" borderId="0" xfId="0" applyNumberFormat="1" applyFont="1" applyFill="1" applyBorder="1" applyAlignment="1">
      <alignment horizontal="center" wrapText="1"/>
    </xf>
    <xf numFmtId="0" fontId="50" fillId="0" borderId="0" xfId="0" applyFont="1" applyBorder="1"/>
    <xf numFmtId="0" fontId="49" fillId="0" borderId="0" xfId="0" applyFont="1" applyBorder="1" applyAlignment="1">
      <alignment horizontal="right" wrapText="1"/>
    </xf>
    <xf numFmtId="4" fontId="51" fillId="2" borderId="0" xfId="0" applyNumberFormat="1" applyFont="1" applyFill="1" applyBorder="1"/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2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0" fontId="47" fillId="0" borderId="0" xfId="0" applyFont="1" applyAlignment="1">
      <alignment horizontal="right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16,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40.696491951950001</c:v>
                </c:pt>
                <c:pt idx="1">
                  <c:v>2909.6231609978463</c:v>
                </c:pt>
                <c:pt idx="2">
                  <c:v>208.4014383832999</c:v>
                </c:pt>
                <c:pt idx="3">
                  <c:v>1962.9013576768562</c:v>
                </c:pt>
                <c:pt idx="4">
                  <c:v>353.91335561599237</c:v>
                </c:pt>
                <c:pt idx="5" formatCode="_-* #,##0.00_-;\-* #,##0.00_-;_-* &quot;-&quot;??_-;_-@_-">
                  <c:v>60.537200481561918</c:v>
                </c:pt>
                <c:pt idx="6">
                  <c:v>5.9339424990900005</c:v>
                </c:pt>
                <c:pt idx="7">
                  <c:v>58.754155718644668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23,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41.222274085630005</c:v>
                </c:pt>
                <c:pt idx="1">
                  <c:v>2955.9693523233309</c:v>
                </c:pt>
                <c:pt idx="2">
                  <c:v>209.02576994379046</c:v>
                </c:pt>
                <c:pt idx="3">
                  <c:v>1929.0736044407038</c:v>
                </c:pt>
                <c:pt idx="4">
                  <c:v>354.56749831510615</c:v>
                </c:pt>
                <c:pt idx="5" formatCode="_-* #,##0.00_-;\-* #,##0.00_-;_-* &quot;-&quot;??_-;_-@_-">
                  <c:v>60.839325442612612</c:v>
                </c:pt>
                <c:pt idx="6">
                  <c:v>5.9937269722400002</c:v>
                </c:pt>
                <c:pt idx="7">
                  <c:v>58.096299884927959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23RD MAY,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8303520542675"/>
          <c:y val="4.039749557222197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23-May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5993726972.2399998</c:v>
                </c:pt>
                <c:pt idx="1">
                  <c:v>41222274085.630005</c:v>
                </c:pt>
                <c:pt idx="2" formatCode="_-* #,##0.00_-;\-* #,##0.00_-;_-* &quot;-&quot;??_-;_-@_-">
                  <c:v>58096299884.927956</c:v>
                </c:pt>
                <c:pt idx="3">
                  <c:v>60839325442.61261</c:v>
                </c:pt>
                <c:pt idx="4">
                  <c:v>354567498315.10614</c:v>
                </c:pt>
                <c:pt idx="5">
                  <c:v>209025769943.79047</c:v>
                </c:pt>
                <c:pt idx="6">
                  <c:v>1929073604440.7039</c:v>
                </c:pt>
                <c:pt idx="7">
                  <c:v>2955969352323.3311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45751</c:v>
                </c:pt>
                <c:pt idx="1">
                  <c:v>45758</c:v>
                </c:pt>
                <c:pt idx="2">
                  <c:v>45764</c:v>
                </c:pt>
                <c:pt idx="3">
                  <c:v>45772</c:v>
                </c:pt>
                <c:pt idx="4">
                  <c:v>45779</c:v>
                </c:pt>
                <c:pt idx="5">
                  <c:v>45786</c:v>
                </c:pt>
                <c:pt idx="6">
                  <c:v>45793</c:v>
                </c:pt>
                <c:pt idx="7">
                  <c:v>45800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4920.9783287926193</c:v>
                </c:pt>
                <c:pt idx="1">
                  <c:v>5027.3059345650499</c:v>
                </c:pt>
                <c:pt idx="2">
                  <c:v>5068.1363340060261</c:v>
                </c:pt>
                <c:pt idx="3">
                  <c:v>5133.5118080609327</c:v>
                </c:pt>
                <c:pt idx="4">
                  <c:v>5212.4190322973518</c:v>
                </c:pt>
                <c:pt idx="5">
                  <c:v>5297.7036669070822</c:v>
                </c:pt>
                <c:pt idx="6">
                  <c:v>5600.7611033252406</c:v>
                </c:pt>
                <c:pt idx="7">
                  <c:v>5614.7878514083422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45751</c:v>
                </c:pt>
                <c:pt idx="1">
                  <c:v>45758</c:v>
                </c:pt>
                <c:pt idx="2">
                  <c:v>45764</c:v>
                </c:pt>
                <c:pt idx="3">
                  <c:v>45772</c:v>
                </c:pt>
                <c:pt idx="4">
                  <c:v>45779</c:v>
                </c:pt>
                <c:pt idx="5">
                  <c:v>45786</c:v>
                </c:pt>
                <c:pt idx="6">
                  <c:v>45793</c:v>
                </c:pt>
                <c:pt idx="7">
                  <c:v>45800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13.252536997856778</c:v>
                </c:pt>
                <c:pt idx="1">
                  <c:v>13.325340046259999</c:v>
                </c:pt>
                <c:pt idx="2">
                  <c:v>13.257768084610001</c:v>
                </c:pt>
                <c:pt idx="3">
                  <c:v>13.511956801399998</c:v>
                </c:pt>
                <c:pt idx="4">
                  <c:v>13.564027253040001</c:v>
                </c:pt>
                <c:pt idx="5">
                  <c:v>13.89362105705</c:v>
                </c:pt>
                <c:pt idx="6">
                  <c:v>13.906596090597997</c:v>
                </c:pt>
                <c:pt idx="7">
                  <c:v>13.574054999743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48" t="s">
        <v>321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</row>
    <row r="2" spans="1:25" ht="15" customHeight="1">
      <c r="A2" s="134"/>
      <c r="B2" s="23"/>
      <c r="C2" s="125"/>
      <c r="D2" s="149" t="s">
        <v>317</v>
      </c>
      <c r="E2" s="149"/>
      <c r="F2" s="149"/>
      <c r="G2" s="149"/>
      <c r="H2" s="149"/>
      <c r="I2" s="149"/>
      <c r="J2" s="149"/>
      <c r="K2" s="149" t="s">
        <v>322</v>
      </c>
      <c r="L2" s="149"/>
      <c r="M2" s="149"/>
      <c r="N2" s="149"/>
      <c r="O2" s="149"/>
      <c r="P2" s="149"/>
      <c r="Q2" s="149"/>
      <c r="R2" s="149" t="s">
        <v>0</v>
      </c>
      <c r="S2" s="149"/>
      <c r="T2" s="149"/>
      <c r="U2" s="149" t="s">
        <v>1</v>
      </c>
      <c r="V2" s="149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287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35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</row>
    <row r="5" spans="1:25" ht="15" customHeight="1">
      <c r="A5" s="151" t="s">
        <v>17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5">
      <c r="A6" s="144">
        <v>1</v>
      </c>
      <c r="B6" s="137" t="s">
        <v>18</v>
      </c>
      <c r="C6" s="138" t="s">
        <v>19</v>
      </c>
      <c r="D6" s="29">
        <v>1635853744.8800001</v>
      </c>
      <c r="E6" s="30">
        <f t="shared" ref="E6:E22" si="0">(D6/$D$25)</f>
        <v>4.0196431348712772E-2</v>
      </c>
      <c r="F6" s="31">
        <v>445.25220000000002</v>
      </c>
      <c r="G6" s="31">
        <v>449.1422</v>
      </c>
      <c r="H6" s="32">
        <v>1690</v>
      </c>
      <c r="I6" s="50">
        <v>8.0999999999999996E-3</v>
      </c>
      <c r="J6" s="50">
        <v>0.1201</v>
      </c>
      <c r="K6" s="29">
        <v>1664189596.97</v>
      </c>
      <c r="L6" s="30">
        <f t="shared" ref="L6:L22" si="1">(K6/$K$25)</f>
        <v>4.0371125414212235E-2</v>
      </c>
      <c r="M6" s="31">
        <v>452.1601</v>
      </c>
      <c r="N6" s="31">
        <v>456.23039999999997</v>
      </c>
      <c r="O6" s="32">
        <v>1690</v>
      </c>
      <c r="P6" s="50">
        <v>1.55E-2</v>
      </c>
      <c r="Q6" s="50">
        <v>0.13750000000000001</v>
      </c>
      <c r="R6" s="56">
        <f>((K6-D6)/D6)</f>
        <v>1.732175151885508E-2</v>
      </c>
      <c r="S6" s="56">
        <f>((N6-G6)/G6)</f>
        <v>1.5781638866265456E-2</v>
      </c>
      <c r="T6" s="56">
        <f>((O6-H6)/H6)</f>
        <v>0</v>
      </c>
      <c r="U6" s="57">
        <f>P6-I6</f>
        <v>7.4000000000000003E-3</v>
      </c>
      <c r="V6" s="58">
        <f>Q6-J6</f>
        <v>1.7400000000000013E-2</v>
      </c>
    </row>
    <row r="7" spans="1:25">
      <c r="A7" s="144">
        <v>2</v>
      </c>
      <c r="B7" s="137" t="s">
        <v>20</v>
      </c>
      <c r="C7" s="138" t="s">
        <v>21</v>
      </c>
      <c r="D7" s="33">
        <v>703914773.29999995</v>
      </c>
      <c r="E7" s="30">
        <f t="shared" si="0"/>
        <v>1.7296694126144978E-2</v>
      </c>
      <c r="F7" s="33">
        <v>293.02569999999997</v>
      </c>
      <c r="G7" s="33">
        <v>296.44589999999999</v>
      </c>
      <c r="H7" s="32">
        <v>476</v>
      </c>
      <c r="I7" s="50">
        <v>2.8500000000000001E-3</v>
      </c>
      <c r="J7" s="50">
        <v>0.13789999999999999</v>
      </c>
      <c r="K7" s="33">
        <v>703692961.13</v>
      </c>
      <c r="L7" s="30">
        <f t="shared" si="1"/>
        <v>1.7070697256251221E-2</v>
      </c>
      <c r="M7" s="33">
        <v>292.14850000000001</v>
      </c>
      <c r="N7" s="33">
        <v>295.66370000000001</v>
      </c>
      <c r="O7" s="32">
        <v>481</v>
      </c>
      <c r="P7" s="50">
        <v>4.7470000000000004E-3</v>
      </c>
      <c r="Q7" s="50">
        <v>0.13450000000000001</v>
      </c>
      <c r="R7" s="56">
        <f t="shared" ref="R7:R25" si="2">((K7-D7)/D7)</f>
        <v>-3.1511225280879765E-4</v>
      </c>
      <c r="S7" s="56">
        <f t="shared" ref="S7:S25" si="3">((N7-G7)/G7)</f>
        <v>-2.6385927415423487E-3</v>
      </c>
      <c r="T7" s="56">
        <f t="shared" ref="T7:T25" si="4">((O7-H7)/H7)</f>
        <v>1.050420168067227E-2</v>
      </c>
      <c r="U7" s="57">
        <f t="shared" ref="U7:U25" si="5">P7-I7</f>
        <v>1.8970000000000002E-3</v>
      </c>
      <c r="V7" s="58">
        <f t="shared" ref="V7:V25" si="6">Q7-J7</f>
        <v>-3.3999999999999864E-3</v>
      </c>
    </row>
    <row r="8" spans="1:25">
      <c r="A8" s="144">
        <v>3</v>
      </c>
      <c r="B8" s="137" t="s">
        <v>22</v>
      </c>
      <c r="C8" s="138" t="s">
        <v>23</v>
      </c>
      <c r="D8" s="33">
        <v>4203829360.8600001</v>
      </c>
      <c r="E8" s="30">
        <f t="shared" si="0"/>
        <v>0.10329709415306422</v>
      </c>
      <c r="F8" s="33">
        <v>37.840899999999998</v>
      </c>
      <c r="G8" s="33">
        <v>38.981900000000003</v>
      </c>
      <c r="H8" s="34">
        <v>6714</v>
      </c>
      <c r="I8" s="51">
        <v>0.43609999999999999</v>
      </c>
      <c r="J8" s="51">
        <v>0.18060000000000001</v>
      </c>
      <c r="K8" s="33">
        <v>4171638165.79</v>
      </c>
      <c r="L8" s="30">
        <f t="shared" si="1"/>
        <v>0.10119864219825329</v>
      </c>
      <c r="M8" s="33">
        <v>37.618200000000002</v>
      </c>
      <c r="N8" s="33">
        <v>38.752400000000002</v>
      </c>
      <c r="O8" s="34">
        <v>6719</v>
      </c>
      <c r="P8" s="51">
        <v>-0.307</v>
      </c>
      <c r="Q8" s="51">
        <v>0.15570000000000001</v>
      </c>
      <c r="R8" s="56">
        <f t="shared" si="2"/>
        <v>-7.6575884287117318E-3</v>
      </c>
      <c r="S8" s="56">
        <f t="shared" si="3"/>
        <v>-5.8873477177870132E-3</v>
      </c>
      <c r="T8" s="56">
        <f t="shared" si="4"/>
        <v>7.4471254095918979E-4</v>
      </c>
      <c r="U8" s="57">
        <f t="shared" si="5"/>
        <v>-0.74309999999999998</v>
      </c>
      <c r="V8" s="58">
        <f t="shared" si="6"/>
        <v>-2.4900000000000005E-2</v>
      </c>
      <c r="X8" s="59"/>
      <c r="Y8" s="59"/>
    </row>
    <row r="9" spans="1:25">
      <c r="A9" s="144">
        <v>4</v>
      </c>
      <c r="B9" s="137" t="s">
        <v>24</v>
      </c>
      <c r="C9" s="138" t="s">
        <v>25</v>
      </c>
      <c r="D9" s="33">
        <v>624587624.00999999</v>
      </c>
      <c r="E9" s="30">
        <f t="shared" si="0"/>
        <v>1.5347456108684876E-2</v>
      </c>
      <c r="F9" s="33">
        <v>231.03100000000001</v>
      </c>
      <c r="G9" s="33">
        <v>231.03100000000001</v>
      </c>
      <c r="H9" s="32">
        <v>1952</v>
      </c>
      <c r="I9" s="50">
        <v>1.84E-2</v>
      </c>
      <c r="J9" s="50">
        <v>5.5100000000000003E-2</v>
      </c>
      <c r="K9" s="33">
        <v>631540381.63999999</v>
      </c>
      <c r="L9" s="30">
        <f t="shared" si="1"/>
        <v>1.532036734140666E-2</v>
      </c>
      <c r="M9" s="33">
        <v>231.08500000000001</v>
      </c>
      <c r="N9" s="33">
        <v>231.08500000000001</v>
      </c>
      <c r="O9" s="32">
        <v>1955</v>
      </c>
      <c r="P9" s="50">
        <v>2.0000000000000001E-4</v>
      </c>
      <c r="Q9" s="50">
        <v>5.5300000000000002E-2</v>
      </c>
      <c r="R9" s="56">
        <f t="shared" si="2"/>
        <v>1.113175695887416E-2</v>
      </c>
      <c r="S9" s="56">
        <f t="shared" si="3"/>
        <v>2.3373486674949269E-4</v>
      </c>
      <c r="T9" s="56">
        <f t="shared" si="4"/>
        <v>1.5368852459016393E-3</v>
      </c>
      <c r="U9" s="57">
        <f t="shared" si="5"/>
        <v>-1.8200000000000001E-2</v>
      </c>
      <c r="V9" s="58">
        <f t="shared" si="6"/>
        <v>1.9999999999999879E-4</v>
      </c>
    </row>
    <row r="10" spans="1:25">
      <c r="A10" s="144">
        <v>5</v>
      </c>
      <c r="B10" s="137" t="s">
        <v>26</v>
      </c>
      <c r="C10" s="138" t="s">
        <v>27</v>
      </c>
      <c r="D10" s="33">
        <v>1099185806.3099999</v>
      </c>
      <c r="E10" s="30">
        <f t="shared" si="0"/>
        <v>2.7009350280309149E-2</v>
      </c>
      <c r="F10" s="33">
        <v>1.3557999999999999</v>
      </c>
      <c r="G10" s="33">
        <v>1.3708</v>
      </c>
      <c r="H10" s="32">
        <v>515</v>
      </c>
      <c r="I10" s="50">
        <v>1.1900000000000001E-2</v>
      </c>
      <c r="J10" s="50">
        <v>9.3600000000000003E-2</v>
      </c>
      <c r="K10" s="33">
        <v>1155509909.4300001</v>
      </c>
      <c r="L10" s="30">
        <f t="shared" si="1"/>
        <v>2.8031202427835206E-2</v>
      </c>
      <c r="M10" s="33">
        <v>1.4238999999999999</v>
      </c>
      <c r="N10" s="33">
        <v>1.4401999999999999</v>
      </c>
      <c r="O10" s="32">
        <v>516</v>
      </c>
      <c r="P10" s="50">
        <v>5.04E-2</v>
      </c>
      <c r="Q10" s="50">
        <v>0.14879999999999999</v>
      </c>
      <c r="R10" s="56">
        <f t="shared" si="2"/>
        <v>5.1241657958704764E-2</v>
      </c>
      <c r="S10" s="56">
        <f t="shared" si="3"/>
        <v>5.0627370878319158E-2</v>
      </c>
      <c r="T10" s="56">
        <f t="shared" si="4"/>
        <v>1.9417475728155339E-3</v>
      </c>
      <c r="U10" s="57">
        <f t="shared" si="5"/>
        <v>3.85E-2</v>
      </c>
      <c r="V10" s="58">
        <f t="shared" si="6"/>
        <v>5.5199999999999985E-2</v>
      </c>
    </row>
    <row r="11" spans="1:25">
      <c r="A11" s="144">
        <v>6</v>
      </c>
      <c r="B11" s="137" t="s">
        <v>28</v>
      </c>
      <c r="C11" s="138" t="s">
        <v>29</v>
      </c>
      <c r="D11" s="35">
        <v>114819745.09999999</v>
      </c>
      <c r="E11" s="30">
        <f t="shared" si="0"/>
        <v>2.8213671398401286E-3</v>
      </c>
      <c r="F11" s="33">
        <v>168.45679999999999</v>
      </c>
      <c r="G11" s="33">
        <v>169.29329999999999</v>
      </c>
      <c r="H11" s="34">
        <v>74</v>
      </c>
      <c r="I11" s="51">
        <v>9.4540000000000006E-3</v>
      </c>
      <c r="J11" s="51">
        <v>6.5600000000000006E-2</v>
      </c>
      <c r="K11" s="35">
        <v>115348665.68000001</v>
      </c>
      <c r="L11" s="30">
        <f t="shared" si="1"/>
        <v>2.7982120889398069E-3</v>
      </c>
      <c r="M11" s="33">
        <v>169.23220000000001</v>
      </c>
      <c r="N11" s="33">
        <v>170.0746</v>
      </c>
      <c r="O11" s="34">
        <v>74</v>
      </c>
      <c r="P11" s="51">
        <v>4.2880000000000001E-3</v>
      </c>
      <c r="Q11" s="51">
        <v>7.0499999999999993E-2</v>
      </c>
      <c r="R11" s="56">
        <f t="shared" si="2"/>
        <v>4.60652982236949E-3</v>
      </c>
      <c r="S11" s="56">
        <f t="shared" si="3"/>
        <v>4.615067459846408E-3</v>
      </c>
      <c r="T11" s="56">
        <f t="shared" si="4"/>
        <v>0</v>
      </c>
      <c r="U11" s="57">
        <f t="shared" si="5"/>
        <v>-5.1660000000000005E-3</v>
      </c>
      <c r="V11" s="58">
        <f t="shared" si="6"/>
        <v>4.8999999999999877E-3</v>
      </c>
    </row>
    <row r="12" spans="1:25">
      <c r="A12" s="144">
        <v>7</v>
      </c>
      <c r="B12" s="137" t="s">
        <v>30</v>
      </c>
      <c r="C12" s="138" t="s">
        <v>31</v>
      </c>
      <c r="D12" s="33">
        <v>1553500323.8800001</v>
      </c>
      <c r="E12" s="30">
        <f t="shared" si="0"/>
        <v>3.8172831351513156E-2</v>
      </c>
      <c r="F12" s="33">
        <v>376.67</v>
      </c>
      <c r="G12" s="33">
        <v>381.54</v>
      </c>
      <c r="H12" s="34">
        <v>1684</v>
      </c>
      <c r="I12" s="51">
        <v>1.01E-2</v>
      </c>
      <c r="J12" s="51">
        <v>0.16320000000000001</v>
      </c>
      <c r="K12" s="33">
        <v>1572295103.95</v>
      </c>
      <c r="L12" s="30">
        <f t="shared" si="1"/>
        <v>3.8141881757515622E-2</v>
      </c>
      <c r="M12" s="33">
        <v>381.63</v>
      </c>
      <c r="N12" s="33">
        <v>386.58</v>
      </c>
      <c r="O12" s="34">
        <v>1684</v>
      </c>
      <c r="P12" s="51">
        <v>1.32E-2</v>
      </c>
      <c r="Q12" s="51">
        <v>0.17860000000000001</v>
      </c>
      <c r="R12" s="56">
        <f t="shared" si="2"/>
        <v>1.2098343193813027E-2</v>
      </c>
      <c r="S12" s="56">
        <f t="shared" si="3"/>
        <v>1.3209624154741216E-2</v>
      </c>
      <c r="T12" s="56">
        <f t="shared" si="4"/>
        <v>0</v>
      </c>
      <c r="U12" s="57">
        <f t="shared" si="5"/>
        <v>3.1000000000000003E-3</v>
      </c>
      <c r="V12" s="58">
        <f t="shared" si="6"/>
        <v>1.5399999999999997E-2</v>
      </c>
    </row>
    <row r="13" spans="1:25">
      <c r="A13" s="144">
        <v>8</v>
      </c>
      <c r="B13" s="137" t="s">
        <v>32</v>
      </c>
      <c r="C13" s="138" t="s">
        <v>33</v>
      </c>
      <c r="D13" s="29">
        <v>466158591.87</v>
      </c>
      <c r="E13" s="30">
        <f t="shared" si="0"/>
        <v>1.1454515352831625E-2</v>
      </c>
      <c r="F13" s="33">
        <v>232.26</v>
      </c>
      <c r="G13" s="33">
        <v>244.63</v>
      </c>
      <c r="H13" s="32">
        <v>2469</v>
      </c>
      <c r="I13" s="50">
        <v>4.2000000000000003E-2</v>
      </c>
      <c r="J13" s="50">
        <v>0.77080000000000004</v>
      </c>
      <c r="K13" s="29">
        <v>450363077.74000001</v>
      </c>
      <c r="L13" s="30">
        <f t="shared" si="1"/>
        <v>1.09252361188146E-2</v>
      </c>
      <c r="M13" s="33">
        <v>224.39</v>
      </c>
      <c r="N13" s="33">
        <v>236.36</v>
      </c>
      <c r="O13" s="32">
        <v>2469</v>
      </c>
      <c r="P13" s="50">
        <v>-3.39E-2</v>
      </c>
      <c r="Q13" s="50">
        <v>5.9499999999999997E-2</v>
      </c>
      <c r="R13" s="56">
        <f t="shared" si="2"/>
        <v>-3.3884421322443348E-2</v>
      </c>
      <c r="S13" s="56">
        <f t="shared" si="3"/>
        <v>-3.3806156235948091E-2</v>
      </c>
      <c r="T13" s="56">
        <f t="shared" si="4"/>
        <v>0</v>
      </c>
      <c r="U13" s="57">
        <f t="shared" si="5"/>
        <v>-7.5899999999999995E-2</v>
      </c>
      <c r="V13" s="58">
        <f t="shared" si="6"/>
        <v>-0.71130000000000004</v>
      </c>
    </row>
    <row r="14" spans="1:25">
      <c r="A14" s="144">
        <v>9</v>
      </c>
      <c r="B14" s="137" t="s">
        <v>34</v>
      </c>
      <c r="C14" s="138" t="s">
        <v>35</v>
      </c>
      <c r="D14" s="35">
        <v>71217929.730000004</v>
      </c>
      <c r="E14" s="30">
        <f t="shared" si="0"/>
        <v>1.7499771187670524E-3</v>
      </c>
      <c r="F14" s="33">
        <v>248.15</v>
      </c>
      <c r="G14" s="33">
        <v>255.8</v>
      </c>
      <c r="H14" s="32">
        <v>18</v>
      </c>
      <c r="I14" s="50">
        <v>1.9800000000000002E-2</v>
      </c>
      <c r="J14" s="50">
        <v>0.1227</v>
      </c>
      <c r="K14" s="35">
        <v>70868297.900000006</v>
      </c>
      <c r="L14" s="30">
        <f t="shared" si="1"/>
        <v>1.7191748750393307E-3</v>
      </c>
      <c r="M14" s="33">
        <v>246.94</v>
      </c>
      <c r="N14" s="33">
        <v>254.54</v>
      </c>
      <c r="O14" s="32">
        <v>18</v>
      </c>
      <c r="P14" s="50">
        <v>-4.8999999999999998E-3</v>
      </c>
      <c r="Q14" s="50">
        <v>0.1172</v>
      </c>
      <c r="R14" s="56">
        <f t="shared" si="2"/>
        <v>-4.9093231342937855E-3</v>
      </c>
      <c r="S14" s="56">
        <f t="shared" si="3"/>
        <v>-4.9257232212666898E-3</v>
      </c>
      <c r="T14" s="56">
        <f t="shared" si="4"/>
        <v>0</v>
      </c>
      <c r="U14" s="57">
        <f t="shared" si="5"/>
        <v>-2.47E-2</v>
      </c>
      <c r="V14" s="58">
        <f t="shared" si="6"/>
        <v>-5.5000000000000049E-3</v>
      </c>
    </row>
    <row r="15" spans="1:25" ht="14.25" customHeight="1">
      <c r="A15" s="144">
        <v>10</v>
      </c>
      <c r="B15" s="137" t="s">
        <v>36</v>
      </c>
      <c r="C15" s="138" t="s">
        <v>37</v>
      </c>
      <c r="D15" s="29">
        <v>893050971.52999997</v>
      </c>
      <c r="E15" s="30">
        <f t="shared" si="0"/>
        <v>2.1944175743315111E-2</v>
      </c>
      <c r="F15" s="33">
        <v>2.8244899999999999</v>
      </c>
      <c r="G15" s="33">
        <v>2.8496290000000002</v>
      </c>
      <c r="H15" s="32">
        <v>548</v>
      </c>
      <c r="I15" s="50">
        <v>1.8228683183575622E-2</v>
      </c>
      <c r="J15" s="50">
        <v>0.34841958172826515</v>
      </c>
      <c r="K15" s="29">
        <v>955220183.39999998</v>
      </c>
      <c r="L15" s="30">
        <f t="shared" si="1"/>
        <v>2.3172428125040962E-2</v>
      </c>
      <c r="M15" s="33">
        <v>2.9557329999999999</v>
      </c>
      <c r="N15" s="33">
        <v>2.981779</v>
      </c>
      <c r="O15" s="32">
        <v>571</v>
      </c>
      <c r="P15" s="50">
        <v>4.6466087683086243E-2</v>
      </c>
      <c r="Q15" s="50">
        <v>0.41107536424644109</v>
      </c>
      <c r="R15" s="56">
        <f t="shared" si="2"/>
        <v>6.961440483457508E-2</v>
      </c>
      <c r="S15" s="56">
        <f t="shared" si="3"/>
        <v>4.637445786802414E-2</v>
      </c>
      <c r="T15" s="56">
        <f t="shared" si="4"/>
        <v>4.1970802919708027E-2</v>
      </c>
      <c r="U15" s="57">
        <f t="shared" si="5"/>
        <v>2.8237404499510621E-2</v>
      </c>
      <c r="V15" s="58">
        <f t="shared" si="6"/>
        <v>6.265578251817594E-2</v>
      </c>
    </row>
    <row r="16" spans="1:25" ht="14.25" customHeight="1">
      <c r="A16" s="144">
        <v>11</v>
      </c>
      <c r="B16" s="137" t="s">
        <v>38</v>
      </c>
      <c r="C16" s="138" t="s">
        <v>39</v>
      </c>
      <c r="D16" s="29">
        <v>39829659.380000003</v>
      </c>
      <c r="E16" s="30">
        <f t="shared" si="0"/>
        <v>9.7870006650761288E-4</v>
      </c>
      <c r="F16" s="33">
        <v>16.77</v>
      </c>
      <c r="G16" s="33">
        <v>17.329999999999998</v>
      </c>
      <c r="H16" s="32">
        <v>29</v>
      </c>
      <c r="I16" s="50">
        <v>7.0000000000000001E-3</v>
      </c>
      <c r="J16" s="50">
        <v>0.67</v>
      </c>
      <c r="K16" s="29">
        <v>39545311.640000001</v>
      </c>
      <c r="L16" s="30">
        <f t="shared" si="1"/>
        <v>9.5931902150409043E-4</v>
      </c>
      <c r="M16" s="33">
        <v>16.59</v>
      </c>
      <c r="N16" s="33">
        <v>17.170000000000002</v>
      </c>
      <c r="O16" s="32">
        <v>29</v>
      </c>
      <c r="P16" s="50">
        <v>-7.4000000000000003E-3</v>
      </c>
      <c r="Q16" s="50">
        <v>0.66</v>
      </c>
      <c r="R16" s="56">
        <f t="shared" ref="R16" si="7">((K16-D16)/D16)</f>
        <v>-7.1390954486239963E-3</v>
      </c>
      <c r="S16" s="56">
        <f t="shared" ref="S16" si="8">((N16-G16)/G16)</f>
        <v>-9.2325447201382915E-3</v>
      </c>
      <c r="T16" s="56">
        <f t="shared" ref="T16" si="9">((O16-H16)/H16)</f>
        <v>0</v>
      </c>
      <c r="U16" s="57">
        <f t="shared" ref="U16" si="10">P16-I16</f>
        <v>-1.44E-2</v>
      </c>
      <c r="V16" s="58">
        <f t="shared" ref="V16" si="11">Q16-J16</f>
        <v>-1.0000000000000009E-2</v>
      </c>
    </row>
    <row r="17" spans="1:22">
      <c r="A17" s="144">
        <v>12</v>
      </c>
      <c r="B17" s="137" t="s">
        <v>40</v>
      </c>
      <c r="C17" s="138" t="s">
        <v>41</v>
      </c>
      <c r="D17" s="128">
        <v>1964724785.49</v>
      </c>
      <c r="E17" s="30">
        <f t="shared" si="0"/>
        <v>4.8277497426798689E-2</v>
      </c>
      <c r="F17" s="33">
        <v>4</v>
      </c>
      <c r="G17" s="33">
        <v>4.09</v>
      </c>
      <c r="H17" s="32">
        <v>3649</v>
      </c>
      <c r="I17" s="50">
        <v>-7.7000000000000002E-3</v>
      </c>
      <c r="J17" s="50">
        <v>9.9900000000000003E-2</v>
      </c>
      <c r="K17" s="128">
        <v>1982145961.1199999</v>
      </c>
      <c r="L17" s="30">
        <f t="shared" si="1"/>
        <v>4.8084342872558104E-2</v>
      </c>
      <c r="M17" s="33">
        <v>4.04</v>
      </c>
      <c r="N17" s="33">
        <v>4.12</v>
      </c>
      <c r="O17" s="32">
        <v>3649</v>
      </c>
      <c r="P17" s="50">
        <v>-1.2999999999999999E-3</v>
      </c>
      <c r="Q17" s="50">
        <v>0.1099</v>
      </c>
      <c r="R17" s="56">
        <f t="shared" si="2"/>
        <v>8.8669801280361286E-3</v>
      </c>
      <c r="S17" s="56">
        <f t="shared" si="3"/>
        <v>7.3349633251834348E-3</v>
      </c>
      <c r="T17" s="56">
        <f t="shared" si="4"/>
        <v>0</v>
      </c>
      <c r="U17" s="57">
        <f t="shared" si="5"/>
        <v>6.4000000000000003E-3</v>
      </c>
      <c r="V17" s="58">
        <f t="shared" si="6"/>
        <v>9.999999999999995E-3</v>
      </c>
    </row>
    <row r="18" spans="1:22">
      <c r="A18" s="144">
        <v>13</v>
      </c>
      <c r="B18" s="137" t="s">
        <v>42</v>
      </c>
      <c r="C18" s="138" t="s">
        <v>43</v>
      </c>
      <c r="D18" s="33">
        <v>1023477760.95</v>
      </c>
      <c r="E18" s="30">
        <f t="shared" si="0"/>
        <v>2.5149041400384372E-2</v>
      </c>
      <c r="F18" s="33">
        <v>26.755025</v>
      </c>
      <c r="G18" s="33">
        <v>26.838374000000002</v>
      </c>
      <c r="H18" s="32">
        <v>481</v>
      </c>
      <c r="I18" s="50">
        <v>1.9506541294579183E-2</v>
      </c>
      <c r="J18" s="50">
        <v>0.12285848625224127</v>
      </c>
      <c r="K18" s="33">
        <v>1016337755.01</v>
      </c>
      <c r="L18" s="30">
        <f t="shared" si="1"/>
        <v>2.4655062767735395E-2</v>
      </c>
      <c r="M18" s="33">
        <v>27.148274000000001</v>
      </c>
      <c r="N18" s="33">
        <v>27.251404999999998</v>
      </c>
      <c r="O18" s="32">
        <v>480</v>
      </c>
      <c r="P18" s="50">
        <v>-4.7164044126237759E-3</v>
      </c>
      <c r="Q18" s="50">
        <v>0.11756263153292901</v>
      </c>
      <c r="R18" s="56">
        <f t="shared" si="2"/>
        <v>-6.9762199164666245E-3</v>
      </c>
      <c r="S18" s="56">
        <f t="shared" si="3"/>
        <v>1.5389568682513947E-2</v>
      </c>
      <c r="T18" s="56">
        <f t="shared" si="4"/>
        <v>-2.0790020790020791E-3</v>
      </c>
      <c r="U18" s="57">
        <f t="shared" si="5"/>
        <v>-2.4222945707202959E-2</v>
      </c>
      <c r="V18" s="58">
        <f t="shared" si="6"/>
        <v>-5.2958547193122651E-3</v>
      </c>
    </row>
    <row r="19" spans="1:22">
      <c r="A19" s="144">
        <v>14</v>
      </c>
      <c r="B19" s="137" t="s">
        <v>44</v>
      </c>
      <c r="C19" s="138" t="s">
        <v>45</v>
      </c>
      <c r="D19" s="33">
        <v>144961516.5</v>
      </c>
      <c r="E19" s="30">
        <f t="shared" si="0"/>
        <v>3.5620150422585517E-3</v>
      </c>
      <c r="F19" s="33">
        <v>1.493371</v>
      </c>
      <c r="G19" s="33">
        <v>1.5560430000000001</v>
      </c>
      <c r="H19" s="32">
        <v>23</v>
      </c>
      <c r="I19" s="50">
        <v>1.8E-3</v>
      </c>
      <c r="J19" s="50">
        <v>7.3300000000000004E-2</v>
      </c>
      <c r="K19" s="33">
        <v>136951118.53</v>
      </c>
      <c r="L19" s="30">
        <f t="shared" si="1"/>
        <v>3.3222601510415183E-3</v>
      </c>
      <c r="M19" s="33">
        <v>1.4901720000000001</v>
      </c>
      <c r="N19" s="33">
        <v>1.5528729999999999</v>
      </c>
      <c r="O19" s="32">
        <v>22</v>
      </c>
      <c r="P19" s="50">
        <v>-3.0999999999999999E-3</v>
      </c>
      <c r="Q19" s="50">
        <v>7.1099999999999997E-2</v>
      </c>
      <c r="R19" s="56">
        <f t="shared" si="2"/>
        <v>-5.5258789804396115E-2</v>
      </c>
      <c r="S19" s="56">
        <f t="shared" si="3"/>
        <v>-2.0372187658053904E-3</v>
      </c>
      <c r="T19" s="56">
        <f t="shared" si="4"/>
        <v>-4.3478260869565216E-2</v>
      </c>
      <c r="U19" s="57">
        <f t="shared" si="5"/>
        <v>-4.8999999999999998E-3</v>
      </c>
      <c r="V19" s="58">
        <f t="shared" si="6"/>
        <v>-2.2000000000000075E-3</v>
      </c>
    </row>
    <row r="20" spans="1:22">
      <c r="A20" s="144">
        <v>15</v>
      </c>
      <c r="B20" s="137" t="s">
        <v>46</v>
      </c>
      <c r="C20" s="138" t="s">
        <v>47</v>
      </c>
      <c r="D20" s="29">
        <v>3226107898.5700002</v>
      </c>
      <c r="E20" s="30">
        <f t="shared" si="0"/>
        <v>7.9272383044195496E-2</v>
      </c>
      <c r="F20" s="33">
        <v>37.97</v>
      </c>
      <c r="G20" s="33">
        <v>38.049999999999997</v>
      </c>
      <c r="H20" s="32">
        <v>8944</v>
      </c>
      <c r="I20" s="50">
        <v>2.0899999999999998E-2</v>
      </c>
      <c r="J20" s="50">
        <v>0.20979999999999999</v>
      </c>
      <c r="K20" s="29">
        <v>3434404176.6999998</v>
      </c>
      <c r="L20" s="30">
        <f t="shared" si="1"/>
        <v>8.331428221465409E-2</v>
      </c>
      <c r="M20" s="33">
        <v>37.56</v>
      </c>
      <c r="N20" s="33">
        <v>38.35</v>
      </c>
      <c r="O20" s="32">
        <v>8944</v>
      </c>
      <c r="P20" s="50">
        <v>4.0000000000000002E-4</v>
      </c>
      <c r="Q20" s="50">
        <v>0.20699999999999999</v>
      </c>
      <c r="R20" s="56">
        <f t="shared" si="2"/>
        <v>6.456581263829668E-2</v>
      </c>
      <c r="S20" s="56">
        <f t="shared" si="3"/>
        <v>7.8843626806834235E-3</v>
      </c>
      <c r="T20" s="56">
        <f t="shared" si="4"/>
        <v>0</v>
      </c>
      <c r="U20" s="57">
        <f t="shared" si="5"/>
        <v>-2.0499999999999997E-2</v>
      </c>
      <c r="V20" s="58">
        <f t="shared" si="6"/>
        <v>-2.7999999999999969E-3</v>
      </c>
    </row>
    <row r="21" spans="1:22" ht="12.75" customHeight="1">
      <c r="A21" s="144">
        <v>16</v>
      </c>
      <c r="B21" s="137" t="s">
        <v>48</v>
      </c>
      <c r="C21" s="138" t="s">
        <v>49</v>
      </c>
      <c r="D21" s="33">
        <v>988508514.14999998</v>
      </c>
      <c r="E21" s="30">
        <f t="shared" si="0"/>
        <v>2.428977208446181E-2</v>
      </c>
      <c r="F21" s="33">
        <v>9546.2800000000007</v>
      </c>
      <c r="G21" s="33">
        <v>9671.76</v>
      </c>
      <c r="H21" s="32">
        <v>22</v>
      </c>
      <c r="I21" s="50">
        <v>3.5999999999999999E-3</v>
      </c>
      <c r="J21" s="50">
        <v>0.19239999999999999</v>
      </c>
      <c r="K21" s="33">
        <v>1012857177.95</v>
      </c>
      <c r="L21" s="30">
        <f t="shared" si="1"/>
        <v>2.4570628390030522E-2</v>
      </c>
      <c r="M21" s="33">
        <v>9588.75</v>
      </c>
      <c r="N21" s="33">
        <v>9712.33</v>
      </c>
      <c r="O21" s="32">
        <v>23</v>
      </c>
      <c r="P21" s="50">
        <v>4.1999999999999997E-3</v>
      </c>
      <c r="Q21" s="50">
        <v>0.19739999999999999</v>
      </c>
      <c r="R21" s="56">
        <f t="shared" si="2"/>
        <v>2.4631718848610054E-2</v>
      </c>
      <c r="S21" s="56">
        <f t="shared" si="3"/>
        <v>4.1946863859317965E-3</v>
      </c>
      <c r="T21" s="56">
        <f t="shared" si="4"/>
        <v>4.5454545454545456E-2</v>
      </c>
      <c r="U21" s="57">
        <f t="shared" si="5"/>
        <v>5.9999999999999984E-4</v>
      </c>
      <c r="V21" s="58">
        <f t="shared" si="6"/>
        <v>5.0000000000000044E-3</v>
      </c>
    </row>
    <row r="22" spans="1:22">
      <c r="A22" s="144">
        <v>17</v>
      </c>
      <c r="B22" s="137" t="s">
        <v>50</v>
      </c>
      <c r="C22" s="138" t="s">
        <v>49</v>
      </c>
      <c r="D22" s="33">
        <v>14806382977.08</v>
      </c>
      <c r="E22" s="30">
        <f t="shared" si="0"/>
        <v>0.36382455260669072</v>
      </c>
      <c r="F22" s="33">
        <v>29358.17</v>
      </c>
      <c r="G22" s="33">
        <v>29789.119999999999</v>
      </c>
      <c r="H22" s="32">
        <v>17736</v>
      </c>
      <c r="I22" s="50">
        <v>-2.8E-3</v>
      </c>
      <c r="J22" s="50">
        <v>0.159</v>
      </c>
      <c r="K22" s="33">
        <v>14882529222.17</v>
      </c>
      <c r="L22" s="30">
        <f t="shared" si="1"/>
        <v>0.36103125196962427</v>
      </c>
      <c r="M22" s="33">
        <v>29500.94</v>
      </c>
      <c r="N22" s="33">
        <v>29933.62</v>
      </c>
      <c r="O22" s="32">
        <v>17754</v>
      </c>
      <c r="P22" s="50">
        <v>4.8999999999999998E-3</v>
      </c>
      <c r="Q22" s="50">
        <v>0.16470000000000001</v>
      </c>
      <c r="R22" s="56">
        <f t="shared" si="2"/>
        <v>5.1427985624762709E-3</v>
      </c>
      <c r="S22" s="56">
        <f t="shared" si="3"/>
        <v>4.8507643058942323E-3</v>
      </c>
      <c r="T22" s="56">
        <f t="shared" si="4"/>
        <v>1.0148849797023004E-3</v>
      </c>
      <c r="U22" s="57">
        <f t="shared" si="5"/>
        <v>7.7000000000000002E-3</v>
      </c>
      <c r="V22" s="58">
        <f t="shared" si="6"/>
        <v>5.7000000000000106E-3</v>
      </c>
    </row>
    <row r="23" spans="1:22">
      <c r="A23" s="144">
        <v>18</v>
      </c>
      <c r="B23" s="138" t="s">
        <v>51</v>
      </c>
      <c r="C23" s="138" t="s">
        <v>52</v>
      </c>
      <c r="D23" s="33">
        <v>4262696155.2199998</v>
      </c>
      <c r="E23" s="30">
        <f t="shared" ref="E23" si="12">(D23/$D$25)</f>
        <v>0.1047435774133291</v>
      </c>
      <c r="F23" s="33">
        <v>1.6838</v>
      </c>
      <c r="G23" s="31">
        <v>1.7002999999999999</v>
      </c>
      <c r="H23" s="32">
        <v>4863</v>
      </c>
      <c r="I23" s="50">
        <v>2.0000000000000001E-4</v>
      </c>
      <c r="J23" s="50">
        <v>0.1288</v>
      </c>
      <c r="K23" s="33">
        <v>4305108982.6499996</v>
      </c>
      <c r="L23" s="30">
        <f t="shared" ref="L23" si="13">(K23/$K$25)</f>
        <v>0.10443647465220147</v>
      </c>
      <c r="M23" s="33">
        <v>1.7004999999999999</v>
      </c>
      <c r="N23" s="31">
        <v>1.7176</v>
      </c>
      <c r="O23" s="32">
        <v>4874</v>
      </c>
      <c r="P23" s="50">
        <v>9.9000000000000008E-3</v>
      </c>
      <c r="Q23" s="50">
        <v>0.1399</v>
      </c>
      <c r="R23" s="56">
        <f t="shared" ref="R23" si="14">((K23-D23)/D23)</f>
        <v>9.9497655675181203E-3</v>
      </c>
      <c r="S23" s="56">
        <f t="shared" ref="S23" si="15">((N23-G23)/G23)</f>
        <v>1.0174675057342876E-2</v>
      </c>
      <c r="T23" s="56">
        <f t="shared" ref="T23" si="16">((O23-H23)/H23)</f>
        <v>2.2619782027555007E-3</v>
      </c>
      <c r="U23" s="57">
        <f t="shared" ref="U23" si="17">P23-I23</f>
        <v>9.7000000000000003E-3</v>
      </c>
      <c r="V23" s="58">
        <f t="shared" ref="V23" si="18">Q23-J23</f>
        <v>1.1099999999999999E-2</v>
      </c>
    </row>
    <row r="24" spans="1:22">
      <c r="A24" s="144">
        <v>19</v>
      </c>
      <c r="B24" s="138" t="s">
        <v>295</v>
      </c>
      <c r="C24" s="138" t="s">
        <v>296</v>
      </c>
      <c r="D24" s="33">
        <v>2873683813.1399999</v>
      </c>
      <c r="E24" s="30">
        <f>(D24/$D$25)</f>
        <v>7.0612568192190459E-2</v>
      </c>
      <c r="F24" s="33">
        <v>148.54</v>
      </c>
      <c r="G24" s="31">
        <v>153.13999999999999</v>
      </c>
      <c r="H24" s="32">
        <v>36</v>
      </c>
      <c r="I24" s="50">
        <v>1.67E-2</v>
      </c>
      <c r="J24" s="50">
        <v>0.23119999999999999</v>
      </c>
      <c r="K24" s="33">
        <v>2921728036.23</v>
      </c>
      <c r="L24" s="30">
        <f>(K24/$K$25)</f>
        <v>7.087741035734145E-2</v>
      </c>
      <c r="M24" s="33">
        <v>150.69</v>
      </c>
      <c r="N24" s="31">
        <v>155.91</v>
      </c>
      <c r="O24" s="32">
        <v>36</v>
      </c>
      <c r="P24" s="50">
        <v>1.67E-2</v>
      </c>
      <c r="Q24" s="50">
        <v>0.25169999999999998</v>
      </c>
      <c r="R24" s="56">
        <f t="shared" si="2"/>
        <v>1.6718688002596734E-2</v>
      </c>
      <c r="S24" s="56">
        <f t="shared" si="3"/>
        <v>1.8088024030299143E-2</v>
      </c>
      <c r="T24" s="56">
        <f t="shared" si="4"/>
        <v>0</v>
      </c>
      <c r="U24" s="57">
        <f t="shared" si="5"/>
        <v>0</v>
      </c>
      <c r="V24" s="58">
        <f t="shared" si="6"/>
        <v>2.049999999999999E-2</v>
      </c>
    </row>
    <row r="25" spans="1:22">
      <c r="A25" s="36"/>
      <c r="B25" s="37"/>
      <c r="C25" s="38" t="s">
        <v>53</v>
      </c>
      <c r="D25" s="39">
        <f>SUM(D6:D24)</f>
        <v>40696491951.950005</v>
      </c>
      <c r="E25" s="40">
        <f>(D25/$D$223)</f>
        <v>7.2662431410952348E-3</v>
      </c>
      <c r="F25" s="41"/>
      <c r="G25" s="42"/>
      <c r="H25" s="43">
        <f>SUM(H6:H24)</f>
        <v>51923</v>
      </c>
      <c r="I25" s="52"/>
      <c r="J25" s="32">
        <v>0</v>
      </c>
      <c r="K25" s="39">
        <f>SUM(K6:K24)</f>
        <v>41222274085.630005</v>
      </c>
      <c r="L25" s="40">
        <f>(K25/$K$223)</f>
        <v>7.3417331476362613E-3</v>
      </c>
      <c r="M25" s="41"/>
      <c r="N25" s="42"/>
      <c r="O25" s="43">
        <f>SUM(O6:O24)</f>
        <v>51988</v>
      </c>
      <c r="P25" s="52"/>
      <c r="Q25" s="43"/>
      <c r="R25" s="56">
        <f t="shared" si="2"/>
        <v>1.2919593519283842E-2</v>
      </c>
      <c r="S25" s="56" t="e">
        <f t="shared" si="3"/>
        <v>#DIV/0!</v>
      </c>
      <c r="T25" s="56">
        <f t="shared" si="4"/>
        <v>1.2518537064499355E-3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</row>
    <row r="27" spans="1:22" ht="15" customHeight="1">
      <c r="A27" s="151" t="s">
        <v>54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</row>
    <row r="28" spans="1:22">
      <c r="A28" s="136">
        <v>20</v>
      </c>
      <c r="B28" s="137" t="s">
        <v>55</v>
      </c>
      <c r="C28" s="138" t="s">
        <v>19</v>
      </c>
      <c r="D28" s="44">
        <v>3301123465.0700002</v>
      </c>
      <c r="E28" s="30">
        <f>(D28/$K$70)</f>
        <v>1.1167651188519207E-3</v>
      </c>
      <c r="F28" s="31">
        <v>100</v>
      </c>
      <c r="G28" s="31">
        <v>100</v>
      </c>
      <c r="H28" s="32">
        <v>850</v>
      </c>
      <c r="I28" s="50">
        <v>0.15720000000000001</v>
      </c>
      <c r="J28" s="50">
        <v>0.15720000000000001</v>
      </c>
      <c r="K28" s="44">
        <v>3379810174.0999999</v>
      </c>
      <c r="L28" s="30">
        <f t="shared" ref="L28:L69" si="19">(K28/$K$70)</f>
        <v>1.1433847145416237E-3</v>
      </c>
      <c r="M28" s="31">
        <v>100</v>
      </c>
      <c r="N28" s="31">
        <v>100</v>
      </c>
      <c r="O28" s="32">
        <v>850</v>
      </c>
      <c r="P28" s="50">
        <v>0.1802</v>
      </c>
      <c r="Q28" s="50">
        <v>0.1802</v>
      </c>
      <c r="R28" s="56">
        <f>((K28-D28)/D28)</f>
        <v>2.3836342343024477E-2</v>
      </c>
      <c r="S28" s="56">
        <f>((N28-G28)/G28)</f>
        <v>0</v>
      </c>
      <c r="T28" s="56">
        <f>((O28-H28)/H28)</f>
        <v>0</v>
      </c>
      <c r="U28" s="57">
        <f>P28-I28</f>
        <v>2.2999999999999993E-2</v>
      </c>
      <c r="V28" s="58">
        <f>Q28-J28</f>
        <v>2.2999999999999993E-2</v>
      </c>
    </row>
    <row r="29" spans="1:22">
      <c r="A29" s="136">
        <v>21</v>
      </c>
      <c r="B29" s="137" t="s">
        <v>56</v>
      </c>
      <c r="C29" s="138" t="s">
        <v>57</v>
      </c>
      <c r="D29" s="44">
        <v>20769579831.720001</v>
      </c>
      <c r="E29" s="30">
        <f t="shared" ref="E29:E69" si="20">(D29/$K$70)</f>
        <v>7.0263177171967428E-3</v>
      </c>
      <c r="F29" s="31">
        <v>100</v>
      </c>
      <c r="G29" s="31">
        <v>100</v>
      </c>
      <c r="H29" s="32">
        <v>2778</v>
      </c>
      <c r="I29" s="50">
        <v>0.21040500000000001</v>
      </c>
      <c r="J29" s="50">
        <v>0.21040500000000001</v>
      </c>
      <c r="K29" s="44">
        <v>20748159361.549999</v>
      </c>
      <c r="L29" s="30">
        <f t="shared" si="19"/>
        <v>7.0190712042539861E-3</v>
      </c>
      <c r="M29" s="31">
        <v>100</v>
      </c>
      <c r="N29" s="31">
        <v>100</v>
      </c>
      <c r="O29" s="32">
        <v>2815</v>
      </c>
      <c r="P29" s="50">
        <v>0.21002999999999999</v>
      </c>
      <c r="Q29" s="50">
        <v>0.21002999999999999</v>
      </c>
      <c r="R29" s="56">
        <f t="shared" ref="R29:R70" si="21">((K29-D29)/D29)</f>
        <v>-1.0313386377363263E-3</v>
      </c>
      <c r="S29" s="56">
        <f t="shared" ref="S29:S70" si="22">((N29-G29)/G29)</f>
        <v>0</v>
      </c>
      <c r="T29" s="56">
        <f t="shared" ref="T29:T70" si="23">((O29-H29)/H29)</f>
        <v>1.331893448524118E-2</v>
      </c>
      <c r="U29" s="57">
        <f t="shared" ref="U29:U70" si="24">P29-I29</f>
        <v>-3.7500000000001421E-4</v>
      </c>
      <c r="V29" s="58">
        <f t="shared" ref="V29:V70" si="25">Q29-J29</f>
        <v>-3.7500000000001421E-4</v>
      </c>
    </row>
    <row r="30" spans="1:22">
      <c r="A30" s="136">
        <v>22</v>
      </c>
      <c r="B30" s="137" t="s">
        <v>58</v>
      </c>
      <c r="C30" s="138" t="s">
        <v>21</v>
      </c>
      <c r="D30" s="44">
        <v>1908134460.24</v>
      </c>
      <c r="E30" s="30">
        <f t="shared" si="20"/>
        <v>6.4551902702923681E-4</v>
      </c>
      <c r="F30" s="31">
        <v>100</v>
      </c>
      <c r="G30" s="31">
        <v>100</v>
      </c>
      <c r="H30" s="32">
        <v>1979</v>
      </c>
      <c r="I30" s="50">
        <v>0.1991</v>
      </c>
      <c r="J30" s="50">
        <v>0.1991</v>
      </c>
      <c r="K30" s="44">
        <v>2058890279.9200001</v>
      </c>
      <c r="L30" s="30">
        <f t="shared" si="19"/>
        <v>6.9651949479846765E-4</v>
      </c>
      <c r="M30" s="31">
        <v>100</v>
      </c>
      <c r="N30" s="31">
        <v>100</v>
      </c>
      <c r="O30" s="32">
        <v>1989</v>
      </c>
      <c r="P30" s="50">
        <v>0.1976</v>
      </c>
      <c r="Q30" s="50">
        <v>0.1976</v>
      </c>
      <c r="R30" s="56">
        <f t="shared" si="21"/>
        <v>7.9006916347519038E-2</v>
      </c>
      <c r="S30" s="56">
        <f t="shared" si="22"/>
        <v>0</v>
      </c>
      <c r="T30" s="56">
        <f t="shared" si="23"/>
        <v>5.053057099545225E-3</v>
      </c>
      <c r="U30" s="57">
        <f t="shared" si="24"/>
        <v>-1.5000000000000013E-3</v>
      </c>
      <c r="V30" s="58">
        <f t="shared" si="25"/>
        <v>-1.5000000000000013E-3</v>
      </c>
    </row>
    <row r="31" spans="1:22">
      <c r="A31" s="136">
        <v>23</v>
      </c>
      <c r="B31" s="137" t="s">
        <v>59</v>
      </c>
      <c r="C31" s="138" t="s">
        <v>23</v>
      </c>
      <c r="D31" s="44">
        <v>206221365971.57001</v>
      </c>
      <c r="E31" s="30">
        <f t="shared" si="20"/>
        <v>6.9764378920060266E-2</v>
      </c>
      <c r="F31" s="31">
        <v>1</v>
      </c>
      <c r="G31" s="31">
        <v>1</v>
      </c>
      <c r="H31" s="32">
        <v>69389</v>
      </c>
      <c r="I31" s="50">
        <v>0.22009999999999999</v>
      </c>
      <c r="J31" s="50">
        <v>0.22009999999999999</v>
      </c>
      <c r="K31" s="44">
        <v>207411127796.82001</v>
      </c>
      <c r="L31" s="30">
        <f t="shared" si="19"/>
        <v>7.0166873561729973E-2</v>
      </c>
      <c r="M31" s="31">
        <v>1</v>
      </c>
      <c r="N31" s="31">
        <v>1</v>
      </c>
      <c r="O31" s="32">
        <v>69756</v>
      </c>
      <c r="P31" s="50">
        <v>0.22140000000000001</v>
      </c>
      <c r="Q31" s="50">
        <v>0.22140000000000001</v>
      </c>
      <c r="R31" s="56">
        <f t="shared" si="21"/>
        <v>5.7693431504765727E-3</v>
      </c>
      <c r="S31" s="56">
        <f t="shared" si="22"/>
        <v>0</v>
      </c>
      <c r="T31" s="56">
        <f t="shared" si="23"/>
        <v>5.289022755768205E-3</v>
      </c>
      <c r="U31" s="57">
        <f t="shared" si="24"/>
        <v>1.3000000000000234E-3</v>
      </c>
      <c r="V31" s="58">
        <f t="shared" si="25"/>
        <v>1.3000000000000234E-3</v>
      </c>
    </row>
    <row r="32" spans="1:22">
      <c r="A32" s="136">
        <v>24</v>
      </c>
      <c r="B32" s="137" t="s">
        <v>304</v>
      </c>
      <c r="C32" s="138" t="s">
        <v>117</v>
      </c>
      <c r="D32" s="44">
        <v>1117480248</v>
      </c>
      <c r="E32" s="30">
        <f t="shared" si="20"/>
        <v>3.7804189245794567E-4</v>
      </c>
      <c r="F32" s="31">
        <v>1</v>
      </c>
      <c r="G32" s="31">
        <v>1</v>
      </c>
      <c r="H32" s="32">
        <v>273</v>
      </c>
      <c r="I32" s="50">
        <v>0.19689999999999999</v>
      </c>
      <c r="J32" s="50">
        <v>0.19689999999999999</v>
      </c>
      <c r="K32" s="44">
        <v>988150248</v>
      </c>
      <c r="L32" s="30">
        <f t="shared" si="19"/>
        <v>3.3428974736268301E-4</v>
      </c>
      <c r="M32" s="31">
        <v>1</v>
      </c>
      <c r="N32" s="31">
        <v>1</v>
      </c>
      <c r="O32" s="32">
        <v>290</v>
      </c>
      <c r="P32" s="50">
        <v>0.21229999999999999</v>
      </c>
      <c r="Q32" s="50">
        <v>0.21229999999999999</v>
      </c>
      <c r="R32" s="56">
        <f t="shared" si="21"/>
        <v>-0.11573358923476919</v>
      </c>
      <c r="S32" s="56">
        <f t="shared" si="22"/>
        <v>0</v>
      </c>
      <c r="T32" s="56">
        <f t="shared" si="23"/>
        <v>6.2271062271062272E-2</v>
      </c>
      <c r="U32" s="57">
        <f t="shared" si="24"/>
        <v>1.5399999999999997E-2</v>
      </c>
      <c r="V32" s="58">
        <f t="shared" si="25"/>
        <v>1.5399999999999997E-2</v>
      </c>
    </row>
    <row r="33" spans="1:22">
      <c r="A33" s="136">
        <v>25</v>
      </c>
      <c r="B33" s="137" t="s">
        <v>60</v>
      </c>
      <c r="C33" s="138" t="s">
        <v>25</v>
      </c>
      <c r="D33" s="44">
        <v>118450089924.95</v>
      </c>
      <c r="E33" s="30">
        <f t="shared" si="20"/>
        <v>4.0071487829145006E-2</v>
      </c>
      <c r="F33" s="31">
        <v>1</v>
      </c>
      <c r="G33" s="31">
        <v>1</v>
      </c>
      <c r="H33" s="32">
        <v>33389</v>
      </c>
      <c r="I33" s="50">
        <v>0.20300000000000001</v>
      </c>
      <c r="J33" s="50">
        <v>0.20300000000000001</v>
      </c>
      <c r="K33" s="44">
        <v>121327631510.23</v>
      </c>
      <c r="L33" s="30">
        <f t="shared" si="19"/>
        <v>4.1044955833141154E-2</v>
      </c>
      <c r="M33" s="31">
        <v>1</v>
      </c>
      <c r="N33" s="31">
        <v>1</v>
      </c>
      <c r="O33" s="32">
        <v>33532</v>
      </c>
      <c r="P33" s="50">
        <v>0.1996</v>
      </c>
      <c r="Q33" s="50">
        <v>0.1996</v>
      </c>
      <c r="R33" s="56">
        <f t="shared" si="21"/>
        <v>2.4293283247849028E-2</v>
      </c>
      <c r="S33" s="56">
        <f t="shared" si="22"/>
        <v>0</v>
      </c>
      <c r="T33" s="56">
        <f t="shared" si="23"/>
        <v>4.2828476444337956E-3</v>
      </c>
      <c r="U33" s="57">
        <f t="shared" si="24"/>
        <v>-3.4000000000000141E-3</v>
      </c>
      <c r="V33" s="58">
        <f t="shared" si="25"/>
        <v>-3.4000000000000141E-3</v>
      </c>
    </row>
    <row r="34" spans="1:22">
      <c r="A34" s="136">
        <v>26</v>
      </c>
      <c r="B34" s="137" t="s">
        <v>289</v>
      </c>
      <c r="C34" s="138" t="s">
        <v>27</v>
      </c>
      <c r="D34" s="33">
        <v>5589802993.3599997</v>
      </c>
      <c r="E34" s="30">
        <f t="shared" ref="E34" si="26">(D34/$D$25)</f>
        <v>0.13735343576934916</v>
      </c>
      <c r="F34" s="33">
        <v>1</v>
      </c>
      <c r="G34" s="33">
        <v>1</v>
      </c>
      <c r="H34" s="32">
        <v>758</v>
      </c>
      <c r="I34" s="50">
        <v>0.1933</v>
      </c>
      <c r="J34" s="50">
        <v>0.1933</v>
      </c>
      <c r="K34" s="33">
        <v>5075643871.3599997</v>
      </c>
      <c r="L34" s="30">
        <f t="shared" ref="L34" si="27">(K34/$K$25)</f>
        <v>0.12312867215468246</v>
      </c>
      <c r="M34" s="33">
        <v>1</v>
      </c>
      <c r="N34" s="33">
        <v>1</v>
      </c>
      <c r="O34" s="32">
        <v>793</v>
      </c>
      <c r="P34" s="50">
        <v>0.24010000000000001</v>
      </c>
      <c r="Q34" s="50">
        <v>0.24010000000000001</v>
      </c>
      <c r="R34" s="56">
        <f t="shared" si="21"/>
        <v>-9.1981617708308858E-2</v>
      </c>
      <c r="S34" s="56">
        <f t="shared" si="22"/>
        <v>0</v>
      </c>
      <c r="T34" s="56">
        <f t="shared" si="23"/>
        <v>4.6174142480211081E-2</v>
      </c>
      <c r="U34" s="57">
        <f t="shared" si="24"/>
        <v>4.6800000000000008E-2</v>
      </c>
      <c r="V34" s="58">
        <f t="shared" si="25"/>
        <v>4.6800000000000008E-2</v>
      </c>
    </row>
    <row r="35" spans="1:22" ht="15" customHeight="1">
      <c r="A35" s="136">
        <v>27</v>
      </c>
      <c r="B35" s="137" t="s">
        <v>61</v>
      </c>
      <c r="C35" s="138" t="s">
        <v>47</v>
      </c>
      <c r="D35" s="44">
        <v>22897462435</v>
      </c>
      <c r="E35" s="30">
        <f t="shared" si="20"/>
        <v>7.7461772115475641E-3</v>
      </c>
      <c r="F35" s="31">
        <v>100</v>
      </c>
      <c r="G35" s="31">
        <v>100</v>
      </c>
      <c r="H35" s="32">
        <v>2083</v>
      </c>
      <c r="I35" s="50">
        <v>0.22090000000000001</v>
      </c>
      <c r="J35" s="50">
        <v>0.22090000000000001</v>
      </c>
      <c r="K35" s="44">
        <v>23579066949</v>
      </c>
      <c r="L35" s="30">
        <f t="shared" si="19"/>
        <v>7.9767629967027014E-3</v>
      </c>
      <c r="M35" s="31">
        <v>100</v>
      </c>
      <c r="N35" s="31">
        <v>100</v>
      </c>
      <c r="O35" s="32">
        <v>2083</v>
      </c>
      <c r="P35" s="50">
        <v>0.22320000000000001</v>
      </c>
      <c r="Q35" s="50">
        <v>0.22320000000000001</v>
      </c>
      <c r="R35" s="56">
        <f t="shared" si="21"/>
        <v>2.9767687835929407E-2</v>
      </c>
      <c r="S35" s="56">
        <f t="shared" si="22"/>
        <v>0</v>
      </c>
      <c r="T35" s="56">
        <f t="shared" si="23"/>
        <v>0</v>
      </c>
      <c r="U35" s="57">
        <f t="shared" si="24"/>
        <v>2.2999999999999965E-3</v>
      </c>
      <c r="V35" s="58">
        <f t="shared" si="25"/>
        <v>2.2999999999999965E-3</v>
      </c>
    </row>
    <row r="36" spans="1:22" ht="15" customHeight="1">
      <c r="A36" s="136">
        <v>28</v>
      </c>
      <c r="B36" s="137" t="s">
        <v>62</v>
      </c>
      <c r="C36" s="138" t="s">
        <v>63</v>
      </c>
      <c r="D36" s="44">
        <v>1125872518.3599999</v>
      </c>
      <c r="E36" s="30">
        <f t="shared" si="20"/>
        <v>3.8088098493818526E-4</v>
      </c>
      <c r="F36" s="31">
        <v>1</v>
      </c>
      <c r="G36" s="31">
        <v>1</v>
      </c>
      <c r="H36" s="32">
        <v>435</v>
      </c>
      <c r="I36" s="50">
        <v>0.2</v>
      </c>
      <c r="J36" s="50">
        <v>0.2</v>
      </c>
      <c r="K36" s="44">
        <v>1197510040.3299999</v>
      </c>
      <c r="L36" s="30">
        <f t="shared" si="19"/>
        <v>4.0511585121435096E-4</v>
      </c>
      <c r="M36" s="31">
        <v>1</v>
      </c>
      <c r="N36" s="31">
        <v>1</v>
      </c>
      <c r="O36" s="32">
        <v>442</v>
      </c>
      <c r="P36" s="50">
        <v>0.2</v>
      </c>
      <c r="Q36" s="50">
        <v>0.2</v>
      </c>
      <c r="R36" s="56">
        <f t="shared" si="21"/>
        <v>6.3628448871236948E-2</v>
      </c>
      <c r="S36" s="56">
        <f t="shared" si="22"/>
        <v>0</v>
      </c>
      <c r="T36" s="56">
        <f t="shared" si="23"/>
        <v>1.6091954022988506E-2</v>
      </c>
      <c r="U36" s="57">
        <f t="shared" si="24"/>
        <v>0</v>
      </c>
      <c r="V36" s="58">
        <f t="shared" si="25"/>
        <v>0</v>
      </c>
    </row>
    <row r="37" spans="1:22">
      <c r="A37" s="136">
        <v>29</v>
      </c>
      <c r="B37" s="137" t="s">
        <v>64</v>
      </c>
      <c r="C37" s="138" t="s">
        <v>65</v>
      </c>
      <c r="D37" s="44">
        <v>53180837277.910004</v>
      </c>
      <c r="E37" s="30">
        <f t="shared" si="20"/>
        <v>1.7990997516977286E-2</v>
      </c>
      <c r="F37" s="31">
        <v>100</v>
      </c>
      <c r="G37" s="31">
        <v>100</v>
      </c>
      <c r="H37" s="32">
        <v>4207</v>
      </c>
      <c r="I37" s="50">
        <v>0.21217333861272999</v>
      </c>
      <c r="J37" s="50">
        <v>0.21217333861272999</v>
      </c>
      <c r="K37" s="44">
        <v>54704031478.919998</v>
      </c>
      <c r="L37" s="30">
        <f t="shared" si="19"/>
        <v>1.8506291831450739E-2</v>
      </c>
      <c r="M37" s="31">
        <v>100</v>
      </c>
      <c r="N37" s="31">
        <v>100</v>
      </c>
      <c r="O37" s="32">
        <v>4256</v>
      </c>
      <c r="P37" s="50">
        <v>0.21177791099836901</v>
      </c>
      <c r="Q37" s="50">
        <v>0.21177791099836901</v>
      </c>
      <c r="R37" s="56">
        <f t="shared" si="21"/>
        <v>2.864178675958326E-2</v>
      </c>
      <c r="S37" s="56">
        <f t="shared" si="22"/>
        <v>0</v>
      </c>
      <c r="T37" s="56">
        <f t="shared" si="23"/>
        <v>1.1647254575707155E-2</v>
      </c>
      <c r="U37" s="57">
        <f t="shared" si="24"/>
        <v>-3.954276143609825E-4</v>
      </c>
      <c r="V37" s="58">
        <f t="shared" si="25"/>
        <v>-3.954276143609825E-4</v>
      </c>
    </row>
    <row r="38" spans="1:22">
      <c r="A38" s="136">
        <v>30</v>
      </c>
      <c r="B38" s="137" t="s">
        <v>66</v>
      </c>
      <c r="C38" s="138" t="s">
        <v>67</v>
      </c>
      <c r="D38" s="44">
        <v>25157032023.48</v>
      </c>
      <c r="E38" s="30">
        <f t="shared" si="20"/>
        <v>8.5105862155529753E-3</v>
      </c>
      <c r="F38" s="31">
        <v>100</v>
      </c>
      <c r="G38" s="31">
        <v>100</v>
      </c>
      <c r="H38" s="32">
        <v>6933</v>
      </c>
      <c r="I38" s="50">
        <v>0.20810000000000001</v>
      </c>
      <c r="J38" s="50">
        <v>0.20810000000000001</v>
      </c>
      <c r="K38" s="44">
        <v>26010840326.490002</v>
      </c>
      <c r="L38" s="30">
        <f t="shared" si="19"/>
        <v>8.7994282843447003E-3</v>
      </c>
      <c r="M38" s="31">
        <v>100</v>
      </c>
      <c r="N38" s="31">
        <v>100</v>
      </c>
      <c r="O38" s="32">
        <v>6956</v>
      </c>
      <c r="P38" s="50">
        <v>0.20669999999999999</v>
      </c>
      <c r="Q38" s="50">
        <v>0.20669999999999999</v>
      </c>
      <c r="R38" s="56">
        <f t="shared" si="21"/>
        <v>3.3939150779516078E-2</v>
      </c>
      <c r="S38" s="56">
        <f t="shared" si="22"/>
        <v>0</v>
      </c>
      <c r="T38" s="56">
        <f t="shared" si="23"/>
        <v>3.3174671859224E-3</v>
      </c>
      <c r="U38" s="57">
        <f t="shared" si="24"/>
        <v>-1.4000000000000123E-3</v>
      </c>
      <c r="V38" s="58">
        <f t="shared" si="25"/>
        <v>-1.4000000000000123E-3</v>
      </c>
    </row>
    <row r="39" spans="1:22">
      <c r="A39" s="136">
        <v>31</v>
      </c>
      <c r="B39" s="137" t="s">
        <v>68</v>
      </c>
      <c r="C39" s="138" t="s">
        <v>69</v>
      </c>
      <c r="D39" s="44">
        <v>44514190.369999997</v>
      </c>
      <c r="E39" s="30">
        <f t="shared" si="20"/>
        <v>1.5059083861953021E-5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1.5059083861953021E-5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36">
        <v>32</v>
      </c>
      <c r="B40" s="137" t="s">
        <v>70</v>
      </c>
      <c r="C40" s="138" t="s">
        <v>299</v>
      </c>
      <c r="D40" s="44">
        <v>24805780896.419998</v>
      </c>
      <c r="E40" s="30">
        <f t="shared" si="20"/>
        <v>8.3917584859001214E-3</v>
      </c>
      <c r="F40" s="31">
        <v>1</v>
      </c>
      <c r="G40" s="31">
        <v>1</v>
      </c>
      <c r="H40" s="32">
        <v>5899</v>
      </c>
      <c r="I40" s="50">
        <v>0.23250000000000001</v>
      </c>
      <c r="J40" s="50">
        <v>0.23250000000000001</v>
      </c>
      <c r="K40" s="44">
        <v>25053797032.220001</v>
      </c>
      <c r="L40" s="30">
        <f t="shared" si="19"/>
        <v>8.4756619727901546E-3</v>
      </c>
      <c r="M40" s="31">
        <v>1</v>
      </c>
      <c r="N40" s="31">
        <v>1</v>
      </c>
      <c r="O40" s="32">
        <v>5967</v>
      </c>
      <c r="P40" s="50">
        <v>0.2114</v>
      </c>
      <c r="Q40" s="50">
        <v>0.2114</v>
      </c>
      <c r="R40" s="56">
        <f t="shared" si="21"/>
        <v>9.998320022079895E-3</v>
      </c>
      <c r="S40" s="56">
        <f t="shared" si="22"/>
        <v>0</v>
      </c>
      <c r="T40" s="56">
        <f t="shared" si="23"/>
        <v>1.1527377521613832E-2</v>
      </c>
      <c r="U40" s="57">
        <f t="shared" si="24"/>
        <v>-2.1100000000000008E-2</v>
      </c>
      <c r="V40" s="58">
        <f t="shared" si="25"/>
        <v>-2.1100000000000008E-2</v>
      </c>
    </row>
    <row r="41" spans="1:22">
      <c r="A41" s="136">
        <v>33</v>
      </c>
      <c r="B41" s="137" t="s">
        <v>71</v>
      </c>
      <c r="C41" s="138" t="s">
        <v>72</v>
      </c>
      <c r="D41" s="44">
        <v>56084977550.379997</v>
      </c>
      <c r="E41" s="30">
        <f t="shared" si="20"/>
        <v>1.8973463816970348E-2</v>
      </c>
      <c r="F41" s="45">
        <v>100</v>
      </c>
      <c r="G41" s="45">
        <v>100</v>
      </c>
      <c r="H41" s="32">
        <v>3385</v>
      </c>
      <c r="I41" s="50">
        <v>0.20730000000000001</v>
      </c>
      <c r="J41" s="50">
        <v>0.20730000000000001</v>
      </c>
      <c r="K41" s="44">
        <v>57179089628.449997</v>
      </c>
      <c r="L41" s="30">
        <f t="shared" si="19"/>
        <v>1.934360029257692E-2</v>
      </c>
      <c r="M41" s="45">
        <v>100</v>
      </c>
      <c r="N41" s="45">
        <v>100</v>
      </c>
      <c r="O41" s="32">
        <v>3385</v>
      </c>
      <c r="P41" s="50">
        <v>0.2044</v>
      </c>
      <c r="Q41" s="50">
        <v>0.2044</v>
      </c>
      <c r="R41" s="56">
        <f t="shared" si="21"/>
        <v>1.9508112971734382E-2</v>
      </c>
      <c r="S41" s="56">
        <f t="shared" si="22"/>
        <v>0</v>
      </c>
      <c r="T41" s="56">
        <f t="shared" si="23"/>
        <v>0</v>
      </c>
      <c r="U41" s="57">
        <f t="shared" si="24"/>
        <v>-2.9000000000000137E-3</v>
      </c>
      <c r="V41" s="58">
        <f t="shared" si="25"/>
        <v>-2.9000000000000137E-3</v>
      </c>
    </row>
    <row r="42" spans="1:22">
      <c r="A42" s="136">
        <v>34</v>
      </c>
      <c r="B42" s="137" t="s">
        <v>73</v>
      </c>
      <c r="C42" s="138" t="s">
        <v>72</v>
      </c>
      <c r="D42" s="44">
        <v>7473783709.4399996</v>
      </c>
      <c r="E42" s="30">
        <f t="shared" si="20"/>
        <v>2.5283698234441301E-3</v>
      </c>
      <c r="F42" s="45">
        <v>1000000</v>
      </c>
      <c r="G42" s="45">
        <v>1000000</v>
      </c>
      <c r="H42" s="32">
        <v>19</v>
      </c>
      <c r="I42" s="50">
        <v>0.21640000000000001</v>
      </c>
      <c r="J42" s="50">
        <v>0.21640000000000001</v>
      </c>
      <c r="K42" s="44">
        <v>7497973131.8999996</v>
      </c>
      <c r="L42" s="30">
        <f t="shared" si="19"/>
        <v>2.5365530687950968E-3</v>
      </c>
      <c r="M42" s="45">
        <v>1000000</v>
      </c>
      <c r="N42" s="45">
        <v>1000000</v>
      </c>
      <c r="O42" s="32">
        <v>19</v>
      </c>
      <c r="P42" s="50">
        <v>0.2167</v>
      </c>
      <c r="Q42" s="50">
        <v>0.2167</v>
      </c>
      <c r="R42" s="56">
        <f t="shared" si="21"/>
        <v>3.23656977515242E-3</v>
      </c>
      <c r="S42" s="56">
        <f t="shared" si="22"/>
        <v>0</v>
      </c>
      <c r="T42" s="56">
        <f t="shared" si="23"/>
        <v>0</v>
      </c>
      <c r="U42" s="57">
        <f t="shared" si="24"/>
        <v>2.9999999999999472E-4</v>
      </c>
      <c r="V42" s="58">
        <f t="shared" si="25"/>
        <v>2.9999999999999472E-4</v>
      </c>
    </row>
    <row r="43" spans="1:22">
      <c r="A43" s="136">
        <v>35</v>
      </c>
      <c r="B43" s="137" t="s">
        <v>74</v>
      </c>
      <c r="C43" s="138" t="s">
        <v>75</v>
      </c>
      <c r="D43" s="44">
        <v>4950538026.7700005</v>
      </c>
      <c r="E43" s="30">
        <f t="shared" si="20"/>
        <v>1.6747595921043565E-3</v>
      </c>
      <c r="F43" s="31">
        <v>1</v>
      </c>
      <c r="G43" s="31">
        <v>1</v>
      </c>
      <c r="H43" s="32">
        <v>910</v>
      </c>
      <c r="I43" s="50">
        <v>0.20760000000000001</v>
      </c>
      <c r="J43" s="50">
        <v>0.20760000000000001</v>
      </c>
      <c r="K43" s="44">
        <v>5393812684.8299999</v>
      </c>
      <c r="L43" s="30">
        <f t="shared" si="19"/>
        <v>1.8247187443234396E-3</v>
      </c>
      <c r="M43" s="31">
        <v>1</v>
      </c>
      <c r="N43" s="31">
        <v>1</v>
      </c>
      <c r="O43" s="32">
        <v>913</v>
      </c>
      <c r="P43" s="50">
        <v>0.2082</v>
      </c>
      <c r="Q43" s="50">
        <v>0.2082</v>
      </c>
      <c r="R43" s="56">
        <f t="shared" si="21"/>
        <v>8.9540703588780607E-2</v>
      </c>
      <c r="S43" s="56">
        <f t="shared" si="22"/>
        <v>0</v>
      </c>
      <c r="T43" s="56">
        <f t="shared" si="23"/>
        <v>3.2967032967032967E-3</v>
      </c>
      <c r="U43" s="57">
        <f t="shared" si="24"/>
        <v>5.9999999999998943E-4</v>
      </c>
      <c r="V43" s="58">
        <f t="shared" si="25"/>
        <v>5.9999999999998943E-4</v>
      </c>
    </row>
    <row r="44" spans="1:22">
      <c r="A44" s="136">
        <v>36</v>
      </c>
      <c r="B44" s="137" t="s">
        <v>76</v>
      </c>
      <c r="C44" s="138" t="s">
        <v>31</v>
      </c>
      <c r="D44" s="44">
        <v>516720697715.97998</v>
      </c>
      <c r="E44" s="30">
        <f t="shared" si="20"/>
        <v>0.17480583731690186</v>
      </c>
      <c r="F44" s="31">
        <v>100</v>
      </c>
      <c r="G44" s="31">
        <v>100</v>
      </c>
      <c r="H44" s="32">
        <v>16128</v>
      </c>
      <c r="I44" s="50">
        <v>0.20880000000000001</v>
      </c>
      <c r="J44" s="50">
        <v>0.20880000000000001</v>
      </c>
      <c r="K44" s="44">
        <v>519530350202.88</v>
      </c>
      <c r="L44" s="30">
        <f t="shared" si="19"/>
        <v>0.17575633854070233</v>
      </c>
      <c r="M44" s="31">
        <v>100</v>
      </c>
      <c r="N44" s="31">
        <v>100</v>
      </c>
      <c r="O44" s="32">
        <v>16175</v>
      </c>
      <c r="P44" s="50">
        <v>0.2102</v>
      </c>
      <c r="Q44" s="50">
        <v>0.2102</v>
      </c>
      <c r="R44" s="56">
        <f t="shared" si="21"/>
        <v>5.4374684414990751E-3</v>
      </c>
      <c r="S44" s="56">
        <f t="shared" si="22"/>
        <v>0</v>
      </c>
      <c r="T44" s="56">
        <f t="shared" si="23"/>
        <v>2.914186507936508E-3</v>
      </c>
      <c r="U44" s="57">
        <f t="shared" si="24"/>
        <v>1.3999999999999846E-3</v>
      </c>
      <c r="V44" s="58">
        <f t="shared" si="25"/>
        <v>1.3999999999999846E-3</v>
      </c>
    </row>
    <row r="45" spans="1:22">
      <c r="A45" s="136">
        <v>37</v>
      </c>
      <c r="B45" s="137" t="s">
        <v>77</v>
      </c>
      <c r="C45" s="138" t="s">
        <v>78</v>
      </c>
      <c r="D45" s="44">
        <v>2150210615.2399998</v>
      </c>
      <c r="E45" s="30">
        <f t="shared" si="20"/>
        <v>7.2741302732045525E-4</v>
      </c>
      <c r="F45" s="31">
        <v>1</v>
      </c>
      <c r="G45" s="31">
        <v>1</v>
      </c>
      <c r="H45" s="46">
        <v>1265</v>
      </c>
      <c r="I45" s="53">
        <v>0.20649999999999999</v>
      </c>
      <c r="J45" s="53">
        <v>0.20649999999999999</v>
      </c>
      <c r="K45" s="44">
        <v>2183903683.5599999</v>
      </c>
      <c r="L45" s="30">
        <f t="shared" si="19"/>
        <v>7.3881134181702415E-4</v>
      </c>
      <c r="M45" s="31">
        <v>1</v>
      </c>
      <c r="N45" s="31">
        <v>1</v>
      </c>
      <c r="O45" s="46">
        <v>1280</v>
      </c>
      <c r="P45" s="53">
        <v>0.20469999999999999</v>
      </c>
      <c r="Q45" s="53">
        <v>0.20469999999999999</v>
      </c>
      <c r="R45" s="56">
        <f t="shared" si="21"/>
        <v>1.5669659558554202E-2</v>
      </c>
      <c r="S45" s="56">
        <f t="shared" si="22"/>
        <v>0</v>
      </c>
      <c r="T45" s="56">
        <f t="shared" si="23"/>
        <v>1.1857707509881422E-2</v>
      </c>
      <c r="U45" s="57">
        <f t="shared" si="24"/>
        <v>-1.799999999999996E-3</v>
      </c>
      <c r="V45" s="58">
        <f t="shared" si="25"/>
        <v>-1.799999999999996E-3</v>
      </c>
    </row>
    <row r="46" spans="1:22">
      <c r="A46" s="136">
        <v>38</v>
      </c>
      <c r="B46" s="137" t="s">
        <v>301</v>
      </c>
      <c r="C46" s="138" t="s">
        <v>302</v>
      </c>
      <c r="D46" s="44">
        <v>1212172164.8800001</v>
      </c>
      <c r="E46" s="30">
        <f t="shared" si="20"/>
        <v>4.1007602596666225E-4</v>
      </c>
      <c r="F46" s="31">
        <v>1</v>
      </c>
      <c r="G46" s="31">
        <v>1</v>
      </c>
      <c r="H46" s="46">
        <v>210</v>
      </c>
      <c r="I46" s="53">
        <v>0.1991</v>
      </c>
      <c r="J46" s="53">
        <v>0.1991</v>
      </c>
      <c r="K46" s="44">
        <v>1329028269.21</v>
      </c>
      <c r="L46" s="30">
        <f t="shared" si="19"/>
        <v>4.4960827085890155E-4</v>
      </c>
      <c r="M46" s="31">
        <v>1</v>
      </c>
      <c r="N46" s="31">
        <v>1</v>
      </c>
      <c r="O46" s="46">
        <v>217</v>
      </c>
      <c r="P46" s="53">
        <v>0.21179999999999999</v>
      </c>
      <c r="Q46" s="53">
        <v>0.21179999999999999</v>
      </c>
      <c r="R46" s="56">
        <f t="shared" si="21"/>
        <v>9.6402233705447427E-2</v>
      </c>
      <c r="S46" s="56">
        <f t="shared" si="22"/>
        <v>0</v>
      </c>
      <c r="T46" s="56">
        <f t="shared" si="23"/>
        <v>3.3333333333333333E-2</v>
      </c>
      <c r="U46" s="57">
        <f t="shared" si="24"/>
        <v>1.2699999999999989E-2</v>
      </c>
      <c r="V46" s="58">
        <f t="shared" si="25"/>
        <v>1.2699999999999989E-2</v>
      </c>
    </row>
    <row r="47" spans="1:22">
      <c r="A47" s="136">
        <v>39</v>
      </c>
      <c r="B47" s="137" t="s">
        <v>79</v>
      </c>
      <c r="C47" s="138" t="s">
        <v>80</v>
      </c>
      <c r="D47" s="44">
        <v>928948176.11000001</v>
      </c>
      <c r="E47" s="30">
        <f t="shared" si="20"/>
        <v>3.142617752040852E-4</v>
      </c>
      <c r="F47" s="31">
        <v>10</v>
      </c>
      <c r="G47" s="31">
        <v>10</v>
      </c>
      <c r="H47" s="32">
        <v>457</v>
      </c>
      <c r="I47" s="50">
        <v>0.1668</v>
      </c>
      <c r="J47" s="50">
        <v>0.1668</v>
      </c>
      <c r="K47" s="44">
        <v>925379210.84000003</v>
      </c>
      <c r="L47" s="30">
        <f t="shared" si="19"/>
        <v>3.1305439960420124E-4</v>
      </c>
      <c r="M47" s="31">
        <v>10</v>
      </c>
      <c r="N47" s="31">
        <v>10</v>
      </c>
      <c r="O47" s="32">
        <v>459</v>
      </c>
      <c r="P47" s="50">
        <v>0.16789999999999999</v>
      </c>
      <c r="Q47" s="50">
        <v>0.16789999999999999</v>
      </c>
      <c r="R47" s="56">
        <f t="shared" si="21"/>
        <v>-3.8419422759891045E-3</v>
      </c>
      <c r="S47" s="56">
        <f t="shared" si="22"/>
        <v>0</v>
      </c>
      <c r="T47" s="56">
        <f t="shared" si="23"/>
        <v>4.3763676148796497E-3</v>
      </c>
      <c r="U47" s="57">
        <f t="shared" si="24"/>
        <v>1.0999999999999899E-3</v>
      </c>
      <c r="V47" s="58">
        <f t="shared" si="25"/>
        <v>1.0999999999999899E-3</v>
      </c>
    </row>
    <row r="48" spans="1:22">
      <c r="A48" s="136">
        <v>40</v>
      </c>
      <c r="B48" s="137" t="s">
        <v>81</v>
      </c>
      <c r="C48" s="138" t="s">
        <v>82</v>
      </c>
      <c r="D48" s="44">
        <v>6839216885.9700003</v>
      </c>
      <c r="E48" s="30">
        <f t="shared" si="20"/>
        <v>2.313696818471584E-3</v>
      </c>
      <c r="F48" s="31">
        <v>100</v>
      </c>
      <c r="G48" s="31">
        <v>100</v>
      </c>
      <c r="H48" s="32">
        <v>899</v>
      </c>
      <c r="I48" s="50">
        <v>0.18379999999999999</v>
      </c>
      <c r="J48" s="50">
        <v>0.18379999999999999</v>
      </c>
      <c r="K48" s="44">
        <v>6889159781.6599998</v>
      </c>
      <c r="L48" s="30">
        <f t="shared" si="19"/>
        <v>2.3305924252040237E-3</v>
      </c>
      <c r="M48" s="31">
        <v>100</v>
      </c>
      <c r="N48" s="31">
        <v>100</v>
      </c>
      <c r="O48" s="32">
        <v>911</v>
      </c>
      <c r="P48" s="50">
        <v>0.22739999999999999</v>
      </c>
      <c r="Q48" s="50">
        <v>0.22739999999999999</v>
      </c>
      <c r="R48" s="56">
        <f t="shared" si="21"/>
        <v>7.3024289948243424E-3</v>
      </c>
      <c r="S48" s="56">
        <f t="shared" si="22"/>
        <v>0</v>
      </c>
      <c r="T48" s="56">
        <f t="shared" si="23"/>
        <v>1.3348164627363738E-2</v>
      </c>
      <c r="U48" s="57">
        <f t="shared" si="24"/>
        <v>4.36E-2</v>
      </c>
      <c r="V48" s="58">
        <f t="shared" si="25"/>
        <v>4.36E-2</v>
      </c>
    </row>
    <row r="49" spans="1:22">
      <c r="A49" s="136">
        <v>41</v>
      </c>
      <c r="B49" s="137" t="s">
        <v>83</v>
      </c>
      <c r="C49" s="137" t="s">
        <v>84</v>
      </c>
      <c r="D49" s="132">
        <v>98061783.231932253</v>
      </c>
      <c r="E49" s="30">
        <f>(D49/$D$191)</f>
        <v>1.6198598952688497E-3</v>
      </c>
      <c r="F49" s="33">
        <v>1</v>
      </c>
      <c r="G49" s="33">
        <v>1</v>
      </c>
      <c r="H49" s="32">
        <v>87</v>
      </c>
      <c r="I49" s="50">
        <v>0.17460000000000001</v>
      </c>
      <c r="J49" s="50">
        <v>0.17460000000000001</v>
      </c>
      <c r="K49" s="132">
        <v>97691777.505538419</v>
      </c>
      <c r="L49" s="54">
        <f>(K49/$K$191)</f>
        <v>1.6057340674772488E-3</v>
      </c>
      <c r="M49" s="33">
        <v>1</v>
      </c>
      <c r="N49" s="33">
        <v>1</v>
      </c>
      <c r="O49" s="32">
        <v>89</v>
      </c>
      <c r="P49" s="50">
        <v>0.17460000000000001</v>
      </c>
      <c r="Q49" s="50">
        <v>0.17460000000000001</v>
      </c>
      <c r="R49" s="57">
        <f t="shared" si="21"/>
        <v>-3.7731898625452216E-3</v>
      </c>
      <c r="S49" s="57">
        <f t="shared" si="22"/>
        <v>0</v>
      </c>
      <c r="T49" s="57">
        <f t="shared" si="23"/>
        <v>2.2988505747126436E-2</v>
      </c>
      <c r="U49" s="57">
        <f t="shared" si="24"/>
        <v>0</v>
      </c>
      <c r="V49" s="58">
        <f t="shared" si="25"/>
        <v>0</v>
      </c>
    </row>
    <row r="50" spans="1:22">
      <c r="A50" s="136">
        <v>42</v>
      </c>
      <c r="B50" s="137" t="s">
        <v>288</v>
      </c>
      <c r="C50" s="138" t="s">
        <v>37</v>
      </c>
      <c r="D50" s="44">
        <v>403703005.95999998</v>
      </c>
      <c r="E50" s="30">
        <f t="shared" ref="E50" si="28">(D50/$K$70)</f>
        <v>1.3657212164351357E-4</v>
      </c>
      <c r="F50" s="31">
        <v>100</v>
      </c>
      <c r="G50" s="31">
        <v>100</v>
      </c>
      <c r="H50" s="32">
        <v>1856</v>
      </c>
      <c r="I50" s="50">
        <v>0.18809999999999999</v>
      </c>
      <c r="J50" s="50">
        <v>0.18809999999999999</v>
      </c>
      <c r="K50" s="44">
        <v>396129430.91000003</v>
      </c>
      <c r="L50" s="30">
        <f t="shared" ref="L50" si="29">(K50/$K$70)</f>
        <v>1.3400999255917538E-4</v>
      </c>
      <c r="M50" s="31">
        <v>100</v>
      </c>
      <c r="N50" s="31">
        <v>100</v>
      </c>
      <c r="O50" s="32">
        <v>1857</v>
      </c>
      <c r="P50" s="50">
        <v>0.18920000000000001</v>
      </c>
      <c r="Q50" s="50">
        <v>0.18920000000000001</v>
      </c>
      <c r="R50" s="56">
        <f t="shared" ref="R50" si="30">((K50-D50)/D50)</f>
        <v>-1.8760264199643745E-2</v>
      </c>
      <c r="S50" s="56">
        <f t="shared" ref="S50" si="31">((N50-G50)/G50)</f>
        <v>0</v>
      </c>
      <c r="T50" s="56">
        <f t="shared" ref="T50" si="32">((O50-H50)/H50)</f>
        <v>5.3879310344827585E-4</v>
      </c>
      <c r="U50" s="57">
        <f t="shared" ref="U50" si="33">P50-I50</f>
        <v>1.1000000000000176E-3</v>
      </c>
      <c r="V50" s="58">
        <f t="shared" ref="V50" si="34">Q50-J50</f>
        <v>1.1000000000000176E-3</v>
      </c>
    </row>
    <row r="51" spans="1:22">
      <c r="A51" s="136">
        <v>43</v>
      </c>
      <c r="B51" s="137" t="s">
        <v>85</v>
      </c>
      <c r="C51" s="138" t="s">
        <v>37</v>
      </c>
      <c r="D51" s="44">
        <v>84169650022.580002</v>
      </c>
      <c r="E51" s="30">
        <f t="shared" si="20"/>
        <v>2.8474466406907904E-2</v>
      </c>
      <c r="F51" s="31">
        <v>100</v>
      </c>
      <c r="G51" s="31">
        <v>100</v>
      </c>
      <c r="H51" s="32">
        <v>11758</v>
      </c>
      <c r="I51" s="50">
        <v>0.19889999999999999</v>
      </c>
      <c r="J51" s="50">
        <v>0.19889999999999999</v>
      </c>
      <c r="K51" s="44">
        <v>85046684321.539993</v>
      </c>
      <c r="L51" s="30">
        <f t="shared" si="19"/>
        <v>2.8771165795306725E-2</v>
      </c>
      <c r="M51" s="31">
        <v>100</v>
      </c>
      <c r="N51" s="31">
        <v>100</v>
      </c>
      <c r="O51" s="32">
        <v>11974</v>
      </c>
      <c r="P51" s="50">
        <v>0.1951</v>
      </c>
      <c r="Q51" s="50">
        <v>0.1951</v>
      </c>
      <c r="R51" s="56">
        <f t="shared" si="21"/>
        <v>1.0419840152890162E-2</v>
      </c>
      <c r="S51" s="56">
        <f t="shared" si="22"/>
        <v>0</v>
      </c>
      <c r="T51" s="56">
        <f t="shared" si="23"/>
        <v>1.8370471168566084E-2</v>
      </c>
      <c r="U51" s="57">
        <f t="shared" si="24"/>
        <v>-3.7999999999999978E-3</v>
      </c>
      <c r="V51" s="58">
        <f t="shared" si="25"/>
        <v>-3.7999999999999978E-3</v>
      </c>
    </row>
    <row r="52" spans="1:22">
      <c r="A52" s="136">
        <v>44</v>
      </c>
      <c r="B52" s="137" t="s">
        <v>86</v>
      </c>
      <c r="C52" s="138" t="s">
        <v>41</v>
      </c>
      <c r="D52" s="44">
        <v>18455755624.689999</v>
      </c>
      <c r="E52" s="30">
        <f t="shared" si="20"/>
        <v>6.243554457079927E-3</v>
      </c>
      <c r="F52" s="31">
        <v>1</v>
      </c>
      <c r="G52" s="31">
        <v>1</v>
      </c>
      <c r="H52" s="32">
        <v>1691</v>
      </c>
      <c r="I52" s="50">
        <v>0.2089</v>
      </c>
      <c r="J52" s="50">
        <v>0.2089</v>
      </c>
      <c r="K52" s="44">
        <v>20071947595.75</v>
      </c>
      <c r="L52" s="30">
        <f t="shared" si="19"/>
        <v>6.7903097777295496E-3</v>
      </c>
      <c r="M52" s="31">
        <v>1</v>
      </c>
      <c r="N52" s="31">
        <v>1</v>
      </c>
      <c r="O52" s="32">
        <v>1720</v>
      </c>
      <c r="P52" s="50">
        <v>0.20069999999999999</v>
      </c>
      <c r="Q52" s="50">
        <v>0.20069999999999999</v>
      </c>
      <c r="R52" s="56">
        <f t="shared" si="21"/>
        <v>8.757116229355949E-2</v>
      </c>
      <c r="S52" s="56">
        <f t="shared" si="22"/>
        <v>0</v>
      </c>
      <c r="T52" s="56">
        <f t="shared" si="23"/>
        <v>1.7149615612063868E-2</v>
      </c>
      <c r="U52" s="57">
        <f t="shared" si="24"/>
        <v>-8.2000000000000128E-3</v>
      </c>
      <c r="V52" s="58">
        <f t="shared" si="25"/>
        <v>-8.2000000000000128E-3</v>
      </c>
    </row>
    <row r="53" spans="1:22">
      <c r="A53" s="136">
        <v>45</v>
      </c>
      <c r="B53" s="137" t="s">
        <v>312</v>
      </c>
      <c r="C53" s="138" t="s">
        <v>311</v>
      </c>
      <c r="D53" s="44">
        <v>1688734439.9075112</v>
      </c>
      <c r="E53" s="30">
        <f t="shared" si="20"/>
        <v>5.7129632909766156E-4</v>
      </c>
      <c r="F53" s="31">
        <v>100</v>
      </c>
      <c r="G53" s="31">
        <v>100</v>
      </c>
      <c r="H53" s="32">
        <v>133</v>
      </c>
      <c r="I53" s="50">
        <v>0.21149999999999999</v>
      </c>
      <c r="J53" s="50">
        <v>0.21149999999999999</v>
      </c>
      <c r="K53" s="44">
        <v>1675165014.1626556</v>
      </c>
      <c r="L53" s="30">
        <f t="shared" si="19"/>
        <v>5.6670581271284508E-4</v>
      </c>
      <c r="M53" s="31">
        <v>100</v>
      </c>
      <c r="N53" s="31">
        <v>100</v>
      </c>
      <c r="O53" s="32">
        <v>136</v>
      </c>
      <c r="P53" s="50">
        <v>0.21329999999999999</v>
      </c>
      <c r="Q53" s="50">
        <v>0.21329999999999999</v>
      </c>
      <c r="R53" s="56">
        <f t="shared" si="21"/>
        <v>-8.0352632268213906E-3</v>
      </c>
      <c r="S53" s="56">
        <f t="shared" si="22"/>
        <v>0</v>
      </c>
      <c r="T53" s="56">
        <f t="shared" si="23"/>
        <v>2.2556390977443608E-2</v>
      </c>
      <c r="U53" s="57">
        <f t="shared" si="24"/>
        <v>1.799999999999996E-3</v>
      </c>
      <c r="V53" s="58">
        <f t="shared" si="25"/>
        <v>1.799999999999996E-3</v>
      </c>
    </row>
    <row r="54" spans="1:22">
      <c r="A54" s="136">
        <v>46</v>
      </c>
      <c r="B54" s="137" t="s">
        <v>87</v>
      </c>
      <c r="C54" s="138" t="s">
        <v>43</v>
      </c>
      <c r="D54" s="47">
        <v>41103061526.699997</v>
      </c>
      <c r="E54" s="30">
        <f t="shared" si="20"/>
        <v>1.3905104088577182E-2</v>
      </c>
      <c r="F54" s="31">
        <v>10</v>
      </c>
      <c r="G54" s="31">
        <v>10</v>
      </c>
      <c r="H54" s="32">
        <v>4623</v>
      </c>
      <c r="I54" s="50">
        <v>0.2185</v>
      </c>
      <c r="J54" s="50">
        <v>0.2185</v>
      </c>
      <c r="K54" s="47">
        <v>42621819392.910004</v>
      </c>
      <c r="L54" s="30">
        <f t="shared" si="19"/>
        <v>1.4418897597639207E-2</v>
      </c>
      <c r="M54" s="31">
        <v>10</v>
      </c>
      <c r="N54" s="31">
        <v>10</v>
      </c>
      <c r="O54" s="32">
        <v>4672</v>
      </c>
      <c r="P54" s="50">
        <v>0.2205</v>
      </c>
      <c r="Q54" s="50">
        <v>0.2205</v>
      </c>
      <c r="R54" s="56">
        <f t="shared" si="21"/>
        <v>3.6949993742520663E-2</v>
      </c>
      <c r="S54" s="56">
        <f t="shared" si="22"/>
        <v>0</v>
      </c>
      <c r="T54" s="56">
        <f t="shared" si="23"/>
        <v>1.0599178022928835E-2</v>
      </c>
      <c r="U54" s="57">
        <f t="shared" si="24"/>
        <v>2.0000000000000018E-3</v>
      </c>
      <c r="V54" s="58">
        <f t="shared" si="25"/>
        <v>2.0000000000000018E-3</v>
      </c>
    </row>
    <row r="55" spans="1:22">
      <c r="A55" s="136">
        <v>47</v>
      </c>
      <c r="B55" s="137" t="s">
        <v>88</v>
      </c>
      <c r="C55" s="138" t="s">
        <v>89</v>
      </c>
      <c r="D55" s="44">
        <v>19652206534</v>
      </c>
      <c r="E55" s="30">
        <f t="shared" si="20"/>
        <v>6.6483120058581698E-3</v>
      </c>
      <c r="F55" s="31">
        <v>100</v>
      </c>
      <c r="G55" s="31">
        <v>100</v>
      </c>
      <c r="H55" s="32">
        <v>4073</v>
      </c>
      <c r="I55" s="50">
        <v>0.21529999999999999</v>
      </c>
      <c r="J55" s="50">
        <v>0.21529999999999999</v>
      </c>
      <c r="K55" s="44">
        <v>19765470134</v>
      </c>
      <c r="L55" s="30">
        <f t="shared" si="19"/>
        <v>6.6866289119218193E-3</v>
      </c>
      <c r="M55" s="31">
        <v>100</v>
      </c>
      <c r="N55" s="31">
        <v>100</v>
      </c>
      <c r="O55" s="32">
        <v>4106</v>
      </c>
      <c r="P55" s="50">
        <v>0.21529999999999999</v>
      </c>
      <c r="Q55" s="50">
        <v>0.21529999999999999</v>
      </c>
      <c r="R55" s="56">
        <f t="shared" si="21"/>
        <v>5.7634037075706629E-3</v>
      </c>
      <c r="S55" s="56">
        <f t="shared" si="22"/>
        <v>0</v>
      </c>
      <c r="T55" s="56">
        <f t="shared" si="23"/>
        <v>8.1021360176773884E-3</v>
      </c>
      <c r="U55" s="57">
        <f t="shared" si="24"/>
        <v>0</v>
      </c>
      <c r="V55" s="58">
        <f t="shared" si="25"/>
        <v>0</v>
      </c>
    </row>
    <row r="56" spans="1:22">
      <c r="A56" s="136">
        <v>48</v>
      </c>
      <c r="B56" s="137" t="s">
        <v>90</v>
      </c>
      <c r="C56" s="138" t="s">
        <v>91</v>
      </c>
      <c r="D56" s="44">
        <v>265833332.09</v>
      </c>
      <c r="E56" s="30">
        <f t="shared" si="20"/>
        <v>8.993101768158065E-5</v>
      </c>
      <c r="F56" s="31">
        <v>1</v>
      </c>
      <c r="G56" s="31">
        <v>1</v>
      </c>
      <c r="H56" s="32">
        <v>93</v>
      </c>
      <c r="I56" s="50">
        <v>0.1845</v>
      </c>
      <c r="J56" s="50">
        <v>0.1845</v>
      </c>
      <c r="K56" s="44">
        <v>265833332.09</v>
      </c>
      <c r="L56" s="30">
        <f t="shared" si="19"/>
        <v>8.993101768158065E-5</v>
      </c>
      <c r="M56" s="31">
        <v>1</v>
      </c>
      <c r="N56" s="31">
        <v>1</v>
      </c>
      <c r="O56" s="32">
        <v>93</v>
      </c>
      <c r="P56" s="50">
        <v>0.1845</v>
      </c>
      <c r="Q56" s="50">
        <v>0.1845</v>
      </c>
      <c r="R56" s="56">
        <f t="shared" si="21"/>
        <v>0</v>
      </c>
      <c r="S56" s="56">
        <f t="shared" si="22"/>
        <v>0</v>
      </c>
      <c r="T56" s="56">
        <f t="shared" si="23"/>
        <v>0</v>
      </c>
      <c r="U56" s="57">
        <f t="shared" si="24"/>
        <v>0</v>
      </c>
      <c r="V56" s="58">
        <f t="shared" si="25"/>
        <v>0</v>
      </c>
    </row>
    <row r="57" spans="1:22">
      <c r="A57" s="136">
        <v>49</v>
      </c>
      <c r="B57" s="137" t="s">
        <v>92</v>
      </c>
      <c r="C57" s="138" t="s">
        <v>45</v>
      </c>
      <c r="D57" s="47">
        <v>1340407336.8</v>
      </c>
      <c r="E57" s="30">
        <f t="shared" si="20"/>
        <v>4.5345779236393889E-4</v>
      </c>
      <c r="F57" s="31">
        <v>10</v>
      </c>
      <c r="G57" s="31">
        <v>10</v>
      </c>
      <c r="H57" s="32">
        <v>802</v>
      </c>
      <c r="I57" s="50">
        <v>3.2800000000000003E-2</v>
      </c>
      <c r="J57" s="50">
        <v>0.17560000000000001</v>
      </c>
      <c r="K57" s="47">
        <v>1352261971.55</v>
      </c>
      <c r="L57" s="30">
        <f t="shared" si="19"/>
        <v>4.574681975261854E-4</v>
      </c>
      <c r="M57" s="31">
        <v>10</v>
      </c>
      <c r="N57" s="31">
        <v>10</v>
      </c>
      <c r="O57" s="32">
        <v>803</v>
      </c>
      <c r="P57" s="50">
        <v>0.1827</v>
      </c>
      <c r="Q57" s="50">
        <v>0.1827</v>
      </c>
      <c r="R57" s="56">
        <f t="shared" si="21"/>
        <v>8.8440539114781128E-3</v>
      </c>
      <c r="S57" s="56">
        <f t="shared" si="22"/>
        <v>0</v>
      </c>
      <c r="T57" s="56">
        <f t="shared" si="23"/>
        <v>1.2468827930174563E-3</v>
      </c>
      <c r="U57" s="57">
        <f t="shared" si="24"/>
        <v>0.14990000000000001</v>
      </c>
      <c r="V57" s="58">
        <f t="shared" si="25"/>
        <v>7.0999999999999952E-3</v>
      </c>
    </row>
    <row r="58" spans="1:22">
      <c r="A58" s="136">
        <v>50</v>
      </c>
      <c r="B58" s="137" t="s">
        <v>93</v>
      </c>
      <c r="C58" s="138" t="s">
        <v>94</v>
      </c>
      <c r="D58" s="47">
        <v>795255885</v>
      </c>
      <c r="E58" s="30">
        <f t="shared" si="20"/>
        <v>2.6903387356670163E-4</v>
      </c>
      <c r="F58" s="31">
        <v>1</v>
      </c>
      <c r="G58" s="31">
        <v>1</v>
      </c>
      <c r="H58" s="32">
        <v>79</v>
      </c>
      <c r="I58" s="50">
        <v>0.20080000000000001</v>
      </c>
      <c r="J58" s="50">
        <v>0.20080000000000001</v>
      </c>
      <c r="K58" s="47">
        <v>796300885</v>
      </c>
      <c r="L58" s="30">
        <f t="shared" si="19"/>
        <v>2.6938739549993098E-4</v>
      </c>
      <c r="M58" s="31">
        <v>1</v>
      </c>
      <c r="N58" s="31">
        <v>1</v>
      </c>
      <c r="O58" s="32">
        <v>79</v>
      </c>
      <c r="P58" s="50">
        <v>0.2006</v>
      </c>
      <c r="Q58" s="50">
        <v>0.2006</v>
      </c>
      <c r="R58" s="56">
        <f t="shared" si="21"/>
        <v>1.3140424606854686E-3</v>
      </c>
      <c r="S58" s="56">
        <f t="shared" si="22"/>
        <v>0</v>
      </c>
      <c r="T58" s="56">
        <f t="shared" si="23"/>
        <v>0</v>
      </c>
      <c r="U58" s="57">
        <f t="shared" si="24"/>
        <v>-2.0000000000000573E-4</v>
      </c>
      <c r="V58" s="58">
        <f t="shared" si="25"/>
        <v>-2.0000000000000573E-4</v>
      </c>
    </row>
    <row r="59" spans="1:22">
      <c r="A59" s="136">
        <v>51</v>
      </c>
      <c r="B59" s="137" t="s">
        <v>307</v>
      </c>
      <c r="C59" s="138" t="s">
        <v>306</v>
      </c>
      <c r="D59" s="47">
        <v>529860164.56999999</v>
      </c>
      <c r="E59" s="30">
        <f t="shared" si="20"/>
        <v>1.7925089925358693E-4</v>
      </c>
      <c r="F59" s="31">
        <v>1</v>
      </c>
      <c r="G59" s="31">
        <v>1</v>
      </c>
      <c r="H59" s="32">
        <v>326</v>
      </c>
      <c r="I59" s="50">
        <v>0.183</v>
      </c>
      <c r="J59" s="50">
        <v>0.183</v>
      </c>
      <c r="K59" s="47">
        <v>483823275.82999998</v>
      </c>
      <c r="L59" s="30">
        <f t="shared" si="19"/>
        <v>1.6367668881604771E-4</v>
      </c>
      <c r="M59" s="31">
        <v>1</v>
      </c>
      <c r="N59" s="31">
        <v>1</v>
      </c>
      <c r="O59" s="32">
        <v>358</v>
      </c>
      <c r="P59" s="50">
        <v>0.1784</v>
      </c>
      <c r="Q59" s="50">
        <v>0.1784</v>
      </c>
      <c r="R59" s="56">
        <f t="shared" si="21"/>
        <v>-8.6884977996714574E-2</v>
      </c>
      <c r="S59" s="56">
        <f t="shared" si="22"/>
        <v>0</v>
      </c>
      <c r="T59" s="56">
        <f t="shared" si="23"/>
        <v>9.815950920245399E-2</v>
      </c>
      <c r="U59" s="57">
        <f t="shared" si="24"/>
        <v>-4.599999999999993E-3</v>
      </c>
      <c r="V59" s="58">
        <f t="shared" si="25"/>
        <v>-4.599999999999993E-3</v>
      </c>
    </row>
    <row r="60" spans="1:22">
      <c r="A60" s="136">
        <v>52</v>
      </c>
      <c r="B60" s="137" t="s">
        <v>95</v>
      </c>
      <c r="C60" s="138" t="s">
        <v>96</v>
      </c>
      <c r="D60" s="47">
        <v>11204492943.966299</v>
      </c>
      <c r="E60" s="30">
        <f t="shared" si="20"/>
        <v>3.7904631640242811E-3</v>
      </c>
      <c r="F60" s="31">
        <v>100</v>
      </c>
      <c r="G60" s="31">
        <v>100</v>
      </c>
      <c r="H60" s="32">
        <v>118</v>
      </c>
      <c r="I60" s="50">
        <v>0.20860000000000001</v>
      </c>
      <c r="J60" s="50">
        <v>0.20860000000000001</v>
      </c>
      <c r="K60" s="47">
        <v>11282947834.722401</v>
      </c>
      <c r="L60" s="30">
        <f t="shared" si="19"/>
        <v>3.8170043359394899E-3</v>
      </c>
      <c r="M60" s="31">
        <v>100</v>
      </c>
      <c r="N60" s="31">
        <v>100</v>
      </c>
      <c r="O60" s="32">
        <v>122</v>
      </c>
      <c r="P60" s="50">
        <v>0.20810000000000001</v>
      </c>
      <c r="Q60" s="50">
        <v>0.20810000000000001</v>
      </c>
      <c r="R60" s="56">
        <f t="shared" si="21"/>
        <v>7.0020920311570315E-3</v>
      </c>
      <c r="S60" s="56">
        <f t="shared" si="22"/>
        <v>0</v>
      </c>
      <c r="T60" s="56">
        <f t="shared" si="23"/>
        <v>3.3898305084745763E-2</v>
      </c>
      <c r="U60" s="57">
        <f t="shared" si="24"/>
        <v>-5.0000000000000044E-4</v>
      </c>
      <c r="V60" s="58">
        <f t="shared" si="25"/>
        <v>-5.0000000000000044E-4</v>
      </c>
    </row>
    <row r="61" spans="1:22">
      <c r="A61" s="136">
        <v>53</v>
      </c>
      <c r="B61" s="137" t="s">
        <v>97</v>
      </c>
      <c r="C61" s="138" t="s">
        <v>98</v>
      </c>
      <c r="D61" s="47">
        <v>51743000</v>
      </c>
      <c r="E61" s="30">
        <f t="shared" si="20"/>
        <v>1.7504579321612746E-5</v>
      </c>
      <c r="F61" s="31">
        <v>1000</v>
      </c>
      <c r="G61" s="31">
        <v>1000</v>
      </c>
      <c r="H61" s="32">
        <v>23</v>
      </c>
      <c r="I61" s="50">
        <v>0.17100000000000001</v>
      </c>
      <c r="J61" s="50">
        <v>0.17100000000000001</v>
      </c>
      <c r="K61" s="47">
        <v>51743000</v>
      </c>
      <c r="L61" s="30">
        <f t="shared" si="19"/>
        <v>1.7504579321612746E-5</v>
      </c>
      <c r="M61" s="31">
        <v>1000</v>
      </c>
      <c r="N61" s="31">
        <v>1000</v>
      </c>
      <c r="O61" s="32">
        <v>23</v>
      </c>
      <c r="P61" s="50">
        <v>0.17499999999999999</v>
      </c>
      <c r="Q61" s="50">
        <v>0.17499999999999999</v>
      </c>
      <c r="R61" s="56">
        <f t="shared" si="21"/>
        <v>0</v>
      </c>
      <c r="S61" s="56">
        <f t="shared" si="22"/>
        <v>0</v>
      </c>
      <c r="T61" s="56">
        <f t="shared" si="23"/>
        <v>0</v>
      </c>
      <c r="U61" s="57">
        <f t="shared" si="24"/>
        <v>3.9999999999999758E-3</v>
      </c>
      <c r="V61" s="58">
        <f t="shared" si="25"/>
        <v>3.9999999999999758E-3</v>
      </c>
    </row>
    <row r="62" spans="1:22">
      <c r="A62" s="136">
        <v>54</v>
      </c>
      <c r="B62" s="137" t="s">
        <v>99</v>
      </c>
      <c r="C62" s="138" t="s">
        <v>49</v>
      </c>
      <c r="D62" s="44">
        <v>1401947247388.6799</v>
      </c>
      <c r="E62" s="30">
        <f t="shared" si="20"/>
        <v>0.47427665184917367</v>
      </c>
      <c r="F62" s="31">
        <v>100</v>
      </c>
      <c r="G62" s="31">
        <v>100</v>
      </c>
      <c r="H62" s="32">
        <v>180712</v>
      </c>
      <c r="I62" s="50">
        <v>0.20599999999999999</v>
      </c>
      <c r="J62" s="50">
        <v>0.20599999999999999</v>
      </c>
      <c r="K62" s="44">
        <v>1428738475266.27</v>
      </c>
      <c r="L62" s="30">
        <f t="shared" si="19"/>
        <v>0.48334008407201889</v>
      </c>
      <c r="M62" s="31">
        <v>100</v>
      </c>
      <c r="N62" s="31">
        <v>100</v>
      </c>
      <c r="O62" s="32">
        <v>182555</v>
      </c>
      <c r="P62" s="50">
        <v>0.20430000000000001</v>
      </c>
      <c r="Q62" s="50">
        <v>0.20430000000000001</v>
      </c>
      <c r="R62" s="56">
        <f t="shared" si="21"/>
        <v>1.9110011398426326E-2</v>
      </c>
      <c r="S62" s="56">
        <f t="shared" si="22"/>
        <v>0</v>
      </c>
      <c r="T62" s="56">
        <f t="shared" si="23"/>
        <v>1.0198547965824074E-2</v>
      </c>
      <c r="U62" s="57">
        <f t="shared" si="24"/>
        <v>-1.6999999999999793E-3</v>
      </c>
      <c r="V62" s="58">
        <f t="shared" si="25"/>
        <v>-1.6999999999999793E-3</v>
      </c>
    </row>
    <row r="63" spans="1:22">
      <c r="A63" s="136">
        <v>55</v>
      </c>
      <c r="B63" s="137" t="s">
        <v>100</v>
      </c>
      <c r="C63" s="137" t="s">
        <v>101</v>
      </c>
      <c r="D63" s="44">
        <v>3477082039.8499999</v>
      </c>
      <c r="E63" s="30">
        <f t="shared" si="20"/>
        <v>1.1762916408849385E-3</v>
      </c>
      <c r="F63" s="31">
        <v>100</v>
      </c>
      <c r="G63" s="31">
        <v>100</v>
      </c>
      <c r="H63" s="32">
        <v>580</v>
      </c>
      <c r="I63" s="50">
        <v>0.21240000000000001</v>
      </c>
      <c r="J63" s="50">
        <v>0.21240000000000001</v>
      </c>
      <c r="K63" s="44">
        <v>3522050213.8200002</v>
      </c>
      <c r="L63" s="30">
        <f t="shared" si="19"/>
        <v>1.1915043067181131E-3</v>
      </c>
      <c r="M63" s="31">
        <v>100</v>
      </c>
      <c r="N63" s="31">
        <v>100</v>
      </c>
      <c r="O63" s="32">
        <v>580</v>
      </c>
      <c r="P63" s="50">
        <v>0.2135</v>
      </c>
      <c r="Q63" s="50">
        <v>0.2135</v>
      </c>
      <c r="R63" s="56">
        <f t="shared" si="21"/>
        <v>1.2932733094770516E-2</v>
      </c>
      <c r="S63" s="56">
        <f t="shared" si="22"/>
        <v>0</v>
      </c>
      <c r="T63" s="56">
        <f t="shared" si="23"/>
        <v>0</v>
      </c>
      <c r="U63" s="57">
        <f t="shared" si="24"/>
        <v>1.0999999999999899E-3</v>
      </c>
      <c r="V63" s="58">
        <f t="shared" si="25"/>
        <v>1.0999999999999899E-3</v>
      </c>
    </row>
    <row r="64" spans="1:22">
      <c r="A64" s="136">
        <v>56</v>
      </c>
      <c r="B64" s="137" t="s">
        <v>102</v>
      </c>
      <c r="C64" s="138" t="s">
        <v>103</v>
      </c>
      <c r="D64" s="44">
        <v>4575264634.4200001</v>
      </c>
      <c r="E64" s="30">
        <f t="shared" si="20"/>
        <v>1.547805166120527E-3</v>
      </c>
      <c r="F64" s="31">
        <v>1</v>
      </c>
      <c r="G64" s="31">
        <v>1</v>
      </c>
      <c r="H64" s="32">
        <v>477</v>
      </c>
      <c r="I64" s="50">
        <v>0.225657</v>
      </c>
      <c r="J64" s="50">
        <v>0.225657</v>
      </c>
      <c r="K64" s="44">
        <v>4668229792.4099998</v>
      </c>
      <c r="L64" s="30">
        <f t="shared" si="19"/>
        <v>1.5792551396856898E-3</v>
      </c>
      <c r="M64" s="31">
        <v>1</v>
      </c>
      <c r="N64" s="31">
        <v>1</v>
      </c>
      <c r="O64" s="32">
        <v>481</v>
      </c>
      <c r="P64" s="50">
        <v>0.224028</v>
      </c>
      <c r="Q64" s="50">
        <v>0.224028</v>
      </c>
      <c r="R64" s="56">
        <f t="shared" si="21"/>
        <v>2.0319077784182606E-2</v>
      </c>
      <c r="S64" s="56">
        <f t="shared" si="22"/>
        <v>0</v>
      </c>
      <c r="T64" s="56">
        <f t="shared" si="23"/>
        <v>8.385744234800839E-3</v>
      </c>
      <c r="U64" s="57">
        <f t="shared" si="24"/>
        <v>-1.6289999999999916E-3</v>
      </c>
      <c r="V64" s="58">
        <f t="shared" si="25"/>
        <v>-1.6289999999999916E-3</v>
      </c>
    </row>
    <row r="65" spans="1:22">
      <c r="A65" s="136">
        <v>57</v>
      </c>
      <c r="B65" s="137" t="s">
        <v>104</v>
      </c>
      <c r="C65" s="138" t="s">
        <v>52</v>
      </c>
      <c r="D65" s="44">
        <v>134119267711.16</v>
      </c>
      <c r="E65" s="30">
        <f t="shared" si="20"/>
        <v>4.5372347181389085E-2</v>
      </c>
      <c r="F65" s="31">
        <v>1</v>
      </c>
      <c r="G65" s="31">
        <v>1</v>
      </c>
      <c r="H65" s="32">
        <v>55162</v>
      </c>
      <c r="I65" s="50">
        <v>0.2006</v>
      </c>
      <c r="J65" s="50">
        <v>0.2006</v>
      </c>
      <c r="K65" s="44">
        <v>137969375191.45999</v>
      </c>
      <c r="L65" s="30">
        <f t="shared" si="19"/>
        <v>4.6674832769500435E-2</v>
      </c>
      <c r="M65" s="31">
        <v>1</v>
      </c>
      <c r="N65" s="31">
        <v>1</v>
      </c>
      <c r="O65" s="32">
        <v>55773</v>
      </c>
      <c r="P65" s="50">
        <v>0.19789999999999999</v>
      </c>
      <c r="Q65" s="50">
        <v>0.19789999999999999</v>
      </c>
      <c r="R65" s="56">
        <f t="shared" si="21"/>
        <v>2.870659485400413E-2</v>
      </c>
      <c r="S65" s="56">
        <f t="shared" si="22"/>
        <v>0</v>
      </c>
      <c r="T65" s="56">
        <f t="shared" si="23"/>
        <v>1.1076465682897647E-2</v>
      </c>
      <c r="U65" s="57">
        <f t="shared" si="24"/>
        <v>-2.7000000000000079E-3</v>
      </c>
      <c r="V65" s="58">
        <f t="shared" si="25"/>
        <v>-2.7000000000000079E-3</v>
      </c>
    </row>
    <row r="66" spans="1:22">
      <c r="A66" s="136">
        <v>58</v>
      </c>
      <c r="B66" s="137" t="s">
        <v>314</v>
      </c>
      <c r="C66" s="138" t="s">
        <v>105</v>
      </c>
      <c r="D66" s="44">
        <v>1481493179.7</v>
      </c>
      <c r="E66" s="30">
        <f t="shared" si="20"/>
        <v>5.0118692148671195E-4</v>
      </c>
      <c r="F66" s="31">
        <v>1</v>
      </c>
      <c r="G66" s="31">
        <v>1</v>
      </c>
      <c r="H66" s="32">
        <v>153</v>
      </c>
      <c r="I66" s="50">
        <v>0.1991</v>
      </c>
      <c r="J66" s="50">
        <v>0.1991</v>
      </c>
      <c r="K66" s="44">
        <v>1488338733.5600002</v>
      </c>
      <c r="L66" s="30">
        <f t="shared" si="19"/>
        <v>5.0350276209399692E-4</v>
      </c>
      <c r="M66" s="31">
        <v>1</v>
      </c>
      <c r="N66" s="31">
        <v>1</v>
      </c>
      <c r="O66" s="32">
        <v>155</v>
      </c>
      <c r="P66" s="50">
        <v>0.20399999999999999</v>
      </c>
      <c r="Q66" s="50">
        <v>0.20399999999999999</v>
      </c>
      <c r="R66" s="56">
        <f t="shared" si="21"/>
        <v>4.6207123689805622E-3</v>
      </c>
      <c r="S66" s="56">
        <f t="shared" si="22"/>
        <v>0</v>
      </c>
      <c r="T66" s="56">
        <f t="shared" si="23"/>
        <v>1.3071895424836602E-2</v>
      </c>
      <c r="U66" s="57">
        <f t="shared" si="24"/>
        <v>4.8999999999999877E-3</v>
      </c>
      <c r="V66" s="58">
        <f t="shared" si="25"/>
        <v>4.8999999999999877E-3</v>
      </c>
    </row>
    <row r="67" spans="1:22">
      <c r="A67" s="136">
        <v>59</v>
      </c>
      <c r="B67" s="137" t="s">
        <v>106</v>
      </c>
      <c r="C67" s="138" t="s">
        <v>107</v>
      </c>
      <c r="D67" s="44">
        <v>4640574279.0900002</v>
      </c>
      <c r="E67" s="30">
        <f t="shared" si="20"/>
        <v>1.5698993209935022E-3</v>
      </c>
      <c r="F67" s="31">
        <v>1</v>
      </c>
      <c r="G67" s="31">
        <v>1</v>
      </c>
      <c r="H67" s="32">
        <v>416</v>
      </c>
      <c r="I67" s="50">
        <v>0.20200000000000001</v>
      </c>
      <c r="J67" s="50">
        <v>0.20200000000000001</v>
      </c>
      <c r="K67" s="44">
        <v>4598037990.4099998</v>
      </c>
      <c r="L67" s="30">
        <f t="shared" si="19"/>
        <v>1.5555093583078041E-3</v>
      </c>
      <c r="M67" s="31">
        <v>1</v>
      </c>
      <c r="N67" s="31">
        <v>1</v>
      </c>
      <c r="O67" s="32">
        <v>419</v>
      </c>
      <c r="P67" s="50">
        <v>0.20630000000000001</v>
      </c>
      <c r="Q67" s="50">
        <v>0.20630000000000001</v>
      </c>
      <c r="R67" s="56">
        <f t="shared" si="21"/>
        <v>-9.1661691251586908E-3</v>
      </c>
      <c r="S67" s="56">
        <f t="shared" si="22"/>
        <v>0</v>
      </c>
      <c r="T67" s="56">
        <f t="shared" si="23"/>
        <v>7.2115384615384619E-3</v>
      </c>
      <c r="U67" s="57">
        <f t="shared" si="24"/>
        <v>4.2999999999999983E-3</v>
      </c>
      <c r="V67" s="58">
        <f t="shared" si="25"/>
        <v>4.2999999999999983E-3</v>
      </c>
    </row>
    <row r="68" spans="1:22">
      <c r="A68" s="136">
        <v>60</v>
      </c>
      <c r="B68" s="137" t="s">
        <v>108</v>
      </c>
      <c r="C68" s="138" t="s">
        <v>109</v>
      </c>
      <c r="D68" s="44">
        <v>6365965350.2399998</v>
      </c>
      <c r="E68" s="30">
        <f t="shared" si="20"/>
        <v>2.1535965334811345E-3</v>
      </c>
      <c r="F68" s="31">
        <v>1</v>
      </c>
      <c r="G68" s="31">
        <v>1</v>
      </c>
      <c r="H68" s="32">
        <v>3476</v>
      </c>
      <c r="I68" s="50">
        <v>0.22839999999999999</v>
      </c>
      <c r="J68" s="50">
        <v>0.22839999999999999</v>
      </c>
      <c r="K68" s="44">
        <v>6771511986.5</v>
      </c>
      <c r="L68" s="30">
        <f t="shared" si="19"/>
        <v>2.2907923524909794E-3</v>
      </c>
      <c r="M68" s="31">
        <v>1</v>
      </c>
      <c r="N68" s="31">
        <v>1</v>
      </c>
      <c r="O68" s="32">
        <v>3526</v>
      </c>
      <c r="P68" s="50">
        <v>0.2293</v>
      </c>
      <c r="Q68" s="50">
        <v>0.2293</v>
      </c>
      <c r="R68" s="56">
        <f t="shared" si="21"/>
        <v>6.3705441978993957E-2</v>
      </c>
      <c r="S68" s="56">
        <f t="shared" si="22"/>
        <v>0</v>
      </c>
      <c r="T68" s="56">
        <f t="shared" si="23"/>
        <v>1.4384349827387802E-2</v>
      </c>
      <c r="U68" s="57">
        <f t="shared" si="24"/>
        <v>9.000000000000119E-4</v>
      </c>
      <c r="V68" s="58">
        <f t="shared" si="25"/>
        <v>9.000000000000119E-4</v>
      </c>
    </row>
    <row r="69" spans="1:22">
      <c r="A69" s="136">
        <v>61</v>
      </c>
      <c r="B69" s="137" t="s">
        <v>110</v>
      </c>
      <c r="C69" s="138" t="s">
        <v>111</v>
      </c>
      <c r="D69" s="44">
        <v>92327879733.990005</v>
      </c>
      <c r="E69" s="30">
        <f t="shared" si="20"/>
        <v>3.1234383286627174E-2</v>
      </c>
      <c r="F69" s="31">
        <v>1</v>
      </c>
      <c r="G69" s="31">
        <v>1</v>
      </c>
      <c r="H69" s="32">
        <v>5329</v>
      </c>
      <c r="I69" s="50">
        <v>0.20610000000000001</v>
      </c>
      <c r="J69" s="50">
        <v>0.20610000000000001</v>
      </c>
      <c r="K69" s="44">
        <v>91797645330.289993</v>
      </c>
      <c r="L69" s="30">
        <f t="shared" si="19"/>
        <v>3.1055005782837004E-2</v>
      </c>
      <c r="M69" s="31">
        <v>1</v>
      </c>
      <c r="N69" s="31">
        <v>1</v>
      </c>
      <c r="O69" s="32">
        <v>5382</v>
      </c>
      <c r="P69" s="50">
        <v>0.2024</v>
      </c>
      <c r="Q69" s="50">
        <v>0.2024</v>
      </c>
      <c r="R69" s="56">
        <f t="shared" si="21"/>
        <v>-5.7429500734522913E-3</v>
      </c>
      <c r="S69" s="56">
        <f t="shared" si="22"/>
        <v>0</v>
      </c>
      <c r="T69" s="56">
        <f t="shared" si="23"/>
        <v>9.9455807843873145E-3</v>
      </c>
      <c r="U69" s="57">
        <f t="shared" si="24"/>
        <v>-3.7000000000000088E-3</v>
      </c>
      <c r="V69" s="58">
        <f t="shared" si="25"/>
        <v>-3.7000000000000088E-3</v>
      </c>
    </row>
    <row r="70" spans="1:22">
      <c r="A70" s="36"/>
      <c r="B70" s="37"/>
      <c r="C70" s="38" t="s">
        <v>53</v>
      </c>
      <c r="D70" s="48">
        <f>SUM(D28:D69)</f>
        <v>2909623160997.8462</v>
      </c>
      <c r="E70" s="40">
        <f>(D70/$D$223)</f>
        <v>0.51950495786552431</v>
      </c>
      <c r="F70" s="41"/>
      <c r="G70" s="45"/>
      <c r="H70" s="43">
        <f>SUM(H28:H69)</f>
        <v>424213</v>
      </c>
      <c r="I70" s="55"/>
      <c r="J70" s="55"/>
      <c r="K70" s="48">
        <f>SUM(K28:K69)</f>
        <v>2955969352323.3311</v>
      </c>
      <c r="L70" s="40">
        <f>(K70/$K$223)</f>
        <v>0.52646144975573628</v>
      </c>
      <c r="M70" s="41"/>
      <c r="N70" s="45"/>
      <c r="O70" s="43">
        <f>SUM(O28:O69)</f>
        <v>427991</v>
      </c>
      <c r="P70" s="55"/>
      <c r="Q70" s="55"/>
      <c r="R70" s="56">
        <f t="shared" si="21"/>
        <v>1.5928588948127077E-2</v>
      </c>
      <c r="S70" s="56" t="e">
        <f t="shared" si="22"/>
        <v>#DIV/0!</v>
      </c>
      <c r="T70" s="56">
        <f t="shared" si="23"/>
        <v>8.9059034023002588E-3</v>
      </c>
      <c r="U70" s="57">
        <f t="shared" si="24"/>
        <v>0</v>
      </c>
      <c r="V70" s="58">
        <f t="shared" si="25"/>
        <v>0</v>
      </c>
    </row>
    <row r="71" spans="1:22" ht="3" customHeight="1">
      <c r="A71" s="36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</row>
    <row r="72" spans="1:22" ht="15" customHeight="1">
      <c r="A72" s="151" t="s">
        <v>112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</row>
    <row r="73" spans="1:22">
      <c r="A73" s="136">
        <v>62</v>
      </c>
      <c r="B73" s="137" t="s">
        <v>113</v>
      </c>
      <c r="C73" s="138" t="s">
        <v>21</v>
      </c>
      <c r="D73" s="29">
        <v>524780046.35000002</v>
      </c>
      <c r="E73" s="30">
        <f>(D73/$D$110)</f>
        <v>2.5181210380362368E-3</v>
      </c>
      <c r="F73" s="60">
        <v>1.4397</v>
      </c>
      <c r="G73" s="60">
        <v>1.4397</v>
      </c>
      <c r="H73" s="32">
        <v>475</v>
      </c>
      <c r="I73" s="50">
        <v>1.4610000000000001E-3</v>
      </c>
      <c r="J73" s="50">
        <v>0.1043</v>
      </c>
      <c r="K73" s="29">
        <v>527064988.37</v>
      </c>
      <c r="L73" s="30">
        <f t="shared" ref="L73:L95" si="35">(K73/$K$110)</f>
        <v>2.5215311418861613E-3</v>
      </c>
      <c r="M73" s="60">
        <v>1.4466000000000001</v>
      </c>
      <c r="N73" s="60">
        <v>1.4466000000000001</v>
      </c>
      <c r="O73" s="32">
        <v>475</v>
      </c>
      <c r="P73" s="50">
        <v>2.2169999999999998E-3</v>
      </c>
      <c r="Q73" s="50">
        <v>0.1096</v>
      </c>
      <c r="R73" s="56">
        <f>((K73-D73)/D73)</f>
        <v>4.3540947028996744E-3</v>
      </c>
      <c r="S73" s="56">
        <f>((N73-G73)/G73)</f>
        <v>4.7926651385706244E-3</v>
      </c>
      <c r="T73" s="56">
        <f>((O73-H73)/H73)</f>
        <v>0</v>
      </c>
      <c r="U73" s="57">
        <f>P73-I73</f>
        <v>7.5599999999999973E-4</v>
      </c>
      <c r="V73" s="58">
        <f>Q73-J73</f>
        <v>5.2999999999999992E-3</v>
      </c>
    </row>
    <row r="74" spans="1:22">
      <c r="A74" s="136">
        <v>63</v>
      </c>
      <c r="B74" s="137" t="s">
        <v>114</v>
      </c>
      <c r="C74" s="138" t="s">
        <v>23</v>
      </c>
      <c r="D74" s="29">
        <v>1277546027.3800001</v>
      </c>
      <c r="E74" s="30">
        <f>(D74/$D$110)</f>
        <v>6.130216937515991E-3</v>
      </c>
      <c r="F74" s="60">
        <v>1.2501</v>
      </c>
      <c r="G74" s="60">
        <v>1.2501</v>
      </c>
      <c r="H74" s="32">
        <v>982</v>
      </c>
      <c r="I74" s="50">
        <v>0.15060000000000001</v>
      </c>
      <c r="J74" s="50">
        <v>0.1565</v>
      </c>
      <c r="K74" s="29">
        <v>1282836593.01</v>
      </c>
      <c r="L74" s="30">
        <f t="shared" si="35"/>
        <v>6.1372174031698104E-3</v>
      </c>
      <c r="M74" s="60">
        <v>1.2531000000000001</v>
      </c>
      <c r="N74" s="60">
        <v>1.2531000000000001</v>
      </c>
      <c r="O74" s="32">
        <v>986</v>
      </c>
      <c r="P74" s="50">
        <v>0.12509999999999999</v>
      </c>
      <c r="Q74" s="50">
        <v>0.15540000000000001</v>
      </c>
      <c r="R74" s="56">
        <f t="shared" ref="R74:R110" si="36">((K74-D74)/D74)</f>
        <v>4.1411937547563768E-3</v>
      </c>
      <c r="S74" s="56">
        <f t="shared" ref="S74:S110" si="37">((N74-G74)/G74)</f>
        <v>2.3998080153588624E-3</v>
      </c>
      <c r="T74" s="56">
        <f t="shared" ref="T74:T110" si="38">((O74-H74)/H74)</f>
        <v>4.0733197556008143E-3</v>
      </c>
      <c r="U74" s="57">
        <f t="shared" ref="U74:U110" si="39">P74-I74</f>
        <v>-2.5500000000000023E-2</v>
      </c>
      <c r="V74" s="58">
        <f t="shared" ref="V74:V110" si="40">Q74-J74</f>
        <v>-1.0999999999999899E-3</v>
      </c>
    </row>
    <row r="75" spans="1:22">
      <c r="A75" s="136">
        <v>64</v>
      </c>
      <c r="B75" s="137" t="s">
        <v>115</v>
      </c>
      <c r="C75" s="138" t="s">
        <v>23</v>
      </c>
      <c r="D75" s="29">
        <v>783566439.11000001</v>
      </c>
      <c r="E75" s="30">
        <f>(D75/$D$110)</f>
        <v>3.7598897838163415E-3</v>
      </c>
      <c r="F75" s="60">
        <v>1.1216999999999999</v>
      </c>
      <c r="G75" s="60">
        <v>1.1216999999999999</v>
      </c>
      <c r="H75" s="32">
        <v>309</v>
      </c>
      <c r="I75" s="50">
        <v>0.11650000000000001</v>
      </c>
      <c r="J75" s="50">
        <v>0.12130000000000001</v>
      </c>
      <c r="K75" s="29">
        <v>787027939.14999998</v>
      </c>
      <c r="L75" s="30">
        <f t="shared" si="35"/>
        <v>3.7652196634015088E-3</v>
      </c>
      <c r="M75" s="60">
        <v>1.1243000000000001</v>
      </c>
      <c r="N75" s="60">
        <v>1.1243000000000001</v>
      </c>
      <c r="O75" s="32">
        <v>319</v>
      </c>
      <c r="P75" s="50">
        <v>0.12089999999999999</v>
      </c>
      <c r="Q75" s="50">
        <v>0.1215</v>
      </c>
      <c r="R75" s="56">
        <f t="shared" si="36"/>
        <v>4.4176216172959696E-3</v>
      </c>
      <c r="S75" s="56">
        <f t="shared" si="37"/>
        <v>2.3179103147010411E-3</v>
      </c>
      <c r="T75" s="56">
        <f t="shared" si="38"/>
        <v>3.2362459546925564E-2</v>
      </c>
      <c r="U75" s="57">
        <f t="shared" si="39"/>
        <v>4.3999999999999873E-3</v>
      </c>
      <c r="V75" s="58">
        <f t="shared" si="40"/>
        <v>1.9999999999999185E-4</v>
      </c>
    </row>
    <row r="76" spans="1:22">
      <c r="A76" s="136">
        <v>65</v>
      </c>
      <c r="B76" s="137" t="s">
        <v>116</v>
      </c>
      <c r="C76" s="138" t="s">
        <v>117</v>
      </c>
      <c r="D76" s="29">
        <v>281644444.97000003</v>
      </c>
      <c r="E76" s="30">
        <f>(D76/$D$110)</f>
        <v>1.3514515406174348E-3</v>
      </c>
      <c r="F76" s="35">
        <v>1106.57</v>
      </c>
      <c r="G76" s="35">
        <v>1106.57</v>
      </c>
      <c r="H76" s="32">
        <v>109</v>
      </c>
      <c r="I76" s="50">
        <v>1.4E-3</v>
      </c>
      <c r="J76" s="50">
        <v>3.5580000000000001E-2</v>
      </c>
      <c r="K76" s="29">
        <v>282457958.79000002</v>
      </c>
      <c r="L76" s="30">
        <f t="shared" si="35"/>
        <v>1.3513068693202582E-3</v>
      </c>
      <c r="M76" s="35">
        <v>1106.77</v>
      </c>
      <c r="N76" s="35">
        <v>1106.77</v>
      </c>
      <c r="O76" s="32">
        <v>109</v>
      </c>
      <c r="P76" s="50">
        <v>1.9E-3</v>
      </c>
      <c r="Q76" s="50">
        <v>3.7759000000000001E-2</v>
      </c>
      <c r="R76" s="56">
        <f t="shared" si="36"/>
        <v>2.8884426251923629E-3</v>
      </c>
      <c r="S76" s="56">
        <f t="shared" si="37"/>
        <v>1.8073867898103644E-4</v>
      </c>
      <c r="T76" s="56">
        <f t="shared" si="38"/>
        <v>0</v>
      </c>
      <c r="U76" s="57">
        <f t="shared" si="39"/>
        <v>5.0000000000000001E-4</v>
      </c>
      <c r="V76" s="58">
        <f t="shared" si="40"/>
        <v>2.1790000000000004E-3</v>
      </c>
    </row>
    <row r="77" spans="1:22" ht="15" customHeight="1">
      <c r="A77" s="136">
        <v>66</v>
      </c>
      <c r="B77" s="137" t="s">
        <v>118</v>
      </c>
      <c r="C77" s="138" t="s">
        <v>27</v>
      </c>
      <c r="D77" s="29">
        <v>1634210671.4100001</v>
      </c>
      <c r="E77" s="30">
        <f>(D77/$K$110)</f>
        <v>7.8182258189957096E-3</v>
      </c>
      <c r="F77" s="35">
        <v>1.1031</v>
      </c>
      <c r="G77" s="35">
        <v>1.1031</v>
      </c>
      <c r="H77" s="32">
        <v>910</v>
      </c>
      <c r="I77" s="50">
        <v>3.5000000000000001E-3</v>
      </c>
      <c r="J77" s="50">
        <v>5.3999999999999999E-2</v>
      </c>
      <c r="K77" s="29">
        <v>1532356123.79</v>
      </c>
      <c r="L77" s="30">
        <f t="shared" si="35"/>
        <v>7.3309435683555618E-3</v>
      </c>
      <c r="M77" s="35">
        <v>1.1069</v>
      </c>
      <c r="N77" s="35">
        <v>1.1069</v>
      </c>
      <c r="O77" s="32">
        <v>910</v>
      </c>
      <c r="P77" s="50">
        <v>3.3999999999999998E-3</v>
      </c>
      <c r="Q77" s="50">
        <v>5.74E-2</v>
      </c>
      <c r="R77" s="56">
        <f t="shared" si="36"/>
        <v>-6.2326448726540147E-2</v>
      </c>
      <c r="S77" s="56">
        <f t="shared" si="37"/>
        <v>3.4448372767655025E-3</v>
      </c>
      <c r="T77" s="56">
        <f t="shared" si="38"/>
        <v>0</v>
      </c>
      <c r="U77" s="57">
        <f t="shared" si="39"/>
        <v>-1.0000000000000026E-4</v>
      </c>
      <c r="V77" s="58">
        <f t="shared" si="40"/>
        <v>3.4000000000000002E-3</v>
      </c>
    </row>
    <row r="78" spans="1:22">
      <c r="A78" s="136">
        <v>67</v>
      </c>
      <c r="B78" s="137" t="s">
        <v>119</v>
      </c>
      <c r="C78" s="138" t="s">
        <v>120</v>
      </c>
      <c r="D78" s="29">
        <v>451500588.5958389</v>
      </c>
      <c r="E78" s="30">
        <f t="shared" ref="E78:E95" si="41">(D78/$D$110)</f>
        <v>2.1664945889932957E-3</v>
      </c>
      <c r="F78" s="35">
        <v>2.5891000000000002</v>
      </c>
      <c r="G78" s="35">
        <v>2.5891000000000002</v>
      </c>
      <c r="H78" s="32">
        <v>1391</v>
      </c>
      <c r="I78" s="50">
        <v>0.1171</v>
      </c>
      <c r="J78" s="50">
        <v>0.13750000000000001</v>
      </c>
      <c r="K78" s="29">
        <v>452789235.74581748</v>
      </c>
      <c r="L78" s="30">
        <f t="shared" si="35"/>
        <v>2.1661885798462933E-3</v>
      </c>
      <c r="M78" s="35">
        <v>2.5964999999999998</v>
      </c>
      <c r="N78" s="35">
        <v>2.5964999999999998</v>
      </c>
      <c r="O78" s="32">
        <v>1391</v>
      </c>
      <c r="P78" s="50">
        <v>0.14899999999999999</v>
      </c>
      <c r="Q78" s="50">
        <v>0.13850000000000001</v>
      </c>
      <c r="R78" s="56">
        <f t="shared" si="36"/>
        <v>2.8541427907907151E-3</v>
      </c>
      <c r="S78" s="56">
        <f t="shared" si="37"/>
        <v>2.8581360318255876E-3</v>
      </c>
      <c r="T78" s="56">
        <f t="shared" si="38"/>
        <v>0</v>
      </c>
      <c r="U78" s="57">
        <f t="shared" si="39"/>
        <v>3.1899999999999998E-2</v>
      </c>
      <c r="V78" s="58">
        <f t="shared" si="40"/>
        <v>1.0000000000000009E-3</v>
      </c>
    </row>
    <row r="79" spans="1:22">
      <c r="A79" s="136">
        <v>68</v>
      </c>
      <c r="B79" s="137" t="s">
        <v>121</v>
      </c>
      <c r="C79" s="138" t="s">
        <v>63</v>
      </c>
      <c r="D79" s="29">
        <v>154557448.49000001</v>
      </c>
      <c r="E79" s="30">
        <f t="shared" si="41"/>
        <v>7.4163330967865989E-4</v>
      </c>
      <c r="F79" s="35">
        <v>11.92</v>
      </c>
      <c r="G79" s="35">
        <v>12.01</v>
      </c>
      <c r="H79" s="32">
        <v>30</v>
      </c>
      <c r="I79" s="50">
        <v>1.0999999999999999E-2</v>
      </c>
      <c r="J79" s="50">
        <v>0.26300000000000001</v>
      </c>
      <c r="K79" s="29">
        <v>154849449.03</v>
      </c>
      <c r="L79" s="30">
        <f t="shared" si="35"/>
        <v>7.4081511132163694E-4</v>
      </c>
      <c r="M79" s="35">
        <v>11.92</v>
      </c>
      <c r="N79" s="35">
        <v>12.03</v>
      </c>
      <c r="O79" s="32">
        <v>30</v>
      </c>
      <c r="P79" s="50">
        <v>2.1499999999999998E-2</v>
      </c>
      <c r="Q79" s="50">
        <v>0.253</v>
      </c>
      <c r="R79" s="56">
        <f t="shared" si="36"/>
        <v>1.8892686366964988E-3</v>
      </c>
      <c r="S79" s="56">
        <f t="shared" si="37"/>
        <v>1.6652789342214466E-3</v>
      </c>
      <c r="T79" s="56">
        <f t="shared" si="38"/>
        <v>0</v>
      </c>
      <c r="U79" s="57">
        <f t="shared" si="39"/>
        <v>1.0499999999999999E-2</v>
      </c>
      <c r="V79" s="58">
        <f t="shared" si="40"/>
        <v>-1.0000000000000009E-2</v>
      </c>
    </row>
    <row r="80" spans="1:22">
      <c r="A80" s="136">
        <v>69</v>
      </c>
      <c r="B80" s="137" t="s">
        <v>122</v>
      </c>
      <c r="C80" s="138" t="s">
        <v>65</v>
      </c>
      <c r="D80" s="29">
        <v>2067926215.30074</v>
      </c>
      <c r="E80" s="30">
        <f t="shared" si="41"/>
        <v>9.92280202738971E-3</v>
      </c>
      <c r="F80" s="29">
        <v>4578.7416579095097</v>
      </c>
      <c r="G80" s="29">
        <v>4578.7416579095097</v>
      </c>
      <c r="H80" s="32">
        <v>1104</v>
      </c>
      <c r="I80" s="50">
        <v>0.10486068078857221</v>
      </c>
      <c r="J80" s="50">
        <v>0.11903845914273468</v>
      </c>
      <c r="K80" s="29">
        <v>2050841169.15869</v>
      </c>
      <c r="L80" s="30">
        <f t="shared" si="35"/>
        <v>9.8114274125634636E-3</v>
      </c>
      <c r="M80" s="29">
        <v>4587.8373689576702</v>
      </c>
      <c r="N80" s="29">
        <v>4587.8373689576702</v>
      </c>
      <c r="O80" s="32">
        <v>1105</v>
      </c>
      <c r="P80" s="50">
        <v>0.10358224971650254</v>
      </c>
      <c r="Q80" s="50">
        <v>0.11850675693542612</v>
      </c>
      <c r="R80" s="56">
        <f t="shared" si="36"/>
        <v>-8.2619225075036534E-3</v>
      </c>
      <c r="S80" s="56">
        <f t="shared" si="37"/>
        <v>1.9865088986726516E-3</v>
      </c>
      <c r="T80" s="56">
        <f t="shared" si="38"/>
        <v>9.0579710144927537E-4</v>
      </c>
      <c r="U80" s="57">
        <f t="shared" si="39"/>
        <v>-1.2784310720696662E-3</v>
      </c>
      <c r="V80" s="58">
        <f t="shared" si="40"/>
        <v>-5.317022073085681E-4</v>
      </c>
    </row>
    <row r="81" spans="1:22">
      <c r="A81" s="136">
        <v>70</v>
      </c>
      <c r="B81" s="137" t="s">
        <v>123</v>
      </c>
      <c r="C81" s="138" t="s">
        <v>67</v>
      </c>
      <c r="D81" s="29">
        <v>335414665.92000002</v>
      </c>
      <c r="E81" s="30">
        <f t="shared" si="41"/>
        <v>1.6094642557269328E-3</v>
      </c>
      <c r="F81" s="60">
        <v>110.25</v>
      </c>
      <c r="G81" s="60">
        <v>110.25</v>
      </c>
      <c r="H81" s="32">
        <v>137</v>
      </c>
      <c r="I81" s="50">
        <v>2.5000000000000001E-3</v>
      </c>
      <c r="J81" s="50">
        <v>0.1242</v>
      </c>
      <c r="K81" s="29">
        <v>336372701.94999999</v>
      </c>
      <c r="L81" s="30">
        <f t="shared" si="35"/>
        <v>1.6092403440994604E-3</v>
      </c>
      <c r="M81" s="60">
        <v>110.52</v>
      </c>
      <c r="N81" s="60">
        <v>110.52</v>
      </c>
      <c r="O81" s="32">
        <v>137</v>
      </c>
      <c r="P81" s="50">
        <v>2.3999999999999998E-3</v>
      </c>
      <c r="Q81" s="50">
        <v>0.12429999999999999</v>
      </c>
      <c r="R81" s="56">
        <f t="shared" si="36"/>
        <v>2.8562735245109207E-3</v>
      </c>
      <c r="S81" s="56">
        <f t="shared" si="37"/>
        <v>2.4489795918366986E-3</v>
      </c>
      <c r="T81" s="56">
        <f t="shared" si="38"/>
        <v>0</v>
      </c>
      <c r="U81" s="57">
        <f t="shared" si="39"/>
        <v>-1.0000000000000026E-4</v>
      </c>
      <c r="V81" s="58">
        <f t="shared" si="40"/>
        <v>9.9999999999988987E-5</v>
      </c>
    </row>
    <row r="82" spans="1:22" ht="13.5" customHeight="1">
      <c r="A82" s="136">
        <v>71</v>
      </c>
      <c r="B82" s="137" t="s">
        <v>124</v>
      </c>
      <c r="C82" s="138" t="s">
        <v>299</v>
      </c>
      <c r="D82" s="29">
        <v>377639992.26999998</v>
      </c>
      <c r="E82" s="30">
        <f t="shared" si="41"/>
        <v>1.8120795863962804E-3</v>
      </c>
      <c r="F82" s="60">
        <v>1.4232</v>
      </c>
      <c r="G82" s="60">
        <v>1.4232</v>
      </c>
      <c r="H82" s="32">
        <v>416</v>
      </c>
      <c r="I82" s="50">
        <v>5.5818554370097306E-3</v>
      </c>
      <c r="J82" s="50">
        <v>8.3467653767803518E-2</v>
      </c>
      <c r="K82" s="29">
        <v>377639992.26999998</v>
      </c>
      <c r="L82" s="30">
        <f t="shared" si="35"/>
        <v>1.806667151000338E-3</v>
      </c>
      <c r="M82" s="60">
        <v>1.4286000000000001</v>
      </c>
      <c r="N82" s="60">
        <v>1.4286000000000001</v>
      </c>
      <c r="O82" s="32">
        <v>417</v>
      </c>
      <c r="P82" s="50">
        <v>3.089453728408964E-3</v>
      </c>
      <c r="Q82" s="50">
        <v>8.7410698674703968E-2</v>
      </c>
      <c r="R82" s="56">
        <f t="shared" si="36"/>
        <v>0</v>
      </c>
      <c r="S82" s="56">
        <f t="shared" si="37"/>
        <v>3.794266441821298E-3</v>
      </c>
      <c r="T82" s="56">
        <f t="shared" si="38"/>
        <v>2.403846153846154E-3</v>
      </c>
      <c r="U82" s="57">
        <f t="shared" si="39"/>
        <v>-2.4924017086007666E-3</v>
      </c>
      <c r="V82" s="58">
        <f t="shared" si="40"/>
        <v>3.9430449069004503E-3</v>
      </c>
    </row>
    <row r="83" spans="1:22" ht="13.5" customHeight="1">
      <c r="A83" s="136">
        <v>72</v>
      </c>
      <c r="B83" s="137" t="s">
        <v>297</v>
      </c>
      <c r="C83" s="138" t="s">
        <v>299</v>
      </c>
      <c r="D83" s="29">
        <v>25865801.399999999</v>
      </c>
      <c r="E83" s="30">
        <f t="shared" si="41"/>
        <v>1.2411527291105652E-4</v>
      </c>
      <c r="F83" s="60">
        <v>0.88560000000000005</v>
      </c>
      <c r="G83" s="60">
        <v>0.88560000000000005</v>
      </c>
      <c r="H83" s="32">
        <v>1</v>
      </c>
      <c r="I83" s="50">
        <v>-2.2578460149014212E-4</v>
      </c>
      <c r="J83" s="50">
        <v>-9.3087557603686588E-2</v>
      </c>
      <c r="K83" s="29">
        <v>25944982.460000001</v>
      </c>
      <c r="L83" s="30">
        <f t="shared" si="35"/>
        <v>1.241233675014182E-4</v>
      </c>
      <c r="M83" s="60">
        <v>0.88529999999999998</v>
      </c>
      <c r="N83" s="60">
        <v>0.88529999999999998</v>
      </c>
      <c r="O83" s="32">
        <v>1</v>
      </c>
      <c r="P83" s="50">
        <v>-3.3875338753397433E-4</v>
      </c>
      <c r="Q83" s="50">
        <v>-9.3394777265745077E-2</v>
      </c>
      <c r="R83" s="56">
        <f t="shared" ref="R83" si="42">((K83-D83)/D83)</f>
        <v>3.0612258547690848E-3</v>
      </c>
      <c r="S83" s="56">
        <f t="shared" ref="S83" si="43">((N83-G83)/G83)</f>
        <v>-3.3875338753396338E-4</v>
      </c>
      <c r="T83" s="56">
        <f t="shared" ref="T83" si="44">((O83-H83)/H83)</f>
        <v>0</v>
      </c>
      <c r="U83" s="57">
        <f t="shared" ref="U83" si="45">P83-I83</f>
        <v>-1.129687860438322E-4</v>
      </c>
      <c r="V83" s="58">
        <f t="shared" ref="V83" si="46">Q83-J83</f>
        <v>-3.0721966205848883E-4</v>
      </c>
    </row>
    <row r="84" spans="1:22">
      <c r="A84" s="136">
        <v>73</v>
      </c>
      <c r="B84" s="137" t="s">
        <v>126</v>
      </c>
      <c r="C84" s="138" t="s">
        <v>29</v>
      </c>
      <c r="D84" s="29">
        <v>140070848.16</v>
      </c>
      <c r="E84" s="30">
        <f t="shared" si="41"/>
        <v>6.7212035217519147E-4</v>
      </c>
      <c r="F84" s="60">
        <v>131.93729999999999</v>
      </c>
      <c r="G84" s="60">
        <v>131.93729999999999</v>
      </c>
      <c r="H84" s="32">
        <v>236</v>
      </c>
      <c r="I84" s="50">
        <v>1.8569999999999999E-3</v>
      </c>
      <c r="J84" s="50">
        <v>5.4100000000000002E-2</v>
      </c>
      <c r="K84" s="29">
        <v>140763956.34999999</v>
      </c>
      <c r="L84" s="30">
        <f t="shared" si="35"/>
        <v>6.7342871832431529E-4</v>
      </c>
      <c r="M84" s="60">
        <v>132.30029999999999</v>
      </c>
      <c r="N84" s="60">
        <v>132.30029999999999</v>
      </c>
      <c r="O84" s="32">
        <v>239</v>
      </c>
      <c r="P84" s="50">
        <v>1.5629999999999999E-3</v>
      </c>
      <c r="Q84" s="50">
        <v>5.7000000000000002E-2</v>
      </c>
      <c r="R84" s="56">
        <f t="shared" si="36"/>
        <v>4.9482686733521783E-3</v>
      </c>
      <c r="S84" s="56">
        <f t="shared" si="37"/>
        <v>2.7513068707636095E-3</v>
      </c>
      <c r="T84" s="56">
        <f t="shared" si="38"/>
        <v>1.2711864406779662E-2</v>
      </c>
      <c r="U84" s="57">
        <f t="shared" si="39"/>
        <v>-2.9399999999999999E-4</v>
      </c>
      <c r="V84" s="58">
        <f t="shared" si="40"/>
        <v>2.8999999999999998E-3</v>
      </c>
    </row>
    <row r="85" spans="1:22">
      <c r="A85" s="136">
        <v>74</v>
      </c>
      <c r="B85" s="137" t="s">
        <v>127</v>
      </c>
      <c r="C85" s="138" t="s">
        <v>98</v>
      </c>
      <c r="D85" s="29">
        <v>1523663147.5900002</v>
      </c>
      <c r="E85" s="30">
        <f t="shared" si="41"/>
        <v>7.3111930484261855E-3</v>
      </c>
      <c r="F85" s="35">
        <v>1000</v>
      </c>
      <c r="G85" s="35">
        <v>1000</v>
      </c>
      <c r="H85" s="32">
        <v>363</v>
      </c>
      <c r="I85" s="50">
        <v>1.15E-2</v>
      </c>
      <c r="J85" s="50">
        <v>0.20599999999999999</v>
      </c>
      <c r="K85" s="29">
        <v>1514866367.3700004</v>
      </c>
      <c r="L85" s="30">
        <f t="shared" si="35"/>
        <v>7.2472708402287721E-3</v>
      </c>
      <c r="M85" s="35">
        <v>1000</v>
      </c>
      <c r="N85" s="35">
        <v>1000</v>
      </c>
      <c r="O85" s="32">
        <v>364</v>
      </c>
      <c r="P85" s="50">
        <v>1.8499999999999999E-2</v>
      </c>
      <c r="Q85" s="50">
        <v>0.20730000000000001</v>
      </c>
      <c r="R85" s="56">
        <f t="shared" si="36"/>
        <v>-5.773441612677831E-3</v>
      </c>
      <c r="S85" s="56">
        <f t="shared" si="37"/>
        <v>0</v>
      </c>
      <c r="T85" s="56">
        <f t="shared" si="38"/>
        <v>2.7548209366391185E-3</v>
      </c>
      <c r="U85" s="57">
        <f t="shared" si="39"/>
        <v>6.9999999999999993E-3</v>
      </c>
      <c r="V85" s="58">
        <f t="shared" si="40"/>
        <v>1.3000000000000234E-3</v>
      </c>
    </row>
    <row r="86" spans="1:22">
      <c r="A86" s="136">
        <v>75</v>
      </c>
      <c r="B86" s="137" t="s">
        <v>128</v>
      </c>
      <c r="C86" s="138" t="s">
        <v>72</v>
      </c>
      <c r="D86" s="29">
        <v>153983139.34999999</v>
      </c>
      <c r="E86" s="30">
        <f t="shared" si="41"/>
        <v>7.3887752668380495E-4</v>
      </c>
      <c r="F86" s="35">
        <v>1053.3800000000001</v>
      </c>
      <c r="G86" s="35">
        <v>1065.58</v>
      </c>
      <c r="H86" s="32">
        <v>71</v>
      </c>
      <c r="I86" s="50">
        <v>-8.3000000000000001E-3</v>
      </c>
      <c r="J86" s="50">
        <v>4.82E-2</v>
      </c>
      <c r="K86" s="29">
        <v>153983139.34999999</v>
      </c>
      <c r="L86" s="30">
        <f t="shared" si="35"/>
        <v>7.3667059995237861E-4</v>
      </c>
      <c r="M86" s="35">
        <v>1055.93</v>
      </c>
      <c r="N86" s="35">
        <v>1068.98</v>
      </c>
      <c r="O86" s="32">
        <v>71</v>
      </c>
      <c r="P86" s="50">
        <v>2.8999999999999998E-3</v>
      </c>
      <c r="Q86" s="50">
        <v>5.11E-2</v>
      </c>
      <c r="R86" s="56">
        <f t="shared" si="36"/>
        <v>0</v>
      </c>
      <c r="S86" s="56">
        <f t="shared" si="37"/>
        <v>3.1907505771505578E-3</v>
      </c>
      <c r="T86" s="56">
        <f t="shared" si="38"/>
        <v>0</v>
      </c>
      <c r="U86" s="57">
        <f t="shared" si="39"/>
        <v>1.12E-2</v>
      </c>
      <c r="V86" s="58">
        <f t="shared" si="40"/>
        <v>2.8999999999999998E-3</v>
      </c>
    </row>
    <row r="87" spans="1:22">
      <c r="A87" s="136">
        <v>76</v>
      </c>
      <c r="B87" s="137" t="s">
        <v>129</v>
      </c>
      <c r="C87" s="138" t="s">
        <v>75</v>
      </c>
      <c r="D87" s="29">
        <v>664712497.38</v>
      </c>
      <c r="E87" s="30">
        <f t="shared" si="41"/>
        <v>3.1895773010809808E-3</v>
      </c>
      <c r="F87" s="61">
        <v>1.1941999999999999</v>
      </c>
      <c r="G87" s="61">
        <v>1.1941999999999999</v>
      </c>
      <c r="H87" s="32">
        <v>48</v>
      </c>
      <c r="I87" s="50">
        <v>1.5E-3</v>
      </c>
      <c r="J87" s="50">
        <v>0.1203</v>
      </c>
      <c r="K87" s="29">
        <v>666094582.36000001</v>
      </c>
      <c r="L87" s="30">
        <f t="shared" si="35"/>
        <v>3.186662498787211E-3</v>
      </c>
      <c r="M87" s="61">
        <v>1.1968000000000001</v>
      </c>
      <c r="N87" s="61">
        <v>1.1968000000000001</v>
      </c>
      <c r="O87" s="32">
        <v>47</v>
      </c>
      <c r="P87" s="50">
        <v>1.5E-3</v>
      </c>
      <c r="Q87" s="50">
        <v>0.1201</v>
      </c>
      <c r="R87" s="56">
        <f t="shared" si="36"/>
        <v>2.0792221982399626E-3</v>
      </c>
      <c r="S87" s="56">
        <f t="shared" si="37"/>
        <v>2.1771897504606918E-3</v>
      </c>
      <c r="T87" s="56">
        <f t="shared" si="38"/>
        <v>-2.0833333333333332E-2</v>
      </c>
      <c r="U87" s="57">
        <f t="shared" si="39"/>
        <v>0</v>
      </c>
      <c r="V87" s="58">
        <f t="shared" si="40"/>
        <v>-2.0000000000000573E-4</v>
      </c>
    </row>
    <row r="88" spans="1:22">
      <c r="A88" s="136">
        <v>77</v>
      </c>
      <c r="B88" s="137" t="s">
        <v>130</v>
      </c>
      <c r="C88" s="138" t="s">
        <v>31</v>
      </c>
      <c r="D88" s="29">
        <v>12276337415.959999</v>
      </c>
      <c r="E88" s="30">
        <f t="shared" si="41"/>
        <v>5.8907162595398646E-2</v>
      </c>
      <c r="F88" s="61">
        <v>1713.73</v>
      </c>
      <c r="G88" s="61">
        <v>1713.73</v>
      </c>
      <c r="H88" s="32">
        <v>2095</v>
      </c>
      <c r="I88" s="50">
        <v>8.0000000000000004E-4</v>
      </c>
      <c r="J88" s="50">
        <v>1.23E-2</v>
      </c>
      <c r="K88" s="29">
        <v>12254605421.040001</v>
      </c>
      <c r="L88" s="30">
        <f t="shared" si="35"/>
        <v>5.8627246890827919E-2</v>
      </c>
      <c r="M88" s="61">
        <v>1715.13</v>
      </c>
      <c r="N88" s="61">
        <v>1715.13</v>
      </c>
      <c r="O88" s="32">
        <v>2089</v>
      </c>
      <c r="P88" s="50">
        <v>8.0000000000000004E-4</v>
      </c>
      <c r="Q88" s="50">
        <v>1.3100000000000001E-2</v>
      </c>
      <c r="R88" s="56">
        <f t="shared" si="36"/>
        <v>-1.7702344097959731E-3</v>
      </c>
      <c r="S88" s="56">
        <f t="shared" si="37"/>
        <v>8.1693148862428211E-4</v>
      </c>
      <c r="T88" s="56">
        <f t="shared" si="38"/>
        <v>-2.8639618138424821E-3</v>
      </c>
      <c r="U88" s="57">
        <f t="shared" si="39"/>
        <v>0</v>
      </c>
      <c r="V88" s="58">
        <f t="shared" si="40"/>
        <v>8.0000000000000036E-4</v>
      </c>
    </row>
    <row r="89" spans="1:22">
      <c r="A89" s="136">
        <v>78</v>
      </c>
      <c r="B89" s="137" t="s">
        <v>131</v>
      </c>
      <c r="C89" s="138" t="s">
        <v>80</v>
      </c>
      <c r="D89" s="29">
        <v>23632785.5</v>
      </c>
      <c r="E89" s="30">
        <f t="shared" si="41"/>
        <v>1.134002993613397E-4</v>
      </c>
      <c r="F89" s="60">
        <v>0.72070000000000001</v>
      </c>
      <c r="G89" s="60">
        <v>0.72070000000000001</v>
      </c>
      <c r="H89" s="32">
        <v>746</v>
      </c>
      <c r="I89" s="50">
        <v>5.4000000000000003E-3</v>
      </c>
      <c r="J89" s="50">
        <v>5.5999999999999999E-3</v>
      </c>
      <c r="K89" s="29">
        <v>23727031.780000001</v>
      </c>
      <c r="L89" s="30">
        <f t="shared" si="35"/>
        <v>1.1351247162673045E-4</v>
      </c>
      <c r="M89" s="60">
        <v>0.72360000000000002</v>
      </c>
      <c r="N89" s="60">
        <v>0.72360000000000002</v>
      </c>
      <c r="O89" s="32">
        <v>746</v>
      </c>
      <c r="P89" s="50">
        <v>4.0000000000000001E-3</v>
      </c>
      <c r="Q89" s="50">
        <v>9.5999999999999992E-3</v>
      </c>
      <c r="R89" s="56">
        <f t="shared" si="36"/>
        <v>3.987946321435583E-3</v>
      </c>
      <c r="S89" s="56">
        <f t="shared" si="37"/>
        <v>4.0238656861384956E-3</v>
      </c>
      <c r="T89" s="56">
        <f t="shared" si="38"/>
        <v>0</v>
      </c>
      <c r="U89" s="57">
        <f t="shared" si="39"/>
        <v>-1.4000000000000002E-3</v>
      </c>
      <c r="V89" s="58">
        <f t="shared" si="40"/>
        <v>3.9999999999999992E-3</v>
      </c>
    </row>
    <row r="90" spans="1:22">
      <c r="A90" s="136">
        <v>79</v>
      </c>
      <c r="B90" s="137" t="s">
        <v>132</v>
      </c>
      <c r="C90" s="138" t="s">
        <v>37</v>
      </c>
      <c r="D90" s="29">
        <v>10434761026.559999</v>
      </c>
      <c r="E90" s="30">
        <f t="shared" si="41"/>
        <v>5.0070484673757326E-2</v>
      </c>
      <c r="F90" s="60">
        <v>1</v>
      </c>
      <c r="G90" s="60">
        <v>1</v>
      </c>
      <c r="H90" s="32">
        <v>4279</v>
      </c>
      <c r="I90" s="50">
        <v>0.06</v>
      </c>
      <c r="J90" s="50">
        <v>0.06</v>
      </c>
      <c r="K90" s="29">
        <v>10446807587.84</v>
      </c>
      <c r="L90" s="30">
        <f t="shared" si="35"/>
        <v>4.9978562885567991E-2</v>
      </c>
      <c r="M90" s="60">
        <v>1</v>
      </c>
      <c r="N90" s="60">
        <v>1</v>
      </c>
      <c r="O90" s="32">
        <v>4289</v>
      </c>
      <c r="P90" s="50">
        <v>0.06</v>
      </c>
      <c r="Q90" s="50">
        <v>0.06</v>
      </c>
      <c r="R90" s="56">
        <f t="shared" si="36"/>
        <v>1.1544645104318259E-3</v>
      </c>
      <c r="S90" s="56">
        <f t="shared" si="37"/>
        <v>0</v>
      </c>
      <c r="T90" s="56">
        <f t="shared" si="38"/>
        <v>2.3369946249123625E-3</v>
      </c>
      <c r="U90" s="57">
        <f t="shared" si="39"/>
        <v>0</v>
      </c>
      <c r="V90" s="58">
        <f t="shared" si="40"/>
        <v>0</v>
      </c>
    </row>
    <row r="91" spans="1:22">
      <c r="A91" s="136">
        <v>80</v>
      </c>
      <c r="B91" s="137" t="s">
        <v>133</v>
      </c>
      <c r="C91" s="138" t="s">
        <v>134</v>
      </c>
      <c r="D91" s="29">
        <v>1612916594.6700001</v>
      </c>
      <c r="E91" s="30">
        <f t="shared" si="41"/>
        <v>7.7394695889932497E-3</v>
      </c>
      <c r="F91" s="29">
        <v>251.68</v>
      </c>
      <c r="G91" s="29">
        <v>253.24</v>
      </c>
      <c r="H91" s="32">
        <v>508</v>
      </c>
      <c r="I91" s="50">
        <v>0.1865</v>
      </c>
      <c r="J91" s="50">
        <v>0.1865</v>
      </c>
      <c r="K91" s="29">
        <v>1632881790.6500001</v>
      </c>
      <c r="L91" s="30">
        <f t="shared" si="35"/>
        <v>7.8118683217342126E-3</v>
      </c>
      <c r="M91" s="29">
        <v>255.98</v>
      </c>
      <c r="N91" s="29">
        <v>257.63</v>
      </c>
      <c r="O91" s="32">
        <v>527</v>
      </c>
      <c r="P91" s="50">
        <v>3.0000000000000001E-3</v>
      </c>
      <c r="Q91" s="50">
        <v>0.18729999999999999</v>
      </c>
      <c r="R91" s="56">
        <f t="shared" si="36"/>
        <v>1.2378318907485024E-2</v>
      </c>
      <c r="S91" s="56">
        <f t="shared" si="37"/>
        <v>1.7335334070446951E-2</v>
      </c>
      <c r="T91" s="56">
        <f t="shared" si="38"/>
        <v>3.7401574803149609E-2</v>
      </c>
      <c r="U91" s="57">
        <f t="shared" si="39"/>
        <v>-0.1835</v>
      </c>
      <c r="V91" s="58">
        <f t="shared" si="40"/>
        <v>7.9999999999999516E-4</v>
      </c>
    </row>
    <row r="92" spans="1:22">
      <c r="A92" s="136">
        <v>81</v>
      </c>
      <c r="B92" s="137" t="s">
        <v>135</v>
      </c>
      <c r="C92" s="138" t="s">
        <v>41</v>
      </c>
      <c r="D92" s="29">
        <v>1126037101.1700001</v>
      </c>
      <c r="E92" s="30">
        <f t="shared" si="41"/>
        <v>5.4032117527852645E-3</v>
      </c>
      <c r="F92" s="60">
        <v>3.75</v>
      </c>
      <c r="G92" s="60">
        <v>3.75</v>
      </c>
      <c r="H92" s="46">
        <v>770</v>
      </c>
      <c r="I92" s="53">
        <v>1.9E-3</v>
      </c>
      <c r="J92" s="53">
        <v>9.7299999999999998E-2</v>
      </c>
      <c r="K92" s="29">
        <v>1133136559.3499999</v>
      </c>
      <c r="L92" s="30">
        <f t="shared" si="35"/>
        <v>5.4210376053379153E-3</v>
      </c>
      <c r="M92" s="60">
        <v>3.78</v>
      </c>
      <c r="N92" s="60">
        <v>3.78</v>
      </c>
      <c r="O92" s="46">
        <v>770</v>
      </c>
      <c r="P92" s="53">
        <v>6.3E-3</v>
      </c>
      <c r="Q92" s="53">
        <v>0.10920000000000001</v>
      </c>
      <c r="R92" s="56">
        <f t="shared" si="36"/>
        <v>6.3048172858808926E-3</v>
      </c>
      <c r="S92" s="56">
        <f t="shared" si="37"/>
        <v>7.9999999999999481E-3</v>
      </c>
      <c r="T92" s="56">
        <f t="shared" si="38"/>
        <v>0</v>
      </c>
      <c r="U92" s="57">
        <f t="shared" si="39"/>
        <v>4.4000000000000003E-3</v>
      </c>
      <c r="V92" s="58">
        <f t="shared" si="40"/>
        <v>1.1900000000000008E-2</v>
      </c>
    </row>
    <row r="93" spans="1:22">
      <c r="A93" s="136">
        <v>82</v>
      </c>
      <c r="B93" s="137" t="s">
        <v>136</v>
      </c>
      <c r="C93" s="138" t="s">
        <v>43</v>
      </c>
      <c r="D93" s="29">
        <v>593595487.75</v>
      </c>
      <c r="E93" s="30">
        <f t="shared" si="41"/>
        <v>2.8483272109582876E-3</v>
      </c>
      <c r="F93" s="60">
        <v>109.89221999999999</v>
      </c>
      <c r="G93" s="60">
        <v>109.89221999999999</v>
      </c>
      <c r="H93" s="46">
        <v>59</v>
      </c>
      <c r="I93" s="53">
        <v>0.15090000000000001</v>
      </c>
      <c r="J93" s="53">
        <v>0.17430000000000001</v>
      </c>
      <c r="K93" s="29">
        <v>592446549.02999997</v>
      </c>
      <c r="L93" s="30">
        <f t="shared" si="35"/>
        <v>2.8343230080641059E-3</v>
      </c>
      <c r="M93" s="60">
        <v>110.50054</v>
      </c>
      <c r="N93" s="60">
        <v>110.50054</v>
      </c>
      <c r="O93" s="46">
        <v>59</v>
      </c>
      <c r="P93" s="53">
        <v>0.14610000000000001</v>
      </c>
      <c r="Q93" s="53">
        <v>0.1691</v>
      </c>
      <c r="R93" s="56">
        <f t="shared" si="36"/>
        <v>-1.9355583789139553E-3</v>
      </c>
      <c r="S93" s="56">
        <f t="shared" si="37"/>
        <v>5.5356057052993032E-3</v>
      </c>
      <c r="T93" s="56">
        <f t="shared" si="38"/>
        <v>0</v>
      </c>
      <c r="U93" s="57">
        <f t="shared" si="39"/>
        <v>-4.7999999999999987E-3</v>
      </c>
      <c r="V93" s="58">
        <f t="shared" si="40"/>
        <v>-5.2000000000000102E-3</v>
      </c>
    </row>
    <row r="94" spans="1:22">
      <c r="A94" s="136">
        <v>83</v>
      </c>
      <c r="B94" s="138" t="s">
        <v>137</v>
      </c>
      <c r="C94" s="147" t="s">
        <v>47</v>
      </c>
      <c r="D94" s="29">
        <v>1402517234.79</v>
      </c>
      <c r="E94" s="30">
        <f t="shared" si="41"/>
        <v>6.7298826998038117E-3</v>
      </c>
      <c r="F94" s="60">
        <v>101.17</v>
      </c>
      <c r="G94" s="60">
        <v>101.17</v>
      </c>
      <c r="H94" s="32">
        <v>289</v>
      </c>
      <c r="I94" s="50">
        <v>1.6999999999999999E-3</v>
      </c>
      <c r="J94" s="50">
        <v>3.9100000000000003E-2</v>
      </c>
      <c r="K94" s="29">
        <v>1394573637.8099999</v>
      </c>
      <c r="L94" s="30">
        <f t="shared" si="35"/>
        <v>6.6717784997754942E-3</v>
      </c>
      <c r="M94" s="60">
        <v>101.39</v>
      </c>
      <c r="N94" s="60">
        <v>101.39</v>
      </c>
      <c r="O94" s="32">
        <v>289</v>
      </c>
      <c r="P94" s="50">
        <v>1.6999999999999999E-3</v>
      </c>
      <c r="Q94" s="50">
        <v>4.1300000000000003E-2</v>
      </c>
      <c r="R94" s="56">
        <f t="shared" si="36"/>
        <v>-5.6638141642440642E-3</v>
      </c>
      <c r="S94" s="56">
        <f t="shared" si="37"/>
        <v>2.1745576752001468E-3</v>
      </c>
      <c r="T94" s="56">
        <f t="shared" si="38"/>
        <v>0</v>
      </c>
      <c r="U94" s="57">
        <f t="shared" si="39"/>
        <v>0</v>
      </c>
      <c r="V94" s="58">
        <f t="shared" si="40"/>
        <v>2.2000000000000006E-3</v>
      </c>
    </row>
    <row r="95" spans="1:22">
      <c r="A95" s="136">
        <v>84</v>
      </c>
      <c r="B95" s="137" t="s">
        <v>138</v>
      </c>
      <c r="C95" s="138" t="s">
        <v>19</v>
      </c>
      <c r="D95" s="29">
        <v>1438853403.03</v>
      </c>
      <c r="E95" s="30">
        <f t="shared" si="41"/>
        <v>6.904239309440877E-3</v>
      </c>
      <c r="F95" s="60">
        <v>360.27080000000001</v>
      </c>
      <c r="G95" s="60">
        <v>360.27080000000001</v>
      </c>
      <c r="H95" s="32">
        <v>90</v>
      </c>
      <c r="I95" s="50">
        <v>2.5999999999999999E-3</v>
      </c>
      <c r="J95" s="50">
        <v>4.99E-2</v>
      </c>
      <c r="K95" s="29">
        <v>1445219908.0799999</v>
      </c>
      <c r="L95" s="30">
        <f t="shared" si="35"/>
        <v>6.9140752763098869E-3</v>
      </c>
      <c r="M95" s="60">
        <v>361.2167</v>
      </c>
      <c r="N95" s="60">
        <v>361.2167</v>
      </c>
      <c r="O95" s="32">
        <v>90</v>
      </c>
      <c r="P95" s="50">
        <v>2.5999999999999999E-3</v>
      </c>
      <c r="Q95" s="50">
        <v>5.2600000000000001E-2</v>
      </c>
      <c r="R95" s="56">
        <f t="shared" si="36"/>
        <v>4.4247072263186018E-3</v>
      </c>
      <c r="S95" s="56">
        <f t="shared" si="37"/>
        <v>2.6255250217336367E-3</v>
      </c>
      <c r="T95" s="56">
        <f t="shared" si="38"/>
        <v>0</v>
      </c>
      <c r="U95" s="57">
        <f t="shared" si="39"/>
        <v>0</v>
      </c>
      <c r="V95" s="58">
        <f t="shared" si="40"/>
        <v>2.700000000000001E-3</v>
      </c>
    </row>
    <row r="96" spans="1:22">
      <c r="A96" s="136">
        <v>85</v>
      </c>
      <c r="B96" s="137" t="s">
        <v>139</v>
      </c>
      <c r="C96" s="138" t="s">
        <v>89</v>
      </c>
      <c r="D96" s="44">
        <v>1526192617</v>
      </c>
      <c r="E96" s="30">
        <f>(D96/$K$70)</f>
        <v>5.163086741073428E-4</v>
      </c>
      <c r="F96" s="60">
        <v>103.23</v>
      </c>
      <c r="G96" s="60">
        <v>103.23</v>
      </c>
      <c r="H96" s="32">
        <v>393</v>
      </c>
      <c r="I96" s="50">
        <v>2.8E-3</v>
      </c>
      <c r="J96" s="50">
        <v>0.14449999999999999</v>
      </c>
      <c r="K96" s="44">
        <v>1530802349</v>
      </c>
      <c r="L96" s="30">
        <f>(K96/$K$70)</f>
        <v>5.1786813953156208E-4</v>
      </c>
      <c r="M96" s="60">
        <v>103.51</v>
      </c>
      <c r="N96" s="60">
        <v>103.51</v>
      </c>
      <c r="O96" s="32">
        <v>393</v>
      </c>
      <c r="P96" s="50">
        <v>2.8E-3</v>
      </c>
      <c r="Q96" s="50">
        <v>0.14460000000000001</v>
      </c>
      <c r="R96" s="56">
        <f t="shared" si="36"/>
        <v>3.0204129863118058E-3</v>
      </c>
      <c r="S96" s="56">
        <f t="shared" si="37"/>
        <v>2.7123898091640135E-3</v>
      </c>
      <c r="T96" s="56">
        <f t="shared" si="38"/>
        <v>0</v>
      </c>
      <c r="U96" s="57">
        <f t="shared" si="39"/>
        <v>0</v>
      </c>
      <c r="V96" s="58">
        <f t="shared" si="40"/>
        <v>1.0000000000001674E-4</v>
      </c>
    </row>
    <row r="97" spans="1:22">
      <c r="A97" s="136">
        <v>86</v>
      </c>
      <c r="B97" s="137" t="s">
        <v>140</v>
      </c>
      <c r="C97" s="138" t="s">
        <v>45</v>
      </c>
      <c r="D97" s="29">
        <v>63895059.390000001</v>
      </c>
      <c r="E97" s="30">
        <f t="shared" ref="E97:E109" si="47">(D97/$D$110)</f>
        <v>3.0659605752087838E-4</v>
      </c>
      <c r="F97" s="29">
        <v>12.642193000000001</v>
      </c>
      <c r="G97" s="29">
        <v>13.071032000000001</v>
      </c>
      <c r="H97" s="32">
        <v>58</v>
      </c>
      <c r="I97" s="50">
        <v>1.4E-3</v>
      </c>
      <c r="J97" s="50">
        <v>3.49E-2</v>
      </c>
      <c r="K97" s="29">
        <v>61926963.609999999</v>
      </c>
      <c r="L97" s="30">
        <f t="shared" ref="L97:L109" si="48">(K97/$K$110)</f>
        <v>2.9626473150489005E-4</v>
      </c>
      <c r="M97" s="29">
        <v>12.668418000000001</v>
      </c>
      <c r="N97" s="29">
        <v>13.104820999999999</v>
      </c>
      <c r="O97" s="32">
        <v>58</v>
      </c>
      <c r="P97" s="50">
        <v>1E-3</v>
      </c>
      <c r="Q97" s="50">
        <v>3.6700000000000003E-2</v>
      </c>
      <c r="R97" s="56">
        <f t="shared" si="36"/>
        <v>-3.0802002514579731E-2</v>
      </c>
      <c r="S97" s="56">
        <f t="shared" si="37"/>
        <v>2.5850292463516834E-3</v>
      </c>
      <c r="T97" s="56">
        <f t="shared" si="38"/>
        <v>0</v>
      </c>
      <c r="U97" s="57">
        <f t="shared" si="39"/>
        <v>-3.9999999999999996E-4</v>
      </c>
      <c r="V97" s="58">
        <f t="shared" si="40"/>
        <v>1.800000000000003E-3</v>
      </c>
    </row>
    <row r="98" spans="1:22">
      <c r="A98" s="136">
        <v>87</v>
      </c>
      <c r="B98" s="137" t="s">
        <v>141</v>
      </c>
      <c r="C98" s="138" t="s">
        <v>142</v>
      </c>
      <c r="D98" s="29">
        <v>532656038.68000001</v>
      </c>
      <c r="E98" s="30">
        <f t="shared" si="47"/>
        <v>2.5559134467216041E-3</v>
      </c>
      <c r="F98" s="29">
        <v>140.16999999999999</v>
      </c>
      <c r="G98" s="29">
        <v>140.16999999999999</v>
      </c>
      <c r="H98" s="32">
        <v>133</v>
      </c>
      <c r="I98" s="50">
        <v>0.19470000000000001</v>
      </c>
      <c r="J98" s="50">
        <v>0.1971</v>
      </c>
      <c r="K98" s="29">
        <v>533422106.42000002</v>
      </c>
      <c r="L98" s="30">
        <f t="shared" si="48"/>
        <v>2.551944224692695E-3</v>
      </c>
      <c r="M98" s="29">
        <v>140.66</v>
      </c>
      <c r="N98" s="29">
        <v>139.69</v>
      </c>
      <c r="O98" s="32">
        <v>132</v>
      </c>
      <c r="P98" s="50">
        <v>0.20119999999999999</v>
      </c>
      <c r="Q98" s="50">
        <v>0.19719999999999999</v>
      </c>
      <c r="R98" s="56">
        <f t="shared" si="36"/>
        <v>1.4382034265460278E-3</v>
      </c>
      <c r="S98" s="56">
        <f t="shared" si="37"/>
        <v>-3.4244132125275722E-3</v>
      </c>
      <c r="T98" s="56">
        <f t="shared" si="38"/>
        <v>-7.5187969924812026E-3</v>
      </c>
      <c r="U98" s="57">
        <f t="shared" si="39"/>
        <v>6.499999999999978E-3</v>
      </c>
      <c r="V98" s="58">
        <f t="shared" si="40"/>
        <v>9.9999999999988987E-5</v>
      </c>
    </row>
    <row r="99" spans="1:22">
      <c r="A99" s="136">
        <v>88</v>
      </c>
      <c r="B99" s="137" t="s">
        <v>143</v>
      </c>
      <c r="C99" s="138" t="s">
        <v>144</v>
      </c>
      <c r="D99" s="29">
        <v>8903926365.5833435</v>
      </c>
      <c r="E99" s="30">
        <f t="shared" si="47"/>
        <v>4.2724879610508741E-2</v>
      </c>
      <c r="F99" s="29">
        <v>1.0655189058718273</v>
      </c>
      <c r="G99" s="29">
        <v>1.0655189058718273</v>
      </c>
      <c r="H99" s="32">
        <v>4699</v>
      </c>
      <c r="I99" s="50">
        <v>0.19009999999999999</v>
      </c>
      <c r="J99" s="50">
        <v>0.19009999999999999</v>
      </c>
      <c r="K99" s="29">
        <v>9364024325.6759911</v>
      </c>
      <c r="L99" s="30">
        <f t="shared" si="48"/>
        <v>4.4798420444493947E-2</v>
      </c>
      <c r="M99" s="29">
        <v>1.0655189058718273</v>
      </c>
      <c r="N99" s="29">
        <v>1.0655189058718273</v>
      </c>
      <c r="O99" s="32">
        <v>4706</v>
      </c>
      <c r="P99" s="50">
        <v>0.19040000000000001</v>
      </c>
      <c r="Q99" s="50">
        <v>0.19040000000000001</v>
      </c>
      <c r="R99" s="56">
        <f t="shared" si="36"/>
        <v>5.1673603442081488E-2</v>
      </c>
      <c r="S99" s="56">
        <f t="shared" si="37"/>
        <v>0</v>
      </c>
      <c r="T99" s="56">
        <f t="shared" si="38"/>
        <v>1.4896786550329857E-3</v>
      </c>
      <c r="U99" s="57">
        <f t="shared" si="39"/>
        <v>3.0000000000002247E-4</v>
      </c>
      <c r="V99" s="58">
        <f t="shared" si="40"/>
        <v>3.0000000000002247E-4</v>
      </c>
    </row>
    <row r="100" spans="1:22" ht="14.25" customHeight="1">
      <c r="A100" s="136">
        <v>89</v>
      </c>
      <c r="B100" s="137" t="s">
        <v>145</v>
      </c>
      <c r="C100" s="138" t="s">
        <v>49</v>
      </c>
      <c r="D100" s="29">
        <v>8071268589.1099997</v>
      </c>
      <c r="E100" s="30">
        <f t="shared" si="47"/>
        <v>3.8729428413373103E-2</v>
      </c>
      <c r="F100" s="29">
        <v>5173.2</v>
      </c>
      <c r="G100" s="29">
        <v>5173.2</v>
      </c>
      <c r="H100" s="32">
        <v>248</v>
      </c>
      <c r="I100" s="50">
        <v>0</v>
      </c>
      <c r="J100" s="50">
        <v>1.1000000000000001E-3</v>
      </c>
      <c r="K100" s="29">
        <v>8020009419.0699997</v>
      </c>
      <c r="L100" s="30">
        <f t="shared" si="48"/>
        <v>3.8368519925685129E-2</v>
      </c>
      <c r="M100" s="29">
        <v>5173.43</v>
      </c>
      <c r="N100" s="29">
        <v>5173.43</v>
      </c>
      <c r="O100" s="32">
        <v>246</v>
      </c>
      <c r="P100" s="50">
        <v>0</v>
      </c>
      <c r="Q100" s="50">
        <v>1.1999999999999999E-3</v>
      </c>
      <c r="R100" s="56">
        <f t="shared" si="36"/>
        <v>-6.3508195117134856E-3</v>
      </c>
      <c r="S100" s="56">
        <f t="shared" si="37"/>
        <v>4.4459908760626486E-5</v>
      </c>
      <c r="T100" s="56">
        <f t="shared" si="38"/>
        <v>-8.0645161290322578E-3</v>
      </c>
      <c r="U100" s="57">
        <f t="shared" si="39"/>
        <v>0</v>
      </c>
      <c r="V100" s="58">
        <f t="shared" si="40"/>
        <v>9.9999999999999829E-5</v>
      </c>
    </row>
    <row r="101" spans="1:22" ht="13.5" customHeight="1">
      <c r="A101" s="136">
        <v>90</v>
      </c>
      <c r="B101" s="137" t="s">
        <v>146</v>
      </c>
      <c r="C101" s="138" t="s">
        <v>49</v>
      </c>
      <c r="D101" s="29">
        <v>17961474283.830002</v>
      </c>
      <c r="E101" s="30">
        <f t="shared" si="47"/>
        <v>8.6186901698800042E-2</v>
      </c>
      <c r="F101" s="60">
        <v>259.08999999999997</v>
      </c>
      <c r="G101" s="60">
        <v>259.08999999999997</v>
      </c>
      <c r="H101" s="32">
        <v>6218</v>
      </c>
      <c r="I101" s="50">
        <v>0</v>
      </c>
      <c r="J101" s="50">
        <v>8.9999999999999998E-4</v>
      </c>
      <c r="K101" s="29">
        <v>17823280710.240002</v>
      </c>
      <c r="L101" s="30">
        <f t="shared" si="48"/>
        <v>8.5268341386963417E-2</v>
      </c>
      <c r="M101" s="60">
        <v>259.08999999999997</v>
      </c>
      <c r="N101" s="60">
        <v>259.08999999999997</v>
      </c>
      <c r="O101" s="32">
        <v>6217</v>
      </c>
      <c r="P101" s="50">
        <v>0</v>
      </c>
      <c r="Q101" s="50">
        <v>8.9999999999999998E-4</v>
      </c>
      <c r="R101" s="56">
        <f t="shared" si="36"/>
        <v>-7.6938881188840002E-3</v>
      </c>
      <c r="S101" s="56">
        <f t="shared" si="37"/>
        <v>0</v>
      </c>
      <c r="T101" s="56">
        <f t="shared" si="38"/>
        <v>-1.6082341588935349E-4</v>
      </c>
      <c r="U101" s="57">
        <f t="shared" si="39"/>
        <v>0</v>
      </c>
      <c r="V101" s="58">
        <f t="shared" si="40"/>
        <v>0</v>
      </c>
    </row>
    <row r="102" spans="1:22" ht="13.5" customHeight="1">
      <c r="A102" s="136">
        <v>91</v>
      </c>
      <c r="B102" s="137" t="s">
        <v>147</v>
      </c>
      <c r="C102" s="138" t="s">
        <v>49</v>
      </c>
      <c r="D102" s="29">
        <v>461026083.32999998</v>
      </c>
      <c r="E102" s="30">
        <f t="shared" si="47"/>
        <v>2.212202021763704E-3</v>
      </c>
      <c r="F102" s="35">
        <v>7613.89</v>
      </c>
      <c r="G102" s="35">
        <v>7647.72</v>
      </c>
      <c r="H102" s="32">
        <v>15</v>
      </c>
      <c r="I102" s="50">
        <v>4.0000000000000002E-4</v>
      </c>
      <c r="J102" s="50">
        <v>0.1208</v>
      </c>
      <c r="K102" s="29">
        <v>463018315.81999999</v>
      </c>
      <c r="L102" s="30">
        <f t="shared" si="48"/>
        <v>2.2151255127275033E-3</v>
      </c>
      <c r="M102" s="35">
        <v>7646.81</v>
      </c>
      <c r="N102" s="35">
        <v>7680.76</v>
      </c>
      <c r="O102" s="32">
        <v>15</v>
      </c>
      <c r="P102" s="50">
        <v>4.3E-3</v>
      </c>
      <c r="Q102" s="50">
        <v>0.12570000000000001</v>
      </c>
      <c r="R102" s="56">
        <f t="shared" si="36"/>
        <v>4.3213010327096402E-3</v>
      </c>
      <c r="S102" s="56">
        <f t="shared" si="37"/>
        <v>4.320241849858515E-3</v>
      </c>
      <c r="T102" s="56">
        <f t="shared" si="38"/>
        <v>0</v>
      </c>
      <c r="U102" s="57">
        <f t="shared" si="39"/>
        <v>3.8999999999999998E-3</v>
      </c>
      <c r="V102" s="58">
        <f t="shared" si="40"/>
        <v>4.9000000000000016E-3</v>
      </c>
    </row>
    <row r="103" spans="1:22" ht="15" customHeight="1">
      <c r="A103" s="136">
        <v>92</v>
      </c>
      <c r="B103" s="137" t="s">
        <v>148</v>
      </c>
      <c r="C103" s="138" t="s">
        <v>49</v>
      </c>
      <c r="D103" s="29">
        <v>6098196974.7700005</v>
      </c>
      <c r="E103" s="30">
        <f t="shared" si="47"/>
        <v>2.9261779679053669E-2</v>
      </c>
      <c r="F103" s="60">
        <v>146.53</v>
      </c>
      <c r="G103" s="60">
        <v>146.53</v>
      </c>
      <c r="H103" s="32">
        <v>4593</v>
      </c>
      <c r="I103" s="50">
        <v>3.0999999999999999E-3</v>
      </c>
      <c r="J103" s="50">
        <v>6.2700000000000006E-2</v>
      </c>
      <c r="K103" s="29">
        <v>6089227561.7200003</v>
      </c>
      <c r="L103" s="30">
        <f t="shared" si="48"/>
        <v>2.9131468159918589E-2</v>
      </c>
      <c r="M103" s="60">
        <v>146.97</v>
      </c>
      <c r="N103" s="60">
        <v>146.97</v>
      </c>
      <c r="O103" s="32">
        <v>4611</v>
      </c>
      <c r="P103" s="50">
        <v>3.0000000000000001E-3</v>
      </c>
      <c r="Q103" s="50">
        <v>6.59E-2</v>
      </c>
      <c r="R103" s="56">
        <f t="shared" si="36"/>
        <v>-1.4708303269161753E-3</v>
      </c>
      <c r="S103" s="56">
        <f t="shared" si="37"/>
        <v>3.0027980618303265E-3</v>
      </c>
      <c r="T103" s="56">
        <f t="shared" si="38"/>
        <v>3.9190071848465057E-3</v>
      </c>
      <c r="U103" s="57">
        <f t="shared" si="39"/>
        <v>-9.9999999999999829E-5</v>
      </c>
      <c r="V103" s="58">
        <f t="shared" si="40"/>
        <v>3.1999999999999945E-3</v>
      </c>
    </row>
    <row r="104" spans="1:22" ht="15" customHeight="1">
      <c r="A104" s="136">
        <v>93</v>
      </c>
      <c r="B104" s="137" t="s">
        <v>149</v>
      </c>
      <c r="C104" s="138" t="s">
        <v>49</v>
      </c>
      <c r="D104" s="29">
        <v>7576825354.2700005</v>
      </c>
      <c r="E104" s="30">
        <f t="shared" si="47"/>
        <v>3.6356876483426247E-2</v>
      </c>
      <c r="F104" s="60">
        <v>367.18</v>
      </c>
      <c r="G104" s="60">
        <v>367.84</v>
      </c>
      <c r="H104" s="32">
        <v>10223</v>
      </c>
      <c r="I104" s="50">
        <v>2E-3</v>
      </c>
      <c r="J104" s="50">
        <v>3.8399999999999997E-2</v>
      </c>
      <c r="K104" s="29">
        <v>7535630983.8599997</v>
      </c>
      <c r="L104" s="30">
        <f t="shared" si="48"/>
        <v>3.605120548478985E-2</v>
      </c>
      <c r="M104" s="60">
        <v>366.45</v>
      </c>
      <c r="N104" s="60">
        <v>367</v>
      </c>
      <c r="O104" s="32">
        <v>10232</v>
      </c>
      <c r="P104" s="50">
        <v>-2.3E-3</v>
      </c>
      <c r="Q104" s="50">
        <v>3.5999999999999997E-2</v>
      </c>
      <c r="R104" s="56">
        <f t="shared" si="36"/>
        <v>-5.4368905819883098E-3</v>
      </c>
      <c r="S104" s="56">
        <f t="shared" si="37"/>
        <v>-2.2836015658981488E-3</v>
      </c>
      <c r="T104" s="56">
        <f t="shared" si="38"/>
        <v>8.8036779810231835E-4</v>
      </c>
      <c r="U104" s="57">
        <f t="shared" si="39"/>
        <v>-4.3E-3</v>
      </c>
      <c r="V104" s="58">
        <f t="shared" si="40"/>
        <v>-2.3999999999999994E-3</v>
      </c>
    </row>
    <row r="105" spans="1:22">
      <c r="A105" s="136">
        <v>94</v>
      </c>
      <c r="B105" s="137" t="s">
        <v>150</v>
      </c>
      <c r="C105" s="138" t="s">
        <v>52</v>
      </c>
      <c r="D105" s="29">
        <v>88237208679.169998</v>
      </c>
      <c r="E105" s="30">
        <f t="shared" si="47"/>
        <v>0.42340019034264414</v>
      </c>
      <c r="F105" s="29">
        <v>2.0217999999999998</v>
      </c>
      <c r="G105" s="29">
        <v>2.0217999999999998</v>
      </c>
      <c r="H105" s="32">
        <v>6478</v>
      </c>
      <c r="I105" s="50">
        <v>8.6099999999999996E-2</v>
      </c>
      <c r="J105" s="50">
        <v>8.1699999999999995E-2</v>
      </c>
      <c r="K105" s="29">
        <v>87272158605.259995</v>
      </c>
      <c r="L105" s="30">
        <f t="shared" si="48"/>
        <v>0.41751865632992774</v>
      </c>
      <c r="M105" s="29">
        <v>2.0249000000000001</v>
      </c>
      <c r="N105" s="29">
        <v>2.0249000000000001</v>
      </c>
      <c r="O105" s="32">
        <v>6485</v>
      </c>
      <c r="P105" s="50">
        <v>8.3199999999999996E-2</v>
      </c>
      <c r="Q105" s="50">
        <v>8.1799999999999998E-2</v>
      </c>
      <c r="R105" s="56">
        <f t="shared" si="36"/>
        <v>-1.0936996856041995E-2</v>
      </c>
      <c r="S105" s="56">
        <f t="shared" si="37"/>
        <v>1.5332871698488105E-3</v>
      </c>
      <c r="T105" s="56">
        <f t="shared" si="38"/>
        <v>1.0805804260574251E-3</v>
      </c>
      <c r="U105" s="57">
        <f t="shared" si="39"/>
        <v>-2.8999999999999998E-3</v>
      </c>
      <c r="V105" s="58">
        <f t="shared" si="40"/>
        <v>1.0000000000000286E-4</v>
      </c>
    </row>
    <row r="106" spans="1:22">
      <c r="A106" s="136">
        <v>95</v>
      </c>
      <c r="B106" s="137" t="s">
        <v>151</v>
      </c>
      <c r="C106" s="138" t="s">
        <v>52</v>
      </c>
      <c r="D106" s="29">
        <v>27307885757.52</v>
      </c>
      <c r="E106" s="30">
        <f t="shared" si="47"/>
        <v>0.13103501573388515</v>
      </c>
      <c r="F106" s="29">
        <v>116.9195</v>
      </c>
      <c r="G106" s="29">
        <v>116.9195</v>
      </c>
      <c r="H106" s="32">
        <v>584</v>
      </c>
      <c r="I106" s="50">
        <v>0.2014</v>
      </c>
      <c r="J106" s="50">
        <v>0.21609999999999999</v>
      </c>
      <c r="K106" s="29">
        <v>28760741182.299999</v>
      </c>
      <c r="L106" s="30">
        <f t="shared" si="48"/>
        <v>0.1375942362993525</v>
      </c>
      <c r="M106" s="29">
        <v>117.3304</v>
      </c>
      <c r="N106" s="29">
        <v>117.3304</v>
      </c>
      <c r="O106" s="32">
        <v>610</v>
      </c>
      <c r="P106" s="50">
        <v>0.20069999999999999</v>
      </c>
      <c r="Q106" s="50">
        <v>0.21529999999999999</v>
      </c>
      <c r="R106" s="56">
        <f t="shared" ref="R106:R108" si="49">((K106-D106)/D106)</f>
        <v>5.3202779507743977E-2</v>
      </c>
      <c r="S106" s="56">
        <f t="shared" ref="S106:S108" si="50">((N106-G106)/G106)</f>
        <v>3.5143838281894639E-3</v>
      </c>
      <c r="T106" s="56">
        <f t="shared" ref="T106:T108" si="51">((O106-H106)/H106)</f>
        <v>4.4520547945205477E-2</v>
      </c>
      <c r="U106" s="57">
        <f t="shared" ref="U106:U108" si="52">P106-I106</f>
        <v>-7.0000000000000617E-4</v>
      </c>
      <c r="V106" s="58">
        <f t="shared" ref="V106:V108" si="53">Q106-J106</f>
        <v>-7.9999999999999516E-4</v>
      </c>
    </row>
    <row r="107" spans="1:22">
      <c r="A107" s="136">
        <v>96</v>
      </c>
      <c r="B107" s="137" t="s">
        <v>152</v>
      </c>
      <c r="C107" s="137" t="s">
        <v>153</v>
      </c>
      <c r="D107" s="29">
        <v>104367536.23999999</v>
      </c>
      <c r="E107" s="30">
        <f t="shared" si="47"/>
        <v>5.008004601582607E-4</v>
      </c>
      <c r="F107" s="29">
        <v>115.18775439068902</v>
      </c>
      <c r="G107" s="29">
        <v>115.18775439068902</v>
      </c>
      <c r="H107" s="62">
        <v>71</v>
      </c>
      <c r="I107" s="63">
        <v>4.0567530147762303E-3</v>
      </c>
      <c r="J107" s="63">
        <v>4.3335208795100666E-2</v>
      </c>
      <c r="K107" s="29">
        <v>104610317.73999999</v>
      </c>
      <c r="L107" s="64">
        <f t="shared" si="48"/>
        <v>5.004661280191957E-4</v>
      </c>
      <c r="M107" s="29">
        <v>115.45570606225377</v>
      </c>
      <c r="N107" s="29">
        <v>115.45570606225377</v>
      </c>
      <c r="O107" s="62">
        <v>71</v>
      </c>
      <c r="P107" s="63">
        <v>4.5235197602802538E-3</v>
      </c>
      <c r="Q107" s="63">
        <v>4.5762232524122926E-2</v>
      </c>
      <c r="R107" s="56">
        <f t="shared" si="49"/>
        <v>2.3262166450083483E-3</v>
      </c>
      <c r="S107" s="56">
        <f t="shared" si="50"/>
        <v>2.3262166450082698E-3</v>
      </c>
      <c r="T107" s="56">
        <f t="shared" si="51"/>
        <v>0</v>
      </c>
      <c r="U107" s="57">
        <f t="shared" si="52"/>
        <v>4.667667455040235E-4</v>
      </c>
      <c r="V107" s="58">
        <f t="shared" si="53"/>
        <v>2.4270237290222596E-3</v>
      </c>
    </row>
    <row r="108" spans="1:22">
      <c r="A108" s="136">
        <v>97</v>
      </c>
      <c r="B108" s="137" t="s">
        <v>154</v>
      </c>
      <c r="C108" s="138" t="s">
        <v>109</v>
      </c>
      <c r="D108" s="29">
        <v>287572847.36000001</v>
      </c>
      <c r="E108" s="30">
        <f t="shared" si="47"/>
        <v>1.3798985726340574E-3</v>
      </c>
      <c r="F108" s="29">
        <v>1.1981999999999999</v>
      </c>
      <c r="G108" s="29">
        <v>1.1981999999999999</v>
      </c>
      <c r="H108" s="32">
        <v>488</v>
      </c>
      <c r="I108" s="50">
        <v>3.722E-3</v>
      </c>
      <c r="J108" s="50">
        <v>0.113008</v>
      </c>
      <c r="K108" s="29">
        <v>291944817.36000001</v>
      </c>
      <c r="L108" s="30">
        <f t="shared" si="48"/>
        <v>1.3966929409637266E-3</v>
      </c>
      <c r="M108" s="29">
        <v>1.2000999999999999</v>
      </c>
      <c r="N108" s="29">
        <v>1.2000999999999999</v>
      </c>
      <c r="O108" s="32">
        <v>492</v>
      </c>
      <c r="P108" s="50">
        <v>5.3799999999999996E-4</v>
      </c>
      <c r="Q108" s="50">
        <v>0.114748</v>
      </c>
      <c r="R108" s="56">
        <f t="shared" si="49"/>
        <v>1.5203000005514845E-2</v>
      </c>
      <c r="S108" s="56">
        <f t="shared" si="50"/>
        <v>1.5857119011851218E-3</v>
      </c>
      <c r="T108" s="56">
        <f t="shared" si="51"/>
        <v>8.1967213114754103E-3</v>
      </c>
      <c r="U108" s="57">
        <f t="shared" si="52"/>
        <v>-3.1840000000000002E-3</v>
      </c>
      <c r="V108" s="58">
        <f t="shared" si="53"/>
        <v>1.7400000000000054E-3</v>
      </c>
    </row>
    <row r="109" spans="1:22">
      <c r="A109" s="136">
        <v>98</v>
      </c>
      <c r="B109" s="137" t="s">
        <v>155</v>
      </c>
      <c r="C109" s="138" t="s">
        <v>111</v>
      </c>
      <c r="D109" s="29">
        <v>1963209173.9400001</v>
      </c>
      <c r="E109" s="30">
        <f t="shared" si="47"/>
        <v>9.4203244908952627E-3</v>
      </c>
      <c r="F109" s="60">
        <v>28.7392</v>
      </c>
      <c r="G109" s="60">
        <v>28.7392</v>
      </c>
      <c r="H109" s="32">
        <v>1299</v>
      </c>
      <c r="I109" s="50">
        <v>0</v>
      </c>
      <c r="J109" s="50">
        <v>0.1163</v>
      </c>
      <c r="K109" s="29">
        <v>1965684620.98</v>
      </c>
      <c r="L109" s="30">
        <f t="shared" si="48"/>
        <v>9.4040300461928506E-3</v>
      </c>
      <c r="M109" s="60">
        <v>28.792100000000001</v>
      </c>
      <c r="N109" s="60">
        <v>28.792100000000001</v>
      </c>
      <c r="O109" s="32">
        <v>1299</v>
      </c>
      <c r="P109" s="50">
        <v>0</v>
      </c>
      <c r="Q109" s="50">
        <v>0.1133</v>
      </c>
      <c r="R109" s="56">
        <f t="shared" si="36"/>
        <v>1.26091863916464E-3</v>
      </c>
      <c r="S109" s="56">
        <f t="shared" si="37"/>
        <v>1.8406914597483945E-3</v>
      </c>
      <c r="T109" s="56">
        <f t="shared" si="38"/>
        <v>0</v>
      </c>
      <c r="U109" s="57">
        <f t="shared" si="39"/>
        <v>0</v>
      </c>
      <c r="V109" s="58">
        <f t="shared" si="40"/>
        <v>-3.0000000000000027E-3</v>
      </c>
    </row>
    <row r="110" spans="1:22">
      <c r="A110" s="36"/>
      <c r="B110" s="37"/>
      <c r="C110" s="38" t="s">
        <v>53</v>
      </c>
      <c r="D110" s="48">
        <f>SUM(D73:D109)</f>
        <v>208401438383.2999</v>
      </c>
      <c r="E110" s="40">
        <f>(D110/$D$223)</f>
        <v>3.7209485378615667E-2</v>
      </c>
      <c r="F110" s="41"/>
      <c r="G110" s="45"/>
      <c r="H110" s="43">
        <f>SUM(H73:H109)</f>
        <v>50918</v>
      </c>
      <c r="I110" s="53"/>
      <c r="J110" s="53"/>
      <c r="K110" s="48">
        <f>SUM(K73:K109)</f>
        <v>209025769943.79047</v>
      </c>
      <c r="L110" s="40">
        <f>(K110/$K$223)</f>
        <v>3.7227723553501867E-2</v>
      </c>
      <c r="M110" s="41"/>
      <c r="N110" s="45"/>
      <c r="O110" s="43">
        <f>SUM(O73:O109)</f>
        <v>51027</v>
      </c>
      <c r="P110" s="53"/>
      <c r="Q110" s="53"/>
      <c r="R110" s="56">
        <f t="shared" si="36"/>
        <v>2.9958121466622297E-3</v>
      </c>
      <c r="S110" s="56" t="e">
        <f t="shared" si="37"/>
        <v>#DIV/0!</v>
      </c>
      <c r="T110" s="56">
        <f t="shared" si="38"/>
        <v>2.1406968066302683E-3</v>
      </c>
      <c r="U110" s="57">
        <f t="shared" si="39"/>
        <v>0</v>
      </c>
      <c r="V110" s="58">
        <f t="shared" si="40"/>
        <v>0</v>
      </c>
    </row>
    <row r="111" spans="1:22" ht="3.75" customHeight="1">
      <c r="A111" s="36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</row>
    <row r="112" spans="1:22" ht="15" customHeight="1">
      <c r="A112" s="151" t="s">
        <v>156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</row>
    <row r="113" spans="1:28">
      <c r="A113" s="153" t="s">
        <v>157</v>
      </c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Z113" s="65"/>
      <c r="AB113" s="68"/>
    </row>
    <row r="114" spans="1:28" ht="16.5" customHeight="1">
      <c r="A114" s="136">
        <v>99</v>
      </c>
      <c r="B114" s="137" t="s">
        <v>158</v>
      </c>
      <c r="C114" s="138" t="s">
        <v>19</v>
      </c>
      <c r="D114" s="29">
        <v>3210784349.9264398</v>
      </c>
      <c r="E114" s="30">
        <f t="shared" ref="E114:E119" si="54">(D114/$D$150)</f>
        <v>1.6357339289461213E-3</v>
      </c>
      <c r="F114" s="29">
        <v>180574.09810110001</v>
      </c>
      <c r="G114" s="29">
        <v>180574.09810110001</v>
      </c>
      <c r="H114" s="32">
        <v>196</v>
      </c>
      <c r="I114" s="50">
        <v>1.1000000000000001E-3</v>
      </c>
      <c r="J114" s="50">
        <v>2.58E-2</v>
      </c>
      <c r="K114" s="29">
        <f>2010520.18*W133</f>
        <v>3177508724.851398</v>
      </c>
      <c r="L114" s="30">
        <f t="shared" ref="L114:L130" si="55">(K114/$K$150)</f>
        <v>1.6471682145962766E-3</v>
      </c>
      <c r="M114" s="29">
        <f>113.0714*W133</f>
        <v>178702.68779453999</v>
      </c>
      <c r="N114" s="29">
        <f>113.0714*W133</f>
        <v>178702.68779453999</v>
      </c>
      <c r="O114" s="32">
        <v>196</v>
      </c>
      <c r="P114" s="50">
        <v>1.1000000000000001E-3</v>
      </c>
      <c r="Q114" s="50">
        <v>2.69E-2</v>
      </c>
      <c r="R114" s="57">
        <f>((K114-D114)/D114)</f>
        <v>-1.0363706013393309E-2</v>
      </c>
      <c r="S114" s="57">
        <f>((N114-G114)/G114)</f>
        <v>-1.0363669685960464E-2</v>
      </c>
      <c r="T114" s="57">
        <f>((O114-H114)/H114)</f>
        <v>0</v>
      </c>
      <c r="U114" s="57">
        <f>P114-I114</f>
        <v>0</v>
      </c>
      <c r="V114" s="58">
        <f>Q114-J114</f>
        <v>1.1000000000000003E-3</v>
      </c>
      <c r="X114" s="65"/>
      <c r="Y114" s="69"/>
      <c r="Z114" s="65"/>
      <c r="AA114" s="70"/>
    </row>
    <row r="115" spans="1:28" ht="16.5" customHeight="1">
      <c r="A115" s="136">
        <v>100</v>
      </c>
      <c r="B115" s="137" t="s">
        <v>159</v>
      </c>
      <c r="C115" s="138" t="s">
        <v>57</v>
      </c>
      <c r="D115" s="29">
        <v>4078123490.0278797</v>
      </c>
      <c r="E115" s="30">
        <f t="shared" si="54"/>
        <v>2.0775998111562991E-3</v>
      </c>
      <c r="F115" s="29">
        <v>159872.1</v>
      </c>
      <c r="G115" s="29">
        <v>159872.1</v>
      </c>
      <c r="H115" s="32">
        <v>67</v>
      </c>
      <c r="I115" s="50">
        <v>8.3920000000000002E-3</v>
      </c>
      <c r="J115" s="50">
        <v>7.2802000000000006E-2</v>
      </c>
      <c r="K115" s="29">
        <f>2806181.31*W133</f>
        <v>4435004276.3758411</v>
      </c>
      <c r="L115" s="30">
        <f t="shared" si="55"/>
        <v>2.2990332075284816E-3</v>
      </c>
      <c r="M115" s="29">
        <f>100*W133</f>
        <v>158044.10999999999</v>
      </c>
      <c r="N115" s="29">
        <f>100*W133</f>
        <v>158044.10999999999</v>
      </c>
      <c r="O115" s="32">
        <v>67</v>
      </c>
      <c r="P115" s="50">
        <v>-2.8419999999999999E-3</v>
      </c>
      <c r="Q115" s="50">
        <v>6.9959999999999994E-2</v>
      </c>
      <c r="R115" s="57">
        <f>((K115-D115)/D115)</f>
        <v>8.7511029820610375E-2</v>
      </c>
      <c r="S115" s="57">
        <f>((N115-G115)/G115)</f>
        <v>-1.1434077615794248E-2</v>
      </c>
      <c r="T115" s="57">
        <f>((O115-H115)/H115)</f>
        <v>0</v>
      </c>
      <c r="U115" s="57">
        <f>P115-I115</f>
        <v>-1.1234000000000001E-2</v>
      </c>
      <c r="V115" s="58">
        <f>Q115-J115</f>
        <v>-2.8420000000000112E-3</v>
      </c>
      <c r="X115" s="65"/>
      <c r="Y115" s="69"/>
      <c r="Z115" s="65"/>
      <c r="AA115" s="70"/>
    </row>
    <row r="116" spans="1:28">
      <c r="A116" s="136">
        <v>101</v>
      </c>
      <c r="B116" s="137" t="s">
        <v>160</v>
      </c>
      <c r="C116" s="138" t="s">
        <v>23</v>
      </c>
      <c r="D116" s="29">
        <v>16888050048.672798</v>
      </c>
      <c r="E116" s="30">
        <f t="shared" si="54"/>
        <v>8.6036162655978975E-3</v>
      </c>
      <c r="F116" s="29">
        <v>1867.1271041399998</v>
      </c>
      <c r="G116" s="29">
        <v>1867.1271041399998</v>
      </c>
      <c r="H116" s="32">
        <v>305</v>
      </c>
      <c r="I116" s="50">
        <v>0.1255</v>
      </c>
      <c r="J116" s="50">
        <v>7.1800000000000003E-2</v>
      </c>
      <c r="K116" s="29">
        <f>10561810.68*1588.2431</f>
        <v>16774722936.016306</v>
      </c>
      <c r="L116" s="30">
        <f t="shared" si="55"/>
        <v>8.6957402233906987E-3</v>
      </c>
      <c r="M116" s="29">
        <f>1.168*1588.2431</f>
        <v>1855.0679407999999</v>
      </c>
      <c r="N116" s="29">
        <f>1.168*1588.2431</f>
        <v>1855.0679407999999</v>
      </c>
      <c r="O116" s="32">
        <v>306</v>
      </c>
      <c r="P116" s="50">
        <v>7.5999999999999998E-2</v>
      </c>
      <c r="Q116" s="50">
        <v>7.2099999999999997E-2</v>
      </c>
      <c r="R116" s="57">
        <f t="shared" ref="R116:R128" si="56">((K116-D116)/D116)</f>
        <v>-6.7104912840661793E-3</v>
      </c>
      <c r="S116" s="57">
        <f t="shared" ref="S116:S128" si="57">((N116-G116)/G116)</f>
        <v>-6.4586729597899553E-3</v>
      </c>
      <c r="T116" s="57">
        <f t="shared" ref="T116:T128" si="58">((O116-H116)/H116)</f>
        <v>3.2786885245901639E-3</v>
      </c>
      <c r="U116" s="57">
        <f t="shared" ref="U116:U128" si="59">P116-I116</f>
        <v>-4.9500000000000002E-2</v>
      </c>
      <c r="V116" s="58">
        <f t="shared" ref="V116:V128" si="60">Q116-J116</f>
        <v>2.9999999999999472E-4</v>
      </c>
    </row>
    <row r="117" spans="1:28">
      <c r="A117" s="136">
        <v>102</v>
      </c>
      <c r="B117" s="137" t="s">
        <v>291</v>
      </c>
      <c r="C117" s="138" t="s">
        <v>23</v>
      </c>
      <c r="D117" s="29">
        <v>3234075184.62707</v>
      </c>
      <c r="E117" s="30">
        <f t="shared" si="54"/>
        <v>1.6475994435373362E-3</v>
      </c>
      <c r="F117" s="29">
        <v>1629.2337928300001</v>
      </c>
      <c r="G117" s="29">
        <v>1629.2337928300001</v>
      </c>
      <c r="H117" s="32">
        <v>67</v>
      </c>
      <c r="I117" s="50">
        <v>6.1600000000000002E-2</v>
      </c>
      <c r="J117" s="50">
        <v>4.7500000000000001E-2</v>
      </c>
      <c r="K117" s="29">
        <f>2015486.61*1588.2431</f>
        <v>3201082701.4748912</v>
      </c>
      <c r="L117" s="30">
        <f t="shared" si="55"/>
        <v>1.6593885760014745E-3</v>
      </c>
      <c r="M117" s="29">
        <f>1.0188*1588.2431</f>
        <v>1618.1020702799999</v>
      </c>
      <c r="N117" s="29">
        <f>1.0188*1588.2431</f>
        <v>1618.1020702799999</v>
      </c>
      <c r="O117" s="32">
        <v>67</v>
      </c>
      <c r="P117" s="50">
        <v>5.6399999999999999E-2</v>
      </c>
      <c r="Q117" s="50">
        <v>4.8000000000000001E-2</v>
      </c>
      <c r="R117" s="57">
        <f t="shared" si="56"/>
        <v>-1.0201520146781379E-2</v>
      </c>
      <c r="S117" s="57">
        <f t="shared" ref="S117" si="61">((N117-G117)/G117)</f>
        <v>-6.8324893572605265E-3</v>
      </c>
      <c r="T117" s="57">
        <f t="shared" ref="T117" si="62">((O117-H117)/H117)</f>
        <v>0</v>
      </c>
      <c r="U117" s="57">
        <f t="shared" ref="U117" si="63">P117-I117</f>
        <v>-5.2000000000000032E-3</v>
      </c>
      <c r="V117" s="58">
        <f t="shared" ref="V117" si="64">Q117-J117</f>
        <v>5.0000000000000044E-4</v>
      </c>
    </row>
    <row r="118" spans="1:28">
      <c r="A118" s="136">
        <v>103</v>
      </c>
      <c r="B118" s="137" t="s">
        <v>161</v>
      </c>
      <c r="C118" s="138" t="s">
        <v>27</v>
      </c>
      <c r="D118" s="29">
        <v>14410892996.477699</v>
      </c>
      <c r="E118" s="30">
        <f t="shared" si="54"/>
        <v>7.3416287273515152E-3</v>
      </c>
      <c r="F118" s="29">
        <v>1713.9887841</v>
      </c>
      <c r="G118" s="29">
        <v>1713.9887841</v>
      </c>
      <c r="H118" s="32">
        <v>427</v>
      </c>
      <c r="I118" s="50">
        <v>3.6400000000000002E-2</v>
      </c>
      <c r="J118" s="50">
        <v>3.1600000000000003E-2</v>
      </c>
      <c r="K118" s="29">
        <f>9077119.91*W133</f>
        <v>14345853375.392302</v>
      </c>
      <c r="L118" s="30">
        <f t="shared" si="55"/>
        <v>7.4366542273806048E-3</v>
      </c>
      <c r="M118" s="29">
        <f>1.0739*W133</f>
        <v>1697.2356972900002</v>
      </c>
      <c r="N118" s="29">
        <f>1.0739*W133</f>
        <v>1697.2356972900002</v>
      </c>
      <c r="O118" s="32">
        <v>428</v>
      </c>
      <c r="P118" s="50">
        <v>3.6200000000000003E-2</v>
      </c>
      <c r="Q118" s="50">
        <v>3.3300000000000003E-2</v>
      </c>
      <c r="R118" s="57">
        <f t="shared" si="56"/>
        <v>-4.5132262866218395E-3</v>
      </c>
      <c r="S118" s="57">
        <f t="shared" ref="S118:T121" si="65">((N118-G118)/G118)</f>
        <v>-9.7743269765891028E-3</v>
      </c>
      <c r="T118" s="57">
        <f t="shared" si="65"/>
        <v>2.34192037470726E-3</v>
      </c>
      <c r="U118" s="57">
        <f t="shared" si="59"/>
        <v>-1.9999999999999879E-4</v>
      </c>
      <c r="V118" s="58">
        <f t="shared" si="60"/>
        <v>1.7000000000000001E-3</v>
      </c>
    </row>
    <row r="119" spans="1:28">
      <c r="A119" s="136">
        <v>104</v>
      </c>
      <c r="B119" s="137" t="s">
        <v>162</v>
      </c>
      <c r="C119" s="138" t="s">
        <v>63</v>
      </c>
      <c r="D119" s="29">
        <v>781879141.34060991</v>
      </c>
      <c r="E119" s="30">
        <f t="shared" si="54"/>
        <v>3.9832829005018562E-4</v>
      </c>
      <c r="F119" s="29">
        <v>1726.61868</v>
      </c>
      <c r="G119" s="29">
        <v>1742.60589</v>
      </c>
      <c r="H119" s="32">
        <v>31</v>
      </c>
      <c r="I119" s="50">
        <v>0.12529999999999999</v>
      </c>
      <c r="J119" s="50">
        <v>0.123</v>
      </c>
      <c r="K119" s="29">
        <f>490017.52*W133</f>
        <v>774443828.32807207</v>
      </c>
      <c r="L119" s="30">
        <f t="shared" si="55"/>
        <v>4.0145893165782363E-4</v>
      </c>
      <c r="M119" s="29">
        <f>1.1*W133</f>
        <v>1738.4852100000001</v>
      </c>
      <c r="N119" s="29">
        <f>1.11*W133</f>
        <v>1754.2896210000001</v>
      </c>
      <c r="O119" s="32">
        <v>31</v>
      </c>
      <c r="P119" s="50">
        <v>0.14199999999999999</v>
      </c>
      <c r="Q119" s="50">
        <v>0.1225</v>
      </c>
      <c r="R119" s="57">
        <f t="shared" si="56"/>
        <v>-9.50954261267189E-3</v>
      </c>
      <c r="S119" s="57">
        <f t="shared" si="65"/>
        <v>6.7047466481363035E-3</v>
      </c>
      <c r="T119" s="57">
        <f t="shared" si="65"/>
        <v>0</v>
      </c>
      <c r="U119" s="57">
        <f t="shared" si="59"/>
        <v>1.6699999999999993E-2</v>
      </c>
      <c r="V119" s="58">
        <f t="shared" si="60"/>
        <v>-5.0000000000000044E-4</v>
      </c>
    </row>
    <row r="120" spans="1:28">
      <c r="A120" s="136">
        <v>105</v>
      </c>
      <c r="B120" s="137" t="s">
        <v>163</v>
      </c>
      <c r="C120" s="138" t="s">
        <v>29</v>
      </c>
      <c r="D120" s="29">
        <v>452585221.25525999</v>
      </c>
      <c r="E120" s="30">
        <v>0</v>
      </c>
      <c r="F120" s="29">
        <v>2071.9424159999999</v>
      </c>
      <c r="G120" s="29">
        <v>2071.9424159999999</v>
      </c>
      <c r="H120" s="32">
        <v>41</v>
      </c>
      <c r="I120" s="50">
        <v>8.4900000000000004E-4</v>
      </c>
      <c r="J120" s="50">
        <v>4.4499999999999998E-2</v>
      </c>
      <c r="K120" s="29">
        <f>283498.37*W133</f>
        <v>448052475.73100698</v>
      </c>
      <c r="L120" s="30">
        <f t="shared" si="55"/>
        <v>2.322630275483505E-4</v>
      </c>
      <c r="M120" s="29">
        <f>1.2979*W133</f>
        <v>2051.2545036900001</v>
      </c>
      <c r="N120" s="29">
        <f>1.2979*W133</f>
        <v>2051.2545036900001</v>
      </c>
      <c r="O120" s="32">
        <v>42</v>
      </c>
      <c r="P120" s="50">
        <v>8.4800000000000001E-4</v>
      </c>
      <c r="Q120" s="50">
        <v>4.9500000000000002E-2</v>
      </c>
      <c r="R120" s="57">
        <f t="shared" si="56"/>
        <v>-1.0015230969498501E-2</v>
      </c>
      <c r="S120" s="57">
        <f t="shared" si="65"/>
        <v>-9.9847911555085295E-3</v>
      </c>
      <c r="T120" s="57">
        <f t="shared" si="65"/>
        <v>2.4390243902439025E-2</v>
      </c>
      <c r="U120" s="57">
        <f t="shared" si="59"/>
        <v>-1.0000000000000243E-6</v>
      </c>
      <c r="V120" s="58">
        <f t="shared" si="60"/>
        <v>5.0000000000000044E-3</v>
      </c>
    </row>
    <row r="121" spans="1:28">
      <c r="A121" s="136">
        <v>106</v>
      </c>
      <c r="B121" s="137" t="s">
        <v>164</v>
      </c>
      <c r="C121" s="138" t="s">
        <v>72</v>
      </c>
      <c r="D121" s="29">
        <v>846335735.13021004</v>
      </c>
      <c r="E121" s="30">
        <f t="shared" ref="E121:E130" si="66">(D121/$D$150)</f>
        <v>4.311656985819552E-4</v>
      </c>
      <c r="F121" s="29">
        <v>169752.19578000001</v>
      </c>
      <c r="G121" s="29">
        <v>171095.12141999998</v>
      </c>
      <c r="H121" s="32">
        <v>47</v>
      </c>
      <c r="I121" s="50">
        <v>-6.9999999999999999E-4</v>
      </c>
      <c r="J121" s="50">
        <v>1.3100000000000001E-2</v>
      </c>
      <c r="K121" s="29">
        <f>527670.83*W133</f>
        <v>833952667.00311291</v>
      </c>
      <c r="L121" s="30">
        <f t="shared" si="55"/>
        <v>4.3230733398837872E-4</v>
      </c>
      <c r="M121" s="29">
        <f>106.22*W133</f>
        <v>167874.45364200001</v>
      </c>
      <c r="N121" s="29">
        <f>107.13*W133</f>
        <v>169312.65504300001</v>
      </c>
      <c r="O121" s="32">
        <v>47</v>
      </c>
      <c r="P121" s="50">
        <v>6.9999999999999999E-4</v>
      </c>
      <c r="Q121" s="50">
        <v>1.38E-2</v>
      </c>
      <c r="R121" s="57">
        <f t="shared" si="56"/>
        <v>-1.4631389900122764E-2</v>
      </c>
      <c r="S121" s="57">
        <f t="shared" si="65"/>
        <v>-1.0417984815735463E-2</v>
      </c>
      <c r="T121" s="57">
        <f t="shared" si="65"/>
        <v>0</v>
      </c>
      <c r="U121" s="57">
        <f t="shared" si="59"/>
        <v>1.4E-3</v>
      </c>
      <c r="V121" s="58">
        <f t="shared" si="60"/>
        <v>6.9999999999999923E-4</v>
      </c>
    </row>
    <row r="122" spans="1:28">
      <c r="A122" s="136">
        <v>107</v>
      </c>
      <c r="B122" s="137" t="s">
        <v>165</v>
      </c>
      <c r="C122" s="138" t="s">
        <v>75</v>
      </c>
      <c r="D122" s="29">
        <v>5341848475.7006702</v>
      </c>
      <c r="E122" s="30">
        <f t="shared" si="66"/>
        <v>2.7214044428716909E-3</v>
      </c>
      <c r="F122" s="29">
        <v>182445.2411595</v>
      </c>
      <c r="G122" s="29">
        <v>182445.2411595</v>
      </c>
      <c r="H122" s="32">
        <v>61</v>
      </c>
      <c r="I122" s="50" t="s">
        <v>316</v>
      </c>
      <c r="J122" s="50">
        <v>7.2099999999999997E-2</v>
      </c>
      <c r="K122" s="29">
        <v>5271023733.6186571</v>
      </c>
      <c r="L122" s="30">
        <f t="shared" si="55"/>
        <v>2.7324119315534799E-3</v>
      </c>
      <c r="M122" s="29">
        <v>180579.77768900999</v>
      </c>
      <c r="N122" s="29">
        <v>180579.77768900999</v>
      </c>
      <c r="O122" s="32">
        <v>61</v>
      </c>
      <c r="P122" s="50" t="s">
        <v>316</v>
      </c>
      <c r="Q122" s="50">
        <v>7.1800000000000003E-2</v>
      </c>
      <c r="R122" s="57">
        <f t="shared" si="56"/>
        <v>-1.3258470809156247E-2</v>
      </c>
      <c r="S122" s="57">
        <f t="shared" si="57"/>
        <v>-1.0224785577493664E-2</v>
      </c>
      <c r="T122" s="57">
        <f t="shared" si="58"/>
        <v>0</v>
      </c>
      <c r="U122" s="57">
        <f t="shared" si="59"/>
        <v>0</v>
      </c>
      <c r="V122" s="58">
        <f t="shared" si="60"/>
        <v>-2.9999999999999472E-4</v>
      </c>
      <c r="X122" s="66"/>
    </row>
    <row r="123" spans="1:28">
      <c r="A123" s="136">
        <v>108</v>
      </c>
      <c r="B123" s="137" t="s">
        <v>166</v>
      </c>
      <c r="C123" s="138" t="s">
        <v>31</v>
      </c>
      <c r="D123" s="29">
        <v>55176989028.363297</v>
      </c>
      <c r="E123" s="30">
        <f t="shared" si="66"/>
        <v>2.8109914343157148E-2</v>
      </c>
      <c r="F123" s="29">
        <v>207823.3297</v>
      </c>
      <c r="G123" s="29">
        <v>207823.3297</v>
      </c>
      <c r="H123" s="32">
        <v>2412</v>
      </c>
      <c r="I123" s="50">
        <v>1.1000000000000001E-3</v>
      </c>
      <c r="J123" s="50">
        <v>2.8299999999999999E-2</v>
      </c>
      <c r="K123" s="29">
        <f>34554029.6*1579</f>
        <v>54560812738.400002</v>
      </c>
      <c r="L123" s="30">
        <f t="shared" si="55"/>
        <v>2.8283427139742971E-2</v>
      </c>
      <c r="M123" s="29">
        <f>130.1*1579</f>
        <v>205427.9</v>
      </c>
      <c r="N123" s="29">
        <f>130.1*1579</f>
        <v>205427.9</v>
      </c>
      <c r="O123" s="32">
        <v>2413</v>
      </c>
      <c r="P123" s="50">
        <v>1E-3</v>
      </c>
      <c r="Q123" s="50">
        <v>2.9399999999999999E-2</v>
      </c>
      <c r="R123" s="57">
        <f t="shared" si="56"/>
        <v>-1.116726919706609E-2</v>
      </c>
      <c r="S123" s="57">
        <f t="shared" si="57"/>
        <v>-1.1526279092236139E-2</v>
      </c>
      <c r="T123" s="57">
        <f t="shared" si="58"/>
        <v>4.1459369817578774E-4</v>
      </c>
      <c r="U123" s="57">
        <f t="shared" si="59"/>
        <v>-1.0000000000000005E-4</v>
      </c>
      <c r="V123" s="58">
        <f t="shared" si="60"/>
        <v>1.1000000000000003E-3</v>
      </c>
    </row>
    <row r="124" spans="1:28">
      <c r="A124" s="136">
        <v>109</v>
      </c>
      <c r="B124" s="146" t="s">
        <v>167</v>
      </c>
      <c r="C124" s="146" t="s">
        <v>31</v>
      </c>
      <c r="D124" s="29">
        <v>148793109966.2644</v>
      </c>
      <c r="E124" s="30">
        <f t="shared" si="66"/>
        <v>7.5802642544587587E-2</v>
      </c>
      <c r="F124" s="29">
        <v>195638.87349999999</v>
      </c>
      <c r="G124" s="29">
        <v>195638.87349999999</v>
      </c>
      <c r="H124" s="32">
        <v>844</v>
      </c>
      <c r="I124" s="50">
        <v>1.4E-3</v>
      </c>
      <c r="J124" s="50">
        <v>3.0499999999999999E-2</v>
      </c>
      <c r="K124" s="29">
        <f>94127671.54*1579</f>
        <v>148627593361.66</v>
      </c>
      <c r="L124" s="30">
        <f t="shared" si="55"/>
        <v>7.704609768104291E-2</v>
      </c>
      <c r="M124" s="29">
        <f>122.56*1579</f>
        <v>193522.24</v>
      </c>
      <c r="N124" s="29">
        <f>122.56*1579</f>
        <v>193522.24</v>
      </c>
      <c r="O124" s="32">
        <v>850</v>
      </c>
      <c r="P124" s="50">
        <v>1.6999999999999999E-3</v>
      </c>
      <c r="Q124" s="50">
        <v>3.2300000000000002E-2</v>
      </c>
      <c r="R124" s="57">
        <f t="shared" si="56"/>
        <v>-1.1123942811728845E-3</v>
      </c>
      <c r="S124" s="57">
        <f t="shared" si="57"/>
        <v>-1.0819084480160822E-2</v>
      </c>
      <c r="T124" s="57">
        <f t="shared" si="58"/>
        <v>7.1090047393364926E-3</v>
      </c>
      <c r="U124" s="57">
        <f t="shared" si="59"/>
        <v>2.9999999999999992E-4</v>
      </c>
      <c r="V124" s="58">
        <f t="shared" si="60"/>
        <v>1.800000000000003E-3</v>
      </c>
      <c r="X124" s="65"/>
    </row>
    <row r="125" spans="1:28">
      <c r="A125" s="136">
        <v>110</v>
      </c>
      <c r="B125" s="137" t="s">
        <v>303</v>
      </c>
      <c r="C125" s="138" t="s">
        <v>302</v>
      </c>
      <c r="D125" s="29">
        <v>787594025.35047007</v>
      </c>
      <c r="E125" s="30">
        <f t="shared" si="66"/>
        <v>4.0123973742756369E-4</v>
      </c>
      <c r="F125" s="29">
        <v>1598.721</v>
      </c>
      <c r="G125" s="29">
        <v>1598.721</v>
      </c>
      <c r="H125" s="32">
        <v>7</v>
      </c>
      <c r="I125" s="50">
        <v>9.2600000000000002E-2</v>
      </c>
      <c r="J125" s="50">
        <v>8.7599999999999997E-2</v>
      </c>
      <c r="K125" s="29">
        <f>493481.94*W133</f>
        <v>779919140.08373404</v>
      </c>
      <c r="L125" s="30">
        <f t="shared" si="55"/>
        <v>4.0429724313700095E-4</v>
      </c>
      <c r="M125" s="29">
        <f>1*W133</f>
        <v>1580.4411</v>
      </c>
      <c r="N125" s="29">
        <f>1*W133</f>
        <v>1580.4411</v>
      </c>
      <c r="O125" s="32">
        <v>7</v>
      </c>
      <c r="P125" s="50">
        <v>8.8400000000000006E-2</v>
      </c>
      <c r="Q125" s="50">
        <v>9.2999999999999999E-2</v>
      </c>
      <c r="R125" s="57">
        <f t="shared" ref="R125" si="67">((K125-D125)/D125)</f>
        <v>-9.7447225597233258E-3</v>
      </c>
      <c r="S125" s="57">
        <f t="shared" ref="S125" si="68">((N125-G125)/G125)</f>
        <v>-1.1434077615794125E-2</v>
      </c>
      <c r="T125" s="57">
        <f t="shared" si="58"/>
        <v>0</v>
      </c>
      <c r="U125" s="57">
        <f t="shared" si="59"/>
        <v>-4.1999999999999954E-3</v>
      </c>
      <c r="V125" s="58">
        <f t="shared" si="60"/>
        <v>5.400000000000002E-3</v>
      </c>
    </row>
    <row r="126" spans="1:28">
      <c r="A126" s="136">
        <v>111</v>
      </c>
      <c r="B126" s="137" t="s">
        <v>168</v>
      </c>
      <c r="C126" s="138" t="s">
        <v>35</v>
      </c>
      <c r="D126" s="29">
        <v>258414864.3585</v>
      </c>
      <c r="E126" s="30">
        <f t="shared" si="66"/>
        <v>1.3164943992108731E-4</v>
      </c>
      <c r="F126" s="29">
        <v>202398.07859999998</v>
      </c>
      <c r="G126" s="29">
        <v>202398.07859999998</v>
      </c>
      <c r="H126" s="32">
        <v>9</v>
      </c>
      <c r="I126" s="50">
        <v>2E-3</v>
      </c>
      <c r="J126" s="50">
        <v>0.1166</v>
      </c>
      <c r="K126" s="29">
        <f>161972.1*W133</f>
        <v>255987363.89331001</v>
      </c>
      <c r="L126" s="30">
        <f t="shared" si="55"/>
        <v>1.3269963536074011E-4</v>
      </c>
      <c r="M126" s="29">
        <f>126.86*W133</f>
        <v>200494.757946</v>
      </c>
      <c r="N126" s="29">
        <f>126.86*W133</f>
        <v>200494.757946</v>
      </c>
      <c r="O126" s="32">
        <v>9</v>
      </c>
      <c r="P126" s="50">
        <v>2.0999999999999999E-3</v>
      </c>
      <c r="Q126" s="50">
        <v>0.11890000000000001</v>
      </c>
      <c r="R126" s="57">
        <f t="shared" si="56"/>
        <v>-9.3938112701687001E-3</v>
      </c>
      <c r="S126" s="57">
        <f t="shared" si="57"/>
        <v>-9.4038474434410026E-3</v>
      </c>
      <c r="T126" s="57">
        <f t="shared" si="58"/>
        <v>0</v>
      </c>
      <c r="U126" s="57">
        <f t="shared" si="59"/>
        <v>9.9999999999999829E-5</v>
      </c>
      <c r="V126" s="58">
        <f t="shared" si="60"/>
        <v>2.3000000000000104E-3</v>
      </c>
    </row>
    <row r="127" spans="1:28">
      <c r="A127" s="136">
        <v>112</v>
      </c>
      <c r="B127" s="137" t="s">
        <v>169</v>
      </c>
      <c r="C127" s="138" t="s">
        <v>41</v>
      </c>
      <c r="D127" s="29">
        <v>17664678033.230671</v>
      </c>
      <c r="E127" s="30">
        <f t="shared" si="66"/>
        <v>8.9992693540837266E-3</v>
      </c>
      <c r="F127" s="29">
        <v>2254.19661</v>
      </c>
      <c r="G127" s="29">
        <v>2254.19661</v>
      </c>
      <c r="H127" s="46">
        <v>113</v>
      </c>
      <c r="I127" s="53">
        <v>8.9999999999999998E-4</v>
      </c>
      <c r="J127" s="53">
        <v>4.9599999999999998E-2</v>
      </c>
      <c r="K127" s="29">
        <f>11059516.65*W133</f>
        <v>17478914659.794315</v>
      </c>
      <c r="L127" s="30">
        <f t="shared" si="55"/>
        <v>9.0607816205447358E-3</v>
      </c>
      <c r="M127" s="29">
        <f>1.41*W133</f>
        <v>2228.4219509999998</v>
      </c>
      <c r="N127" s="29">
        <f>1.41*W133</f>
        <v>2228.4219509999998</v>
      </c>
      <c r="O127" s="46">
        <v>114</v>
      </c>
      <c r="P127" s="53">
        <v>8.9999999999999998E-4</v>
      </c>
      <c r="Q127" s="53">
        <v>4.9599999999999998E-2</v>
      </c>
      <c r="R127" s="57">
        <f t="shared" si="56"/>
        <v>-1.0516091665350414E-2</v>
      </c>
      <c r="S127" s="57">
        <f t="shared" si="57"/>
        <v>-1.1434077615794194E-2</v>
      </c>
      <c r="T127" s="57">
        <f t="shared" si="58"/>
        <v>8.8495575221238937E-3</v>
      </c>
      <c r="U127" s="57">
        <f t="shared" si="59"/>
        <v>0</v>
      </c>
      <c r="V127" s="58">
        <f t="shared" si="60"/>
        <v>0</v>
      </c>
    </row>
    <row r="128" spans="1:28">
      <c r="A128" s="136">
        <v>113</v>
      </c>
      <c r="B128" s="137" t="s">
        <v>170</v>
      </c>
      <c r="C128" s="138" t="s">
        <v>89</v>
      </c>
      <c r="D128" s="29">
        <v>30484420021.605</v>
      </c>
      <c r="E128" s="30">
        <f t="shared" si="66"/>
        <v>1.5530286278717586E-2</v>
      </c>
      <c r="F128" s="29">
        <v>166906.4724</v>
      </c>
      <c r="G128" s="29">
        <v>166906.4724</v>
      </c>
      <c r="H128" s="32">
        <v>634</v>
      </c>
      <c r="I128" s="53">
        <v>2.5000000000000001E-3</v>
      </c>
      <c r="J128" s="50">
        <v>9.5899999999999999E-2</v>
      </c>
      <c r="K128" s="29">
        <f>19127706.38*W133</f>
        <v>30230213311.684216</v>
      </c>
      <c r="L128" s="30">
        <f t="shared" si="55"/>
        <v>1.567084492893098E-2</v>
      </c>
      <c r="M128" s="29">
        <f>104.61*W133</f>
        <v>165329.94347100001</v>
      </c>
      <c r="N128" s="29">
        <f>104.61*W133</f>
        <v>165329.94347100001</v>
      </c>
      <c r="O128" s="32">
        <v>639</v>
      </c>
      <c r="P128" s="53">
        <v>2.0999999999999999E-3</v>
      </c>
      <c r="Q128" s="50">
        <v>9.6500000000000002E-2</v>
      </c>
      <c r="R128" s="57">
        <f t="shared" si="56"/>
        <v>-8.3389058981808394E-3</v>
      </c>
      <c r="S128" s="57">
        <f t="shared" si="57"/>
        <v>-9.4455829443316E-3</v>
      </c>
      <c r="T128" s="57">
        <f t="shared" si="58"/>
        <v>7.8864353312302835E-3</v>
      </c>
      <c r="U128" s="57">
        <f t="shared" si="59"/>
        <v>-4.0000000000000018E-4</v>
      </c>
      <c r="V128" s="58">
        <f t="shared" si="60"/>
        <v>6.0000000000000331E-4</v>
      </c>
    </row>
    <row r="129" spans="1:24">
      <c r="A129" s="142">
        <v>114</v>
      </c>
      <c r="B129" s="137" t="s">
        <v>171</v>
      </c>
      <c r="C129" s="138" t="s">
        <v>45</v>
      </c>
      <c r="D129" s="29">
        <v>2839921957.2224097</v>
      </c>
      <c r="E129" s="30">
        <f t="shared" si="66"/>
        <v>1.4467981012471914E-3</v>
      </c>
      <c r="F129" s="29">
        <v>221426.88407947801</v>
      </c>
      <c r="G129" s="29">
        <v>229036.30842957299</v>
      </c>
      <c r="H129" s="32">
        <v>50</v>
      </c>
      <c r="I129" s="50">
        <v>8.0000000000000004E-4</v>
      </c>
      <c r="J129" s="50">
        <v>1.01E-2</v>
      </c>
      <c r="K129" s="29">
        <f>1724284.89*W133</f>
        <v>2725130708.2649789</v>
      </c>
      <c r="L129" s="30">
        <f t="shared" si="55"/>
        <v>1.4126628978758308E-3</v>
      </c>
      <c r="M129" s="29">
        <f>139.106168*W133</f>
        <v>219849.1051707048</v>
      </c>
      <c r="N129" s="29">
        <f>143.919446*W133</f>
        <v>227456.20754763059</v>
      </c>
      <c r="O129" s="32">
        <v>50</v>
      </c>
      <c r="P129" s="50">
        <v>4.1999999999999997E-3</v>
      </c>
      <c r="Q129" s="50">
        <v>1.47E-2</v>
      </c>
      <c r="R129" s="57">
        <f t="shared" ref="R129:R130" si="69">((K129-D129)/D129)</f>
        <v>-4.0420564609353775E-2</v>
      </c>
      <c r="S129" s="57">
        <f t="shared" ref="S129:S130" si="70">((N129-G129)/G129)</f>
        <v>-6.8989100146463105E-3</v>
      </c>
      <c r="T129" s="57">
        <f t="shared" ref="T129:T130" si="71">((O129-H129)/H129)</f>
        <v>0</v>
      </c>
      <c r="U129" s="57">
        <f t="shared" ref="U129:U130" si="72">P129-I129</f>
        <v>3.3999999999999998E-3</v>
      </c>
      <c r="V129" s="58">
        <f t="shared" ref="V129:V130" si="73">Q129-J129</f>
        <v>4.5999999999999999E-3</v>
      </c>
    </row>
    <row r="130" spans="1:24">
      <c r="A130" s="136">
        <v>115</v>
      </c>
      <c r="B130" s="137" t="s">
        <v>172</v>
      </c>
      <c r="C130" s="138" t="s">
        <v>52</v>
      </c>
      <c r="D130" s="33">
        <v>178673527122.63251</v>
      </c>
      <c r="E130" s="30">
        <f t="shared" si="66"/>
        <v>9.1025219593356022E-2</v>
      </c>
      <c r="F130" s="29">
        <v>204306.255825</v>
      </c>
      <c r="G130" s="29">
        <v>204306.255825</v>
      </c>
      <c r="H130" s="32">
        <v>3676</v>
      </c>
      <c r="I130" s="50">
        <v>6.1100000000000002E-2</v>
      </c>
      <c r="J130" s="50">
        <v>6.6100000000000006E-2</v>
      </c>
      <c r="K130" s="33">
        <f>111637664.38*1587.38</f>
        <v>177211395683.52441</v>
      </c>
      <c r="L130" s="30">
        <f t="shared" si="55"/>
        <v>9.1863470256182009E-2</v>
      </c>
      <c r="M130" s="29">
        <f>127.6969*1587.38</f>
        <v>202703.505122</v>
      </c>
      <c r="N130" s="29">
        <f>127.6969*1587.38</f>
        <v>202703.505122</v>
      </c>
      <c r="O130" s="32">
        <v>3695</v>
      </c>
      <c r="P130" s="50">
        <v>6.0999999999999999E-2</v>
      </c>
      <c r="Q130" s="50">
        <v>6.59E-2</v>
      </c>
      <c r="R130" s="57">
        <f t="shared" si="69"/>
        <v>-8.183257266223664E-3</v>
      </c>
      <c r="S130" s="57">
        <f t="shared" si="70"/>
        <v>-7.8448439893727268E-3</v>
      </c>
      <c r="T130" s="57">
        <f t="shared" si="71"/>
        <v>5.1686615886833518E-3</v>
      </c>
      <c r="U130" s="57">
        <f t="shared" si="72"/>
        <v>-1.0000000000000286E-4</v>
      </c>
      <c r="V130" s="58">
        <f t="shared" si="73"/>
        <v>-2.0000000000000573E-4</v>
      </c>
    </row>
    <row r="131" spans="1:24" ht="6" customHeight="1">
      <c r="A131" s="36"/>
      <c r="B131" s="152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</row>
    <row r="132" spans="1:24">
      <c r="A132" s="153" t="s">
        <v>173</v>
      </c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</row>
    <row r="133" spans="1:24">
      <c r="A133" s="136">
        <v>116</v>
      </c>
      <c r="B133" s="137" t="s">
        <v>174</v>
      </c>
      <c r="C133" s="138" t="s">
        <v>117</v>
      </c>
      <c r="D133" s="33">
        <v>1946522018.13834</v>
      </c>
      <c r="E133" s="30">
        <f t="shared" ref="E133:E146" si="74">(D133/$D$150)</f>
        <v>9.9165554627874851E-4</v>
      </c>
      <c r="F133" s="29">
        <v>169432.45157999999</v>
      </c>
      <c r="G133" s="29">
        <v>169432.45157999999</v>
      </c>
      <c r="H133" s="32">
        <v>23</v>
      </c>
      <c r="I133" s="50">
        <v>1.38E-2</v>
      </c>
      <c r="J133" s="50">
        <v>2.4500000000000001E-2</v>
      </c>
      <c r="K133" s="33">
        <f>1177765.62*W133</f>
        <v>1861389192.0149822</v>
      </c>
      <c r="L133" s="30">
        <f t="shared" ref="L133:L149" si="75">(K133/$K$150)</f>
        <v>9.649135148239482E-4</v>
      </c>
      <c r="M133" s="29">
        <f>106.03*W133</f>
        <v>167574.16983299999</v>
      </c>
      <c r="N133" s="29">
        <f>106.03*W133</f>
        <v>167574.16983299999</v>
      </c>
      <c r="O133" s="32">
        <v>23</v>
      </c>
      <c r="P133" s="50">
        <v>1.9E-3</v>
      </c>
      <c r="Q133" s="50">
        <v>2.7199999999999998E-2</v>
      </c>
      <c r="R133" s="57">
        <f>((K133-D133)/D133)</f>
        <v>-4.373586598562039E-2</v>
      </c>
      <c r="S133" s="57">
        <f>((N133-G133)/G133)</f>
        <v>-1.0967684936805546E-2</v>
      </c>
      <c r="T133" s="57">
        <f>((O133-H133)/H133)</f>
        <v>0</v>
      </c>
      <c r="U133" s="57">
        <f>P133-I133</f>
        <v>-1.1899999999999999E-2</v>
      </c>
      <c r="V133" s="58">
        <f>Q133-J133</f>
        <v>2.6999999999999975E-3</v>
      </c>
      <c r="W133" s="141">
        <v>1580.4411</v>
      </c>
    </row>
    <row r="134" spans="1:24">
      <c r="A134" s="136">
        <v>117</v>
      </c>
      <c r="B134" s="138" t="s">
        <v>175</v>
      </c>
      <c r="C134" s="138" t="s">
        <v>25</v>
      </c>
      <c r="D134" s="29">
        <v>19395133435.79694</v>
      </c>
      <c r="E134" s="30">
        <f t="shared" si="74"/>
        <v>9.8808497737000785E-3</v>
      </c>
      <c r="F134" s="33">
        <v>218321.33976</v>
      </c>
      <c r="G134" s="33">
        <v>218321.33976</v>
      </c>
      <c r="H134" s="32">
        <v>566</v>
      </c>
      <c r="I134" s="50">
        <v>5.0000000000000001E-4</v>
      </c>
      <c r="J134" s="50">
        <v>2.1100000000000001E-2</v>
      </c>
      <c r="K134" s="29">
        <f>12261078.75*W133</f>
        <v>19377912786.836624</v>
      </c>
      <c r="L134" s="30">
        <f t="shared" si="75"/>
        <v>1.004519098816598E-2</v>
      </c>
      <c r="M134" s="33">
        <f>136.71*W133</f>
        <v>216062.10278100002</v>
      </c>
      <c r="N134" s="33">
        <f>136.71*W133</f>
        <v>216062.10278100002</v>
      </c>
      <c r="O134" s="32">
        <v>572</v>
      </c>
      <c r="P134" s="50">
        <v>5.0000000000000001E-4</v>
      </c>
      <c r="Q134" s="50">
        <v>2.2200000000000001E-2</v>
      </c>
      <c r="R134" s="57">
        <f t="shared" ref="R134:R150" si="76">((K134-D134)/D134)</f>
        <v>-8.8788504690213359E-4</v>
      </c>
      <c r="S134" s="57">
        <f t="shared" ref="S134:S150" si="77">((N134-G134)/G134)</f>
        <v>-1.0348218737955491E-2</v>
      </c>
      <c r="T134" s="57">
        <f t="shared" ref="T134:T150" si="78">((O134-H134)/H134)</f>
        <v>1.0600706713780919E-2</v>
      </c>
      <c r="U134" s="57">
        <f t="shared" ref="U134:U150" si="79">P134-I134</f>
        <v>0</v>
      </c>
      <c r="V134" s="58">
        <f t="shared" ref="V134:V150" si="80">Q134-J134</f>
        <v>1.1000000000000003E-3</v>
      </c>
    </row>
    <row r="135" spans="1:24">
      <c r="A135" s="136">
        <v>118</v>
      </c>
      <c r="B135" s="137" t="s">
        <v>176</v>
      </c>
      <c r="C135" s="138" t="s">
        <v>67</v>
      </c>
      <c r="D135" s="33">
        <v>16422051335.93</v>
      </c>
      <c r="E135" s="30">
        <f t="shared" si="74"/>
        <v>8.3662132443404671E-3</v>
      </c>
      <c r="F135" s="33">
        <v>170867.09</v>
      </c>
      <c r="G135" s="33">
        <v>170867.09</v>
      </c>
      <c r="H135" s="32">
        <v>695</v>
      </c>
      <c r="I135" s="50">
        <v>1.1999999999999999E-3</v>
      </c>
      <c r="J135" s="50">
        <v>6.3399999999999998E-2</v>
      </c>
      <c r="K135" s="33">
        <v>15432120607.76</v>
      </c>
      <c r="L135" s="30">
        <f t="shared" si="75"/>
        <v>7.9997572784342944E-3</v>
      </c>
      <c r="M135" s="33">
        <v>171212.12</v>
      </c>
      <c r="N135" s="33">
        <v>171212.12</v>
      </c>
      <c r="O135" s="32">
        <v>696</v>
      </c>
      <c r="P135" s="50">
        <v>2E-3</v>
      </c>
      <c r="Q135" s="50">
        <v>6.3700000000000007E-2</v>
      </c>
      <c r="R135" s="57">
        <f t="shared" si="76"/>
        <v>-6.0280576885307802E-2</v>
      </c>
      <c r="S135" s="57">
        <f t="shared" si="77"/>
        <v>2.0192887934124635E-3</v>
      </c>
      <c r="T135" s="57">
        <f t="shared" si="78"/>
        <v>1.4388489208633094E-3</v>
      </c>
      <c r="U135" s="57">
        <f t="shared" si="79"/>
        <v>8.0000000000000015E-4</v>
      </c>
      <c r="V135" s="58">
        <f t="shared" si="80"/>
        <v>3.0000000000000859E-4</v>
      </c>
    </row>
    <row r="136" spans="1:24">
      <c r="A136" s="136">
        <v>119</v>
      </c>
      <c r="B136" s="137" t="s">
        <v>298</v>
      </c>
      <c r="C136" s="138" t="s">
        <v>299</v>
      </c>
      <c r="D136" s="29">
        <v>197635392.81773999</v>
      </c>
      <c r="E136" s="30">
        <f t="shared" ref="E136" si="81">(D136/$D$110)</f>
        <v>9.4833986920110126E-4</v>
      </c>
      <c r="F136" s="35">
        <v>1548.3612885</v>
      </c>
      <c r="G136" s="35">
        <v>1548.3612885</v>
      </c>
      <c r="H136" s="32">
        <v>3</v>
      </c>
      <c r="I136" s="50">
        <v>4.1335124522068334E-4</v>
      </c>
      <c r="J136" s="50">
        <v>2.7099999999999999E-2</v>
      </c>
      <c r="K136" s="29">
        <f>123715.73*W133</f>
        <v>195525424.408503</v>
      </c>
      <c r="L136" s="30">
        <f t="shared" ref="L136" si="82">(K136/$K$110)</f>
        <v>9.3541300893704214E-4</v>
      </c>
      <c r="M136" s="35">
        <f>0.9689*W133</f>
        <v>1531.2893817899999</v>
      </c>
      <c r="N136" s="35">
        <f>0.9689*W133</f>
        <v>1531.2893817899999</v>
      </c>
      <c r="O136" s="32">
        <v>3</v>
      </c>
      <c r="P136" s="50">
        <v>4.1335124522068334E-4</v>
      </c>
      <c r="Q136" s="50">
        <v>2.76E-2</v>
      </c>
      <c r="R136" s="56">
        <f t="shared" si="76"/>
        <v>-1.0676065552604827E-2</v>
      </c>
      <c r="S136" s="56">
        <f t="shared" si="77"/>
        <v>-1.1025790193023235E-2</v>
      </c>
      <c r="T136" s="56">
        <f t="shared" si="78"/>
        <v>0</v>
      </c>
      <c r="U136" s="57">
        <f t="shared" si="79"/>
        <v>0</v>
      </c>
      <c r="V136" s="58">
        <f t="shared" si="80"/>
        <v>5.0000000000000044E-4</v>
      </c>
    </row>
    <row r="137" spans="1:24">
      <c r="A137" s="136">
        <v>120</v>
      </c>
      <c r="B137" s="137" t="s">
        <v>177</v>
      </c>
      <c r="C137" s="138" t="s">
        <v>65</v>
      </c>
      <c r="D137" s="33">
        <v>9497244696.7881031</v>
      </c>
      <c r="E137" s="30">
        <f t="shared" si="74"/>
        <v>4.8383708430607712E-3</v>
      </c>
      <c r="F137" s="33">
        <v>2067.1011495672801</v>
      </c>
      <c r="G137" s="33">
        <v>2067.1011495672801</v>
      </c>
      <c r="H137" s="32">
        <v>254</v>
      </c>
      <c r="I137" s="50">
        <v>-5.7630722115463856E-3</v>
      </c>
      <c r="J137" s="50">
        <v>6.1741647961971735E-2</v>
      </c>
      <c r="K137" s="33">
        <v>9419676904.6773014</v>
      </c>
      <c r="L137" s="30">
        <f t="shared" si="75"/>
        <v>4.8830054400170733E-3</v>
      </c>
      <c r="M137" s="33">
        <v>2052.8981264042782</v>
      </c>
      <c r="N137" s="33">
        <v>2052.8981264042782</v>
      </c>
      <c r="O137" s="32">
        <v>254</v>
      </c>
      <c r="P137" s="50">
        <v>0.11051501794972712</v>
      </c>
      <c r="Q137" s="50">
        <v>6.42536092119671E-2</v>
      </c>
      <c r="R137" s="57">
        <f t="shared" si="76"/>
        <v>-8.1673995550556409E-3</v>
      </c>
      <c r="S137" s="57">
        <f t="shared" si="77"/>
        <v>-6.8709860501868312E-3</v>
      </c>
      <c r="T137" s="56">
        <f t="shared" si="78"/>
        <v>0</v>
      </c>
      <c r="U137" s="57">
        <f t="shared" si="79"/>
        <v>0.11627809016127351</v>
      </c>
      <c r="V137" s="58">
        <f t="shared" si="80"/>
        <v>2.5119612499953647E-3</v>
      </c>
    </row>
    <row r="138" spans="1:24">
      <c r="A138" s="136">
        <v>121</v>
      </c>
      <c r="B138" s="137" t="s">
        <v>305</v>
      </c>
      <c r="C138" s="138" t="s">
        <v>37</v>
      </c>
      <c r="D138" s="33">
        <v>96402459113.099991</v>
      </c>
      <c r="E138" s="30">
        <f t="shared" si="74"/>
        <v>4.9112228047564634E-2</v>
      </c>
      <c r="F138" s="33">
        <v>159872.1</v>
      </c>
      <c r="G138" s="33">
        <v>159872.1</v>
      </c>
      <c r="H138" s="32">
        <v>1834</v>
      </c>
      <c r="I138" s="50">
        <v>4.6199999999999998E-2</v>
      </c>
      <c r="J138" s="50">
        <v>4.8050799999999998E-2</v>
      </c>
      <c r="K138" s="33">
        <v>95725173093.319809</v>
      </c>
      <c r="L138" s="30">
        <f t="shared" si="75"/>
        <v>4.9622353897208295E-2</v>
      </c>
      <c r="M138" s="33">
        <f>100*W133</f>
        <v>158044.10999999999</v>
      </c>
      <c r="N138" s="33">
        <f>100*W133</f>
        <v>158044.10999999999</v>
      </c>
      <c r="O138" s="32">
        <v>1839</v>
      </c>
      <c r="P138" s="50">
        <v>4.3799999999999999E-2</v>
      </c>
      <c r="Q138" s="50">
        <v>4.7843900000000002E-2</v>
      </c>
      <c r="R138" s="57">
        <f t="shared" si="76"/>
        <v>-7.0256093673459674E-3</v>
      </c>
      <c r="S138" s="57">
        <f t="shared" si="77"/>
        <v>-1.1434077615794248E-2</v>
      </c>
      <c r="T138" s="57">
        <f t="shared" si="78"/>
        <v>2.7262813522355507E-3</v>
      </c>
      <c r="U138" s="57">
        <f t="shared" si="79"/>
        <v>-2.3999999999999994E-3</v>
      </c>
      <c r="V138" s="58">
        <f t="shared" si="80"/>
        <v>-2.0689999999999598E-4</v>
      </c>
    </row>
    <row r="139" spans="1:24" ht="15.6">
      <c r="A139" s="136">
        <v>122</v>
      </c>
      <c r="B139" s="137" t="s">
        <v>178</v>
      </c>
      <c r="C139" s="138" t="s">
        <v>134</v>
      </c>
      <c r="D139" s="33">
        <v>1719290846.37324</v>
      </c>
      <c r="E139" s="30">
        <f t="shared" si="74"/>
        <v>8.7589263701364222E-4</v>
      </c>
      <c r="F139" s="33">
        <v>1742.60589</v>
      </c>
      <c r="G139" s="33">
        <v>1806.5547299999998</v>
      </c>
      <c r="H139" s="32">
        <v>47</v>
      </c>
      <c r="I139" s="50">
        <v>9.9599999999999994E-2</v>
      </c>
      <c r="J139" s="50">
        <v>9.9599999999999994E-2</v>
      </c>
      <c r="K139" s="33">
        <f>992268.68*W133</f>
        <v>1568222204.114748</v>
      </c>
      <c r="L139" s="30">
        <f t="shared" si="75"/>
        <v>8.1294057443154048E-4</v>
      </c>
      <c r="M139" s="33">
        <f>1.1*W133</f>
        <v>1738.4852100000001</v>
      </c>
      <c r="N139" s="33">
        <f>1.14*W133</f>
        <v>1801.7028539999999</v>
      </c>
      <c r="O139" s="32">
        <v>51</v>
      </c>
      <c r="P139" s="50">
        <v>1.9E-3</v>
      </c>
      <c r="Q139" s="50">
        <v>9.2299999999999993E-2</v>
      </c>
      <c r="R139" s="57">
        <f t="shared" si="76"/>
        <v>-8.7866833338387115E-2</v>
      </c>
      <c r="S139" s="57">
        <f t="shared" si="77"/>
        <v>-2.6857066212436021E-3</v>
      </c>
      <c r="T139" s="57">
        <f t="shared" si="78"/>
        <v>8.5106382978723402E-2</v>
      </c>
      <c r="U139" s="57">
        <f t="shared" si="79"/>
        <v>-9.7699999999999995E-2</v>
      </c>
      <c r="V139" s="58">
        <f t="shared" si="80"/>
        <v>-7.3000000000000009E-3</v>
      </c>
      <c r="X139" s="67"/>
    </row>
    <row r="140" spans="1:24" ht="15.6">
      <c r="A140" s="136">
        <v>123</v>
      </c>
      <c r="B140" s="137" t="s">
        <v>179</v>
      </c>
      <c r="C140" s="138" t="s">
        <v>43</v>
      </c>
      <c r="D140" s="29">
        <v>5162180260.8797998</v>
      </c>
      <c r="E140" s="30">
        <f t="shared" si="74"/>
        <v>2.6298724796794534E-3</v>
      </c>
      <c r="F140" s="33">
        <v>16974.755948910002</v>
      </c>
      <c r="G140" s="33">
        <v>16974.755948910002</v>
      </c>
      <c r="H140" s="32">
        <v>68</v>
      </c>
      <c r="I140" s="50">
        <v>7.7399999999999997E-2</v>
      </c>
      <c r="J140" s="50">
        <v>9.7000000000000003E-2</v>
      </c>
      <c r="K140" s="29">
        <f>3280820.03*W133</f>
        <v>5185142817.1152325</v>
      </c>
      <c r="L140" s="30">
        <f t="shared" si="75"/>
        <v>2.6878926782156454E-3</v>
      </c>
      <c r="M140" s="33">
        <f>10.6507*W133</f>
        <v>16832.804023770001</v>
      </c>
      <c r="N140" s="33">
        <f>10.6507*W133</f>
        <v>16832.804023770001</v>
      </c>
      <c r="O140" s="32">
        <v>68</v>
      </c>
      <c r="P140" s="50">
        <v>7.7200000000000005E-2</v>
      </c>
      <c r="Q140" s="50">
        <v>9.7100000000000006E-2</v>
      </c>
      <c r="R140" s="57">
        <f t="shared" si="76"/>
        <v>4.4482282824271375E-3</v>
      </c>
      <c r="S140" s="57">
        <f t="shared" si="77"/>
        <v>-8.3625311354839655E-3</v>
      </c>
      <c r="T140" s="57">
        <f t="shared" si="78"/>
        <v>0</v>
      </c>
      <c r="U140" s="57">
        <f t="shared" si="79"/>
        <v>-1.9999999999999185E-4</v>
      </c>
      <c r="V140" s="58">
        <f t="shared" si="80"/>
        <v>1.0000000000000286E-4</v>
      </c>
      <c r="X140" s="67"/>
    </row>
    <row r="141" spans="1:24" ht="15.6">
      <c r="A141" s="136">
        <v>124</v>
      </c>
      <c r="B141" s="138" t="s">
        <v>180</v>
      </c>
      <c r="C141" s="147" t="s">
        <v>47</v>
      </c>
      <c r="D141" s="33">
        <v>25154624092.880001</v>
      </c>
      <c r="E141" s="30">
        <f t="shared" si="74"/>
        <v>1.2815022005309091E-2</v>
      </c>
      <c r="F141" s="33">
        <v>1662.66984</v>
      </c>
      <c r="G141" s="33">
        <v>1662.66984</v>
      </c>
      <c r="H141" s="32">
        <v>460</v>
      </c>
      <c r="I141" s="50">
        <v>-2.7000000000000001E-3</v>
      </c>
      <c r="J141" s="50">
        <v>-1.1599999999999999E-2</v>
      </c>
      <c r="K141" s="33">
        <v>24937578765.18</v>
      </c>
      <c r="L141" s="30">
        <f t="shared" si="75"/>
        <v>1.2927230307736313E-2</v>
      </c>
      <c r="M141" s="33">
        <f>1.04*W133</f>
        <v>1643.6587440000001</v>
      </c>
      <c r="N141" s="33">
        <f>1.04*W133</f>
        <v>1643.6587440000001</v>
      </c>
      <c r="O141" s="32">
        <v>460</v>
      </c>
      <c r="P141" s="50">
        <v>8.0999999999999996E-3</v>
      </c>
      <c r="Q141" s="50">
        <v>3.2000000000000002E-3</v>
      </c>
      <c r="R141" s="57">
        <f t="shared" si="76"/>
        <v>-8.6284464796051279E-3</v>
      </c>
      <c r="S141" s="57">
        <f t="shared" si="77"/>
        <v>-1.1434077615794097E-2</v>
      </c>
      <c r="T141" s="57">
        <f t="shared" si="78"/>
        <v>0</v>
      </c>
      <c r="U141" s="57">
        <f t="shared" si="79"/>
        <v>1.0800000000000001E-2</v>
      </c>
      <c r="V141" s="58">
        <f t="shared" si="80"/>
        <v>1.4799999999999999E-2</v>
      </c>
      <c r="X141" s="67"/>
    </row>
    <row r="142" spans="1:24">
      <c r="A142" s="136">
        <v>125</v>
      </c>
      <c r="B142" s="137" t="s">
        <v>181</v>
      </c>
      <c r="C142" s="138" t="s">
        <v>91</v>
      </c>
      <c r="D142" s="29">
        <v>430207289.13249999</v>
      </c>
      <c r="E142" s="30">
        <f t="shared" si="74"/>
        <v>2.1916908226181131E-4</v>
      </c>
      <c r="F142" s="33">
        <v>1793.9600000000003</v>
      </c>
      <c r="G142" s="33">
        <v>1793.9600000000003</v>
      </c>
      <c r="H142" s="32">
        <v>2</v>
      </c>
      <c r="I142" s="50">
        <v>2.9624000000000001E-2</v>
      </c>
      <c r="J142" s="50">
        <v>7.9649999999999999E-3</v>
      </c>
      <c r="K142" s="29">
        <f>268585.79*1601.75</f>
        <v>430207289.13249999</v>
      </c>
      <c r="L142" s="30">
        <f t="shared" si="75"/>
        <v>2.2301237658437089E-4</v>
      </c>
      <c r="M142" s="33">
        <f>1.12*1601.75</f>
        <v>1793.9600000000003</v>
      </c>
      <c r="N142" s="33">
        <f>1.12*1601.75</f>
        <v>1793.9600000000003</v>
      </c>
      <c r="O142" s="32">
        <v>2</v>
      </c>
      <c r="P142" s="50">
        <v>2.9624000000000001E-2</v>
      </c>
      <c r="Q142" s="50">
        <v>7.9649999999999999E-3</v>
      </c>
      <c r="R142" s="57">
        <f t="shared" si="76"/>
        <v>0</v>
      </c>
      <c r="S142" s="57">
        <f t="shared" si="77"/>
        <v>0</v>
      </c>
      <c r="T142" s="57">
        <f t="shared" si="78"/>
        <v>0</v>
      </c>
      <c r="U142" s="57">
        <f t="shared" ref="U142" si="83">P142-I142</f>
        <v>0</v>
      </c>
      <c r="V142" s="58">
        <f t="shared" ref="V142" si="84">Q142-J142</f>
        <v>0</v>
      </c>
    </row>
    <row r="143" spans="1:24">
      <c r="A143" s="136">
        <v>126</v>
      </c>
      <c r="B143" s="137" t="s">
        <v>308</v>
      </c>
      <c r="C143" s="138" t="s">
        <v>306</v>
      </c>
      <c r="D143" s="29">
        <v>668019916.13305569</v>
      </c>
      <c r="E143" s="30">
        <f t="shared" si="74"/>
        <v>3.403227133755077E-4</v>
      </c>
      <c r="F143" s="33">
        <v>1613.7489774000001</v>
      </c>
      <c r="G143" s="33">
        <v>1613.7489774000001</v>
      </c>
      <c r="H143" s="32">
        <v>5</v>
      </c>
      <c r="I143" s="50">
        <v>0.18140000000000001</v>
      </c>
      <c r="J143" s="50">
        <v>5.21E-2</v>
      </c>
      <c r="K143" s="29">
        <f>418500.78*W133</f>
        <v>661415833.09405804</v>
      </c>
      <c r="L143" s="30">
        <f t="shared" si="75"/>
        <v>3.4286707960312499E-4</v>
      </c>
      <c r="M143" s="33">
        <f>1.011*W133</f>
        <v>1597.8259520999998</v>
      </c>
      <c r="N143" s="33">
        <f>1.011*W133</f>
        <v>1597.8259520999998</v>
      </c>
      <c r="O143" s="32">
        <v>5</v>
      </c>
      <c r="P143" s="50">
        <v>8.1699999999999995E-2</v>
      </c>
      <c r="Q143" s="50">
        <v>5.4300000000000001E-2</v>
      </c>
      <c r="R143" s="57">
        <f t="shared" ref="R143" si="85">((K143-D143)/D143)</f>
        <v>-9.8860571062409069E-3</v>
      </c>
      <c r="S143" s="57">
        <f t="shared" ref="S143" si="86">((N143-G143)/G143)</f>
        <v>-9.8671017134615048E-3</v>
      </c>
      <c r="T143" s="57">
        <f t="shared" si="78"/>
        <v>0</v>
      </c>
      <c r="U143" s="57">
        <f t="shared" si="79"/>
        <v>-9.9700000000000011E-2</v>
      </c>
      <c r="V143" s="58">
        <f t="shared" si="80"/>
        <v>2.2000000000000006E-3</v>
      </c>
    </row>
    <row r="144" spans="1:24">
      <c r="A144" s="136">
        <v>127</v>
      </c>
      <c r="B144" s="137" t="s">
        <v>182</v>
      </c>
      <c r="C144" s="138" t="s">
        <v>49</v>
      </c>
      <c r="D144" s="29">
        <v>1086299548326.52</v>
      </c>
      <c r="E144" s="30">
        <f t="shared" si="74"/>
        <v>0.55341525139713754</v>
      </c>
      <c r="F144" s="33">
        <v>2586.35</v>
      </c>
      <c r="G144" s="33">
        <v>2586.35</v>
      </c>
      <c r="H144" s="32">
        <v>10831</v>
      </c>
      <c r="I144" s="50">
        <v>1.2999999999999999E-3</v>
      </c>
      <c r="J144" s="50">
        <v>2.5499999999999998E-2</v>
      </c>
      <c r="K144" s="29">
        <v>1076709744643.48</v>
      </c>
      <c r="L144" s="30">
        <f t="shared" si="75"/>
        <v>0.55814860675347344</v>
      </c>
      <c r="M144" s="33">
        <v>2566.63</v>
      </c>
      <c r="N144" s="33">
        <v>2566.63</v>
      </c>
      <c r="O144" s="32">
        <v>10908</v>
      </c>
      <c r="P144" s="50">
        <v>1.4E-3</v>
      </c>
      <c r="Q144" s="50">
        <v>2.69E-2</v>
      </c>
      <c r="R144" s="57">
        <f t="shared" si="76"/>
        <v>-8.8279551416673655E-3</v>
      </c>
      <c r="S144" s="57">
        <f t="shared" si="77"/>
        <v>-7.624644769656002E-3</v>
      </c>
      <c r="T144" s="57">
        <f t="shared" si="78"/>
        <v>7.1092235250669374E-3</v>
      </c>
      <c r="U144" s="57">
        <f t="shared" si="79"/>
        <v>1.0000000000000005E-4</v>
      </c>
      <c r="V144" s="58">
        <f t="shared" si="80"/>
        <v>1.4000000000000019E-3</v>
      </c>
    </row>
    <row r="145" spans="1:22">
      <c r="A145" s="136">
        <v>128</v>
      </c>
      <c r="B145" s="137" t="s">
        <v>290</v>
      </c>
      <c r="C145" s="137" t="s">
        <v>101</v>
      </c>
      <c r="D145" s="29">
        <v>514512238.74260998</v>
      </c>
      <c r="E145" s="30">
        <f t="shared" si="74"/>
        <v>2.6211823468885281E-4</v>
      </c>
      <c r="F145" s="33">
        <v>163820.94086999999</v>
      </c>
      <c r="G145" s="33">
        <v>163820.94086999999</v>
      </c>
      <c r="H145" s="32">
        <v>24</v>
      </c>
      <c r="I145" s="50">
        <v>0</v>
      </c>
      <c r="J145" s="50">
        <v>7.2999999999999995E-2</v>
      </c>
      <c r="K145" s="29">
        <f>322286.45*W133</f>
        <v>509354751.55309504</v>
      </c>
      <c r="L145" s="30">
        <f t="shared" si="75"/>
        <v>2.6404111817224945E-4</v>
      </c>
      <c r="M145" s="33">
        <f>102.62*W133</f>
        <v>162184.865682</v>
      </c>
      <c r="N145" s="33">
        <f>102.62*W133</f>
        <v>162184.865682</v>
      </c>
      <c r="O145" s="32">
        <v>24</v>
      </c>
      <c r="P145" s="50">
        <v>0</v>
      </c>
      <c r="Q145" s="50">
        <v>7.2800000000000004E-2</v>
      </c>
      <c r="R145" s="57">
        <f t="shared" ref="R145" si="87">((K145-D145)/D145)</f>
        <v>-1.0024032085454474E-2</v>
      </c>
      <c r="S145" s="57">
        <f t="shared" ref="S145" si="88">((N145-G145)/G145)</f>
        <v>-9.9869722351203834E-3</v>
      </c>
      <c r="T145" s="57">
        <f t="shared" ref="T145" si="89">((O145-H145)/H145)</f>
        <v>0</v>
      </c>
      <c r="U145" s="57">
        <f t="shared" ref="U145" si="90">P145-I145</f>
        <v>0</v>
      </c>
      <c r="V145" s="58">
        <f t="shared" ref="V145" si="91">Q145-J145</f>
        <v>-1.9999999999999185E-4</v>
      </c>
    </row>
    <row r="146" spans="1:22" ht="16.5" customHeight="1">
      <c r="A146" s="136">
        <v>129</v>
      </c>
      <c r="B146" s="137" t="s">
        <v>183</v>
      </c>
      <c r="C146" s="138" t="s">
        <v>52</v>
      </c>
      <c r="D146" s="29">
        <v>211622639328.51001</v>
      </c>
      <c r="E146" s="30">
        <f t="shared" si="74"/>
        <v>0.10781114318397068</v>
      </c>
      <c r="F146" s="33">
        <v>1923.0610499999998</v>
      </c>
      <c r="G146" s="33">
        <v>1923.0610499999998</v>
      </c>
      <c r="H146" s="32">
        <v>677</v>
      </c>
      <c r="I146" s="50">
        <v>6.7299999999999999E-2</v>
      </c>
      <c r="J146" s="50">
        <v>7.4899999999999994E-2</v>
      </c>
      <c r="K146" s="29">
        <f>121223857.33*1587.38</f>
        <v>192428326648.49542</v>
      </c>
      <c r="L146" s="30">
        <f t="shared" si="75"/>
        <v>9.9751676766261149E-2</v>
      </c>
      <c r="M146" s="33">
        <f>1.2057*1587.38</f>
        <v>1913.9040660000001</v>
      </c>
      <c r="N146" s="33">
        <f>1.2057*1587.38</f>
        <v>1913.9040660000001</v>
      </c>
      <c r="O146" s="32">
        <v>693</v>
      </c>
      <c r="P146" s="50">
        <v>6.2600000000000003E-2</v>
      </c>
      <c r="Q146" s="50">
        <v>8.2799999999999999E-2</v>
      </c>
      <c r="R146" s="57">
        <f t="shared" si="76"/>
        <v>-9.0700658213691929E-2</v>
      </c>
      <c r="S146" s="57">
        <f t="shared" si="77"/>
        <v>-4.7616709828321568E-3</v>
      </c>
      <c r="T146" s="57">
        <f t="shared" si="78"/>
        <v>2.3633677991137372E-2</v>
      </c>
      <c r="U146" s="57">
        <f t="shared" si="79"/>
        <v>-4.6999999999999958E-3</v>
      </c>
      <c r="V146" s="58">
        <f t="shared" si="80"/>
        <v>7.9000000000000042E-3</v>
      </c>
    </row>
    <row r="147" spans="1:22" ht="16.5" customHeight="1">
      <c r="A147" s="136">
        <v>130</v>
      </c>
      <c r="B147" s="137" t="s">
        <v>184</v>
      </c>
      <c r="C147" s="138" t="s">
        <v>96</v>
      </c>
      <c r="D147" s="33">
        <v>1243224024.9040256</v>
      </c>
      <c r="E147" s="30">
        <v>0</v>
      </c>
      <c r="F147" s="33">
        <v>168744.36249999999</v>
      </c>
      <c r="G147" s="33">
        <v>168744.36249999999</v>
      </c>
      <c r="H147" s="32">
        <v>25</v>
      </c>
      <c r="I147" s="50">
        <v>1.1999999999999999E-3</v>
      </c>
      <c r="J147" s="50">
        <v>6.1499999999999999E-2</v>
      </c>
      <c r="K147" s="33">
        <v>1234696072.1709278</v>
      </c>
      <c r="L147" s="30">
        <f t="shared" si="75"/>
        <v>6.4004611816193663E-4</v>
      </c>
      <c r="M147" s="33">
        <v>167579.7066</v>
      </c>
      <c r="N147" s="33">
        <v>167579.7066</v>
      </c>
      <c r="O147" s="32">
        <v>25</v>
      </c>
      <c r="P147" s="50">
        <v>2.0999999999999999E-3</v>
      </c>
      <c r="Q147" s="50">
        <v>6.3200000000000006E-2</v>
      </c>
      <c r="R147" s="57">
        <f t="shared" si="76"/>
        <v>-6.8595462782792766E-3</v>
      </c>
      <c r="S147" s="57">
        <f t="shared" si="77"/>
        <v>-6.9018951670162219E-3</v>
      </c>
      <c r="T147" s="57">
        <f t="shared" si="78"/>
        <v>0</v>
      </c>
      <c r="U147" s="57">
        <f t="shared" si="79"/>
        <v>8.9999999999999998E-4</v>
      </c>
      <c r="V147" s="58">
        <f t="shared" si="80"/>
        <v>1.7000000000000071E-3</v>
      </c>
    </row>
    <row r="148" spans="1:22" ht="16.5" customHeight="1">
      <c r="A148" s="136">
        <v>131</v>
      </c>
      <c r="B148" s="137" t="s">
        <v>310</v>
      </c>
      <c r="C148" s="138" t="s">
        <v>107</v>
      </c>
      <c r="D148" s="33">
        <v>572851054.84314001</v>
      </c>
      <c r="E148" s="30"/>
      <c r="F148" s="33">
        <v>1614.70821</v>
      </c>
      <c r="G148" s="33">
        <v>1614.70821</v>
      </c>
      <c r="H148" s="32">
        <v>13</v>
      </c>
      <c r="I148" s="50">
        <v>9.3100000000000002E-2</v>
      </c>
      <c r="J148" s="50">
        <v>0</v>
      </c>
      <c r="K148" s="33">
        <f>355090.63*W133</f>
        <v>561199825.87689304</v>
      </c>
      <c r="L148" s="30">
        <f t="shared" si="75"/>
        <v>2.9091675122453489E-4</v>
      </c>
      <c r="M148" s="33">
        <f>1*W133</f>
        <v>1580.4411</v>
      </c>
      <c r="N148" s="33">
        <f>1*W133</f>
        <v>1580.4411</v>
      </c>
      <c r="O148" s="32">
        <v>13</v>
      </c>
      <c r="P148" s="50">
        <v>8.8999999999999996E-2</v>
      </c>
      <c r="Q148" s="50">
        <v>0</v>
      </c>
      <c r="R148" s="57">
        <f t="shared" ref="R148" si="92">((K148-D148)/D148)</f>
        <v>-2.0339019833763492E-2</v>
      </c>
      <c r="S148" s="57">
        <f t="shared" ref="S148" si="93">((N148-G148)/G148)</f>
        <v>-2.122185902553874E-2</v>
      </c>
      <c r="T148" s="57">
        <f t="shared" si="78"/>
        <v>0</v>
      </c>
      <c r="U148" s="57">
        <f t="shared" si="79"/>
        <v>-4.1000000000000064E-3</v>
      </c>
      <c r="V148" s="58">
        <f t="shared" si="80"/>
        <v>0</v>
      </c>
    </row>
    <row r="149" spans="1:22">
      <c r="A149" s="136">
        <v>132</v>
      </c>
      <c r="B149" s="137" t="s">
        <v>185</v>
      </c>
      <c r="C149" s="138" t="s">
        <v>109</v>
      </c>
      <c r="D149" s="33">
        <v>1729984643.1806099</v>
      </c>
      <c r="E149" s="30">
        <f>(D149/$D$150)</f>
        <v>8.8134059127051138E-4</v>
      </c>
      <c r="F149" s="33">
        <v>2022.5419370999998</v>
      </c>
      <c r="G149" s="33">
        <v>2022.5419370999998</v>
      </c>
      <c r="H149" s="32">
        <v>97</v>
      </c>
      <c r="I149" s="50">
        <v>1.7520000000000001E-2</v>
      </c>
      <c r="J149" s="50">
        <v>1.7332E-2</v>
      </c>
      <c r="K149" s="33">
        <f>1078373.56*W133</f>
        <v>1704305895.377316</v>
      </c>
      <c r="L149" s="30">
        <f t="shared" si="75"/>
        <v>8.8348411976299122E-4</v>
      </c>
      <c r="M149" s="33">
        <f>1.2611*W133</f>
        <v>1993.0942712100002</v>
      </c>
      <c r="N149" s="33">
        <f>1.2611*W133</f>
        <v>1993.0942712100002</v>
      </c>
      <c r="O149" s="32">
        <v>97</v>
      </c>
      <c r="P149" s="50">
        <v>-3.5950000000000001E-3</v>
      </c>
      <c r="Q149" s="50">
        <v>1.4071999999999999E-2</v>
      </c>
      <c r="R149" s="57">
        <f t="shared" si="76"/>
        <v>-1.484333858367845E-2</v>
      </c>
      <c r="S149" s="57">
        <f t="shared" si="77"/>
        <v>-1.4559730678426782E-2</v>
      </c>
      <c r="T149" s="57">
        <f t="shared" si="78"/>
        <v>0</v>
      </c>
      <c r="U149" s="57">
        <f t="shared" si="79"/>
        <v>-2.1115000000000002E-2</v>
      </c>
      <c r="V149" s="58">
        <f t="shared" si="80"/>
        <v>-3.2600000000000007E-3</v>
      </c>
    </row>
    <row r="150" spans="1:22">
      <c r="A150" s="36"/>
      <c r="B150" s="37"/>
      <c r="C150" s="71" t="s">
        <v>53</v>
      </c>
      <c r="D150" s="48">
        <f>SUM(D114:D149)</f>
        <v>1962901357676.8562</v>
      </c>
      <c r="E150" s="40">
        <f>(D150/$D$223)</f>
        <v>0.35047046668558274</v>
      </c>
      <c r="F150" s="41"/>
      <c r="G150" s="45"/>
      <c r="H150" s="43">
        <f>SUM(H114:H149)</f>
        <v>24611</v>
      </c>
      <c r="I150" s="80"/>
      <c r="J150" s="80"/>
      <c r="K150" s="48">
        <f>SUM(K114:K149)</f>
        <v>1929073604440.7039</v>
      </c>
      <c r="L150" s="40">
        <f>(K150/$K$223)</f>
        <v>0.34357016783044431</v>
      </c>
      <c r="M150" s="41"/>
      <c r="N150" s="45"/>
      <c r="O150" s="43">
        <f>SUM(O114:O149)</f>
        <v>24755</v>
      </c>
      <c r="P150" s="80"/>
      <c r="Q150" s="80"/>
      <c r="R150" s="57">
        <f t="shared" si="76"/>
        <v>-1.7233547220217093E-2</v>
      </c>
      <c r="S150" s="57" t="e">
        <f t="shared" si="77"/>
        <v>#DIV/0!</v>
      </c>
      <c r="T150" s="57">
        <f t="shared" si="78"/>
        <v>5.8510422168948847E-3</v>
      </c>
      <c r="U150" s="57">
        <f t="shared" si="79"/>
        <v>0</v>
      </c>
      <c r="V150" s="58">
        <f t="shared" si="80"/>
        <v>0</v>
      </c>
    </row>
    <row r="151" spans="1:22" ht="6" customHeight="1">
      <c r="A151" s="36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</row>
    <row r="152" spans="1:22">
      <c r="A152" s="154" t="s">
        <v>186</v>
      </c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</row>
    <row r="153" spans="1:22">
      <c r="A153" s="136">
        <v>133</v>
      </c>
      <c r="B153" s="137" t="s">
        <v>187</v>
      </c>
      <c r="C153" s="138" t="s">
        <v>188</v>
      </c>
      <c r="D153" s="72">
        <v>2406575971.319591</v>
      </c>
      <c r="E153" s="30">
        <f>(D153/$D$159)</f>
        <v>6.7999015384172306E-3</v>
      </c>
      <c r="F153" s="60">
        <v>113.41074322900995</v>
      </c>
      <c r="G153" s="60">
        <v>113.41074322900995</v>
      </c>
      <c r="H153" s="32">
        <v>8</v>
      </c>
      <c r="I153" s="50">
        <v>3.3999999999999998E-3</v>
      </c>
      <c r="J153" s="50">
        <v>7.5616165475351771E-2</v>
      </c>
      <c r="K153" s="72">
        <v>2413795699.2335496</v>
      </c>
      <c r="L153" s="30">
        <f>(K153/$K$159)</f>
        <v>6.8077184476970747E-3</v>
      </c>
      <c r="M153" s="60">
        <v>113.75097545869697</v>
      </c>
      <c r="N153" s="60">
        <v>113.75097545869697</v>
      </c>
      <c r="O153" s="32">
        <v>8</v>
      </c>
      <c r="P153" s="50">
        <v>3.0000000000000001E-3</v>
      </c>
      <c r="Q153" s="50">
        <v>7.8843013971777731E-2</v>
      </c>
      <c r="R153" s="57">
        <f t="shared" ref="R153:R159" si="94">((K153-D153)/D153)</f>
        <v>2.9999999999999073E-3</v>
      </c>
      <c r="S153" s="57">
        <f t="shared" ref="S153:T159" si="95">((N153-G153)/G153)</f>
        <v>2.9999999999998968E-3</v>
      </c>
      <c r="T153" s="57">
        <f t="shared" si="95"/>
        <v>0</v>
      </c>
      <c r="U153" s="57">
        <f t="shared" ref="U153:V159" si="96">P153-I153</f>
        <v>-3.9999999999999975E-4</v>
      </c>
      <c r="V153" s="58">
        <f t="shared" si="96"/>
        <v>3.2268484964259603E-3</v>
      </c>
    </row>
    <row r="154" spans="1:22">
      <c r="A154" s="136">
        <v>134</v>
      </c>
      <c r="B154" s="137" t="s">
        <v>319</v>
      </c>
      <c r="C154" s="138" t="s">
        <v>23</v>
      </c>
      <c r="D154" s="72">
        <v>252574102537.57001</v>
      </c>
      <c r="E154" s="30">
        <v>0</v>
      </c>
      <c r="F154" s="60">
        <v>101.0296</v>
      </c>
      <c r="G154" s="60">
        <v>101.0296</v>
      </c>
      <c r="H154" s="32">
        <v>45</v>
      </c>
      <c r="I154" s="50">
        <v>0.31409999999999999</v>
      </c>
      <c r="J154" s="50">
        <v>6.2600000000000003E-2</v>
      </c>
      <c r="K154" s="72">
        <v>253190501701.63</v>
      </c>
      <c r="L154" s="30">
        <f t="shared" ref="L154:L155" si="97">(K154/$K$159)</f>
        <v>0.71408265818154082</v>
      </c>
      <c r="M154" s="60">
        <v>101.2762</v>
      </c>
      <c r="N154" s="60">
        <v>101.2762</v>
      </c>
      <c r="O154" s="32">
        <v>45</v>
      </c>
      <c r="P154" s="50">
        <v>0.1273</v>
      </c>
      <c r="Q154" s="50">
        <v>6.9500000000000006E-2</v>
      </c>
      <c r="R154" s="57">
        <f t="shared" ref="R154" si="98">((K154-D154)/D154)</f>
        <v>2.4404685906715602E-3</v>
      </c>
      <c r="S154" s="57">
        <f t="shared" ref="S154" si="99">((N154-G154)/G154)</f>
        <v>2.4408688146840213E-3</v>
      </c>
      <c r="T154" s="57">
        <f t="shared" ref="T154" si="100">((O154-H154)/H154)</f>
        <v>0</v>
      </c>
      <c r="U154" s="57">
        <f t="shared" ref="U154" si="101">P154-I154</f>
        <v>-0.18679999999999999</v>
      </c>
      <c r="V154" s="58">
        <f t="shared" ref="V154" si="102">Q154-J154</f>
        <v>6.9000000000000034E-3</v>
      </c>
    </row>
    <row r="155" spans="1:22">
      <c r="A155" s="136">
        <v>135</v>
      </c>
      <c r="B155" s="137" t="s">
        <v>189</v>
      </c>
      <c r="C155" s="138" t="s">
        <v>47</v>
      </c>
      <c r="D155" s="29">
        <v>54160728474</v>
      </c>
      <c r="E155" s="30">
        <f>(D155/$D$159)</f>
        <v>0.15303386440371064</v>
      </c>
      <c r="F155" s="60">
        <v>102.07</v>
      </c>
      <c r="G155" s="60">
        <v>102.07</v>
      </c>
      <c r="H155" s="32">
        <v>645</v>
      </c>
      <c r="I155" s="50">
        <v>8.3900000000000002E-2</v>
      </c>
      <c r="J155" s="50">
        <v>8.3900000000000002E-2</v>
      </c>
      <c r="K155" s="29">
        <v>54160728474</v>
      </c>
      <c r="L155" s="30">
        <f t="shared" si="97"/>
        <v>0.1527515317432368</v>
      </c>
      <c r="M155" s="60">
        <v>102.07</v>
      </c>
      <c r="N155" s="60">
        <v>102.07</v>
      </c>
      <c r="O155" s="32">
        <v>645</v>
      </c>
      <c r="P155" s="50">
        <v>8.3900000000000002E-2</v>
      </c>
      <c r="Q155" s="50">
        <v>8.3900000000000002E-2</v>
      </c>
      <c r="R155" s="57">
        <f t="shared" si="94"/>
        <v>0</v>
      </c>
      <c r="S155" s="57">
        <f t="shared" si="95"/>
        <v>0</v>
      </c>
      <c r="T155" s="57">
        <f t="shared" si="95"/>
        <v>0</v>
      </c>
      <c r="U155" s="57">
        <f t="shared" si="96"/>
        <v>0</v>
      </c>
      <c r="V155" s="58">
        <f t="shared" si="96"/>
        <v>0</v>
      </c>
    </row>
    <row r="156" spans="1:22" ht="15.75" customHeight="1">
      <c r="A156" s="136">
        <v>136</v>
      </c>
      <c r="B156" s="137" t="s">
        <v>190</v>
      </c>
      <c r="C156" s="138" t="s">
        <v>144</v>
      </c>
      <c r="D156" s="29">
        <v>2477005018.9027538</v>
      </c>
      <c r="E156" s="30">
        <f>(D156/$D$159)</f>
        <v>6.9989023573057401E-3</v>
      </c>
      <c r="F156" s="60">
        <v>206</v>
      </c>
      <c r="G156" s="60">
        <v>206</v>
      </c>
      <c r="H156" s="32">
        <v>3250</v>
      </c>
      <c r="I156" s="50">
        <v>0.11752354004778365</v>
      </c>
      <c r="J156" s="50">
        <v>4.5433776586859986E-2</v>
      </c>
      <c r="K156" s="29">
        <v>2484042738.7825699</v>
      </c>
      <c r="L156" s="30">
        <f>(K156/$K$159)</f>
        <v>7.0058388052674442E-3</v>
      </c>
      <c r="M156" s="60">
        <v>206</v>
      </c>
      <c r="N156" s="60">
        <v>206</v>
      </c>
      <c r="O156" s="32">
        <v>3250</v>
      </c>
      <c r="P156" s="50">
        <v>0.17578259373924726</v>
      </c>
      <c r="Q156" s="50">
        <v>5.9413991983023884E-2</v>
      </c>
      <c r="R156" s="57">
        <f t="shared" si="94"/>
        <v>2.8412214856688399E-3</v>
      </c>
      <c r="S156" s="57">
        <f t="shared" si="95"/>
        <v>0</v>
      </c>
      <c r="T156" s="57">
        <f t="shared" si="95"/>
        <v>0</v>
      </c>
      <c r="U156" s="57">
        <f t="shared" si="96"/>
        <v>5.8259053691463614E-2</v>
      </c>
      <c r="V156" s="58">
        <f t="shared" si="96"/>
        <v>1.3980215396163898E-2</v>
      </c>
    </row>
    <row r="157" spans="1:22">
      <c r="A157" s="136">
        <v>137</v>
      </c>
      <c r="B157" s="137" t="s">
        <v>191</v>
      </c>
      <c r="C157" s="138" t="s">
        <v>144</v>
      </c>
      <c r="D157" s="29">
        <v>10996922188.870001</v>
      </c>
      <c r="E157" s="30">
        <f>(D157/$D$159)</f>
        <v>3.1072357158518828E-2</v>
      </c>
      <c r="F157" s="60">
        <v>46.15</v>
      </c>
      <c r="G157" s="60">
        <v>46.15</v>
      </c>
      <c r="H157" s="32">
        <v>5344</v>
      </c>
      <c r="I157" s="50">
        <v>5.93206565902814E-2</v>
      </c>
      <c r="J157" s="50">
        <v>0.14712819760384055</v>
      </c>
      <c r="K157" s="29">
        <v>11004594270.26</v>
      </c>
      <c r="L157" s="30">
        <f>(K157/$K$159)</f>
        <v>3.1036669527109772E-2</v>
      </c>
      <c r="M157" s="60">
        <v>50.75</v>
      </c>
      <c r="N157" s="60">
        <v>50.75</v>
      </c>
      <c r="O157" s="32">
        <v>5344</v>
      </c>
      <c r="P157" s="50">
        <v>4.2323747680888132E-2</v>
      </c>
      <c r="Q157" s="50">
        <v>0.14452895082983117</v>
      </c>
      <c r="R157" s="57">
        <f t="shared" si="94"/>
        <v>6.976571497217933E-4</v>
      </c>
      <c r="S157" s="57">
        <f t="shared" si="95"/>
        <v>9.9674972914409563E-2</v>
      </c>
      <c r="T157" s="57">
        <f t="shared" si="95"/>
        <v>0</v>
      </c>
      <c r="U157" s="57">
        <f t="shared" si="96"/>
        <v>-1.6996908909393267E-2</v>
      </c>
      <c r="V157" s="58">
        <f t="shared" si="96"/>
        <v>-2.5992467740093839E-3</v>
      </c>
    </row>
    <row r="158" spans="1:22">
      <c r="A158" s="136">
        <v>138</v>
      </c>
      <c r="B158" s="137" t="s">
        <v>192</v>
      </c>
      <c r="C158" s="138" t="s">
        <v>49</v>
      </c>
      <c r="D158" s="29">
        <v>31298021425.330002</v>
      </c>
      <c r="E158" s="30">
        <f>(D158/$D$159)</f>
        <v>8.843413487703862E-2</v>
      </c>
      <c r="F158" s="60">
        <v>6.45</v>
      </c>
      <c r="G158" s="60">
        <v>6.45</v>
      </c>
      <c r="H158" s="32">
        <v>208222</v>
      </c>
      <c r="I158" s="50">
        <v>4.0300000000000002E-2</v>
      </c>
      <c r="J158" s="50">
        <v>0.28999999999999998</v>
      </c>
      <c r="K158" s="29">
        <v>31313835431.200001</v>
      </c>
      <c r="L158" s="30">
        <f>(K158/$K$159)</f>
        <v>8.8315583295147992E-2</v>
      </c>
      <c r="M158" s="60">
        <v>6.45</v>
      </c>
      <c r="N158" s="60">
        <v>6.45</v>
      </c>
      <c r="O158" s="32">
        <v>208222</v>
      </c>
      <c r="P158" s="50">
        <v>0</v>
      </c>
      <c r="Q158" s="50">
        <v>0.28999999999999998</v>
      </c>
      <c r="R158" s="57">
        <f t="shared" si="94"/>
        <v>5.0527174402150538E-4</v>
      </c>
      <c r="S158" s="57">
        <f t="shared" si="95"/>
        <v>0</v>
      </c>
      <c r="T158" s="57">
        <f t="shared" si="95"/>
        <v>0</v>
      </c>
      <c r="U158" s="57">
        <f t="shared" si="96"/>
        <v>-4.0300000000000002E-2</v>
      </c>
      <c r="V158" s="58">
        <f t="shared" si="96"/>
        <v>0</v>
      </c>
    </row>
    <row r="159" spans="1:22">
      <c r="A159" s="36"/>
      <c r="B159" s="73"/>
      <c r="C159" s="38" t="s">
        <v>53</v>
      </c>
      <c r="D159" s="39">
        <f>SUM(D153:D158)</f>
        <v>353913355615.99237</v>
      </c>
      <c r="E159" s="40">
        <f>(D159/$D$223)</f>
        <v>6.3190225236686076E-2</v>
      </c>
      <c r="F159" s="41"/>
      <c r="G159" s="74"/>
      <c r="H159" s="43">
        <f>SUM(H153:H158)</f>
        <v>217514</v>
      </c>
      <c r="I159" s="81"/>
      <c r="J159" s="81"/>
      <c r="K159" s="39">
        <f>SUM(K153:K158)</f>
        <v>354567498315.10614</v>
      </c>
      <c r="L159" s="40">
        <f>(K159/$K$223)</f>
        <v>6.3148868256201515E-2</v>
      </c>
      <c r="M159" s="41"/>
      <c r="N159" s="74"/>
      <c r="O159" s="43">
        <f>SUM(O153:O158)</f>
        <v>217514</v>
      </c>
      <c r="P159" s="81"/>
      <c r="Q159" s="81"/>
      <c r="R159" s="57">
        <f t="shared" si="94"/>
        <v>1.8483131216543744E-3</v>
      </c>
      <c r="S159" s="57" t="e">
        <f t="shared" si="95"/>
        <v>#DIV/0!</v>
      </c>
      <c r="T159" s="57">
        <f t="shared" si="95"/>
        <v>0</v>
      </c>
      <c r="U159" s="57">
        <f t="shared" si="96"/>
        <v>0</v>
      </c>
      <c r="V159" s="58">
        <f t="shared" si="96"/>
        <v>0</v>
      </c>
    </row>
    <row r="160" spans="1:22" ht="5.25" customHeight="1">
      <c r="A160" s="36"/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</row>
    <row r="161" spans="1:22" ht="15" customHeight="1">
      <c r="A161" s="154" t="s">
        <v>193</v>
      </c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</row>
    <row r="162" spans="1:22">
      <c r="A162" s="142">
        <v>139</v>
      </c>
      <c r="B162" s="137" t="s">
        <v>194</v>
      </c>
      <c r="C162" s="138" t="s">
        <v>57</v>
      </c>
      <c r="D162" s="33">
        <v>297186155.06</v>
      </c>
      <c r="E162" s="30">
        <f t="shared" ref="E162:E190" si="103">(D162/$D$191)</f>
        <v>4.9091492949118994E-3</v>
      </c>
      <c r="F162" s="33">
        <v>6.2237999999999998</v>
      </c>
      <c r="G162" s="33">
        <v>6.3122999999999996</v>
      </c>
      <c r="H162" s="34">
        <v>11843</v>
      </c>
      <c r="I162" s="51">
        <v>1.248E-2</v>
      </c>
      <c r="J162" s="51">
        <v>8.9166999999999996E-2</v>
      </c>
      <c r="K162" s="33">
        <v>300847869.24000001</v>
      </c>
      <c r="L162" s="54">
        <f t="shared" ref="L162:L189" si="104">(K162/$K$191)</f>
        <v>4.9449573454554193E-3</v>
      </c>
      <c r="M162" s="33">
        <v>6.3747999999999996</v>
      </c>
      <c r="N162" s="33">
        <v>6.4669999999999996</v>
      </c>
      <c r="O162" s="34">
        <v>11843</v>
      </c>
      <c r="P162" s="51">
        <v>2.6429999999999999E-2</v>
      </c>
      <c r="Q162" s="51">
        <v>0.115596</v>
      </c>
      <c r="R162" s="57">
        <f>((K162-D162)/D162)</f>
        <v>1.2321281182364401E-2</v>
      </c>
      <c r="S162" s="57">
        <f>((N162-G162)/G162)</f>
        <v>2.4507707174880801E-2</v>
      </c>
      <c r="T162" s="57">
        <f>((O162-H162)/H162)</f>
        <v>0</v>
      </c>
      <c r="U162" s="57">
        <f>P162-I162</f>
        <v>1.3949999999999999E-2</v>
      </c>
      <c r="V162" s="58">
        <f>Q162-J162</f>
        <v>2.6429000000000008E-2</v>
      </c>
    </row>
    <row r="163" spans="1:22">
      <c r="A163" s="142">
        <v>140</v>
      </c>
      <c r="B163" s="137" t="s">
        <v>195</v>
      </c>
      <c r="C163" s="137" t="s">
        <v>196</v>
      </c>
      <c r="D163" s="33">
        <v>733313562.345981</v>
      </c>
      <c r="E163" s="30">
        <f t="shared" si="103"/>
        <v>1.2113436969542877E-2</v>
      </c>
      <c r="F163" s="33">
        <v>1693.5157473336856</v>
      </c>
      <c r="G163" s="33">
        <v>1713.6907865851274</v>
      </c>
      <c r="H163" s="34">
        <v>160</v>
      </c>
      <c r="I163" s="51">
        <v>-0.01</v>
      </c>
      <c r="J163" s="51">
        <v>0.51390000000000002</v>
      </c>
      <c r="K163" s="33">
        <v>737969307.35381985</v>
      </c>
      <c r="L163" s="54">
        <f t="shared" si="104"/>
        <v>1.2129807521451201E-2</v>
      </c>
      <c r="M163" s="33">
        <v>1704.0687061936076</v>
      </c>
      <c r="N163" s="33">
        <v>1724.3180809839328</v>
      </c>
      <c r="O163" s="34">
        <v>160</v>
      </c>
      <c r="P163" s="51">
        <v>6.1999999999999998E-3</v>
      </c>
      <c r="Q163" s="51">
        <v>0.52329999999999999</v>
      </c>
      <c r="R163" s="57">
        <f>((K163-D163)/D163)</f>
        <v>6.3489143620150878E-3</v>
      </c>
      <c r="S163" s="57">
        <f>((N163-G163)/G163)</f>
        <v>6.2014072095132036E-3</v>
      </c>
      <c r="T163" s="57">
        <f>((O163-H163)/H163)</f>
        <v>0</v>
      </c>
      <c r="U163" s="57">
        <f>P163-I163</f>
        <v>1.6199999999999999E-2</v>
      </c>
      <c r="V163" s="58">
        <f>Q163-J163</f>
        <v>9.3999999999999639E-3</v>
      </c>
    </row>
    <row r="164" spans="1:22">
      <c r="A164" s="142">
        <v>141</v>
      </c>
      <c r="B164" s="137" t="s">
        <v>197</v>
      </c>
      <c r="C164" s="138" t="s">
        <v>23</v>
      </c>
      <c r="D164" s="33">
        <v>7177182158.8900003</v>
      </c>
      <c r="E164" s="30">
        <f t="shared" si="103"/>
        <v>0.11855821051843958</v>
      </c>
      <c r="F164" s="33">
        <v>839.69119999999998</v>
      </c>
      <c r="G164" s="33">
        <v>865.0086</v>
      </c>
      <c r="H164" s="34">
        <v>21476</v>
      </c>
      <c r="I164" s="51">
        <v>0.29199999999999998</v>
      </c>
      <c r="J164" s="51">
        <v>0.15129999999999999</v>
      </c>
      <c r="K164" s="33">
        <v>7153167868.29</v>
      </c>
      <c r="L164" s="54">
        <f t="shared" si="104"/>
        <v>0.11757473996054259</v>
      </c>
      <c r="M164" s="33">
        <v>837.73260000000005</v>
      </c>
      <c r="N164" s="33">
        <v>862.99090000000001</v>
      </c>
      <c r="O164" s="34">
        <v>21475</v>
      </c>
      <c r="P164" s="51">
        <v>-0.1216</v>
      </c>
      <c r="Q164" s="51">
        <v>0.1376</v>
      </c>
      <c r="R164" s="57">
        <f t="shared" ref="R164:R190" si="105">((K164-D164)/D164)</f>
        <v>-3.3459218490442151E-3</v>
      </c>
      <c r="S164" s="57">
        <f t="shared" ref="S164:T190" si="106">((N164-G164)/G164)</f>
        <v>-2.3325779651207986E-3</v>
      </c>
      <c r="T164" s="57">
        <f t="shared" si="106"/>
        <v>-4.6563605885639784E-5</v>
      </c>
      <c r="U164" s="57">
        <f t="shared" ref="U164:V190" si="107">P164-I164</f>
        <v>-0.41359999999999997</v>
      </c>
      <c r="V164" s="58">
        <f t="shared" si="107"/>
        <v>-1.369999999999999E-2</v>
      </c>
    </row>
    <row r="165" spans="1:22">
      <c r="A165" s="142">
        <v>142</v>
      </c>
      <c r="B165" s="137" t="s">
        <v>198</v>
      </c>
      <c r="C165" s="138" t="s">
        <v>111</v>
      </c>
      <c r="D165" s="33">
        <v>4211137475.73</v>
      </c>
      <c r="E165" s="30">
        <f t="shared" si="103"/>
        <v>6.9562805055919372E-2</v>
      </c>
      <c r="F165" s="33">
        <v>24.974499999999999</v>
      </c>
      <c r="G165" s="33">
        <v>25.2867</v>
      </c>
      <c r="H165" s="32">
        <v>6149</v>
      </c>
      <c r="I165" s="50">
        <v>5.4000000000000003E-3</v>
      </c>
      <c r="J165" s="50">
        <v>0.17460000000000001</v>
      </c>
      <c r="K165" s="33">
        <v>4293804295.04</v>
      </c>
      <c r="L165" s="54">
        <f t="shared" si="104"/>
        <v>7.0576132522872564E-2</v>
      </c>
      <c r="M165" s="33">
        <v>25.4663</v>
      </c>
      <c r="N165" s="33">
        <v>25.788399999999999</v>
      </c>
      <c r="O165" s="32">
        <v>6150</v>
      </c>
      <c r="P165" s="50">
        <v>2.5999999999999999E-2</v>
      </c>
      <c r="Q165" s="50">
        <v>0.19789999999999999</v>
      </c>
      <c r="R165" s="57">
        <f t="shared" si="105"/>
        <v>1.9630520206579023E-2</v>
      </c>
      <c r="S165" s="57">
        <f t="shared" si="106"/>
        <v>1.9840469495821897E-2</v>
      </c>
      <c r="T165" s="57">
        <f t="shared" si="106"/>
        <v>1.626280696048138E-4</v>
      </c>
      <c r="U165" s="57">
        <f t="shared" si="107"/>
        <v>2.06E-2</v>
      </c>
      <c r="V165" s="58">
        <f t="shared" si="107"/>
        <v>2.3299999999999987E-2</v>
      </c>
    </row>
    <row r="166" spans="1:22">
      <c r="A166" s="142">
        <v>143</v>
      </c>
      <c r="B166" s="137" t="s">
        <v>199</v>
      </c>
      <c r="C166" s="138" t="s">
        <v>120</v>
      </c>
      <c r="D166" s="29">
        <v>2082808452.2351193</v>
      </c>
      <c r="E166" s="30">
        <f t="shared" si="103"/>
        <v>3.4405430638793567E-2</v>
      </c>
      <c r="F166" s="33">
        <v>4.9657999999999998</v>
      </c>
      <c r="G166" s="33">
        <v>5.0876999999999999</v>
      </c>
      <c r="H166" s="32">
        <v>2739</v>
      </c>
      <c r="I166" s="50">
        <v>-2.1394000000000002</v>
      </c>
      <c r="J166" s="50">
        <v>0.24329999999999999</v>
      </c>
      <c r="K166" s="29">
        <v>2102698101.5757997</v>
      </c>
      <c r="L166" s="54">
        <f t="shared" si="104"/>
        <v>3.4561495977781569E-2</v>
      </c>
      <c r="M166" s="33">
        <v>5.0171999999999999</v>
      </c>
      <c r="N166" s="33">
        <v>5.1322999999999999</v>
      </c>
      <c r="O166" s="32">
        <v>2739</v>
      </c>
      <c r="P166" s="50">
        <v>0.45710000000000001</v>
      </c>
      <c r="Q166" s="50">
        <v>0.25580000000000003</v>
      </c>
      <c r="R166" s="57">
        <f t="shared" si="105"/>
        <v>9.549437596787275E-3</v>
      </c>
      <c r="S166" s="57">
        <f t="shared" si="106"/>
        <v>8.7662401478074518E-3</v>
      </c>
      <c r="T166" s="57">
        <f t="shared" si="106"/>
        <v>0</v>
      </c>
      <c r="U166" s="57">
        <f t="shared" si="107"/>
        <v>2.5965000000000003</v>
      </c>
      <c r="V166" s="58">
        <f t="shared" si="107"/>
        <v>1.2500000000000039E-2</v>
      </c>
    </row>
    <row r="167" spans="1:22">
      <c r="A167" s="142">
        <v>144</v>
      </c>
      <c r="B167" s="137" t="s">
        <v>309</v>
      </c>
      <c r="C167" s="138" t="s">
        <v>27</v>
      </c>
      <c r="D167" s="29">
        <v>814306370.51999998</v>
      </c>
      <c r="E167" s="30">
        <f t="shared" si="103"/>
        <v>1.3451338417408596E-2</v>
      </c>
      <c r="F167" s="33">
        <v>1.0268999999999999</v>
      </c>
      <c r="G167" s="33">
        <v>1.0268999999999999</v>
      </c>
      <c r="H167" s="32">
        <v>196</v>
      </c>
      <c r="I167" s="50">
        <v>2.46E-2</v>
      </c>
      <c r="J167" s="50">
        <v>2.69E-2</v>
      </c>
      <c r="K167" s="29">
        <v>822055791.41999996</v>
      </c>
      <c r="L167" s="54">
        <f t="shared" si="104"/>
        <v>1.3511914956969953E-2</v>
      </c>
      <c r="M167" s="33">
        <v>1.0349999999999999</v>
      </c>
      <c r="N167" s="33">
        <v>1.0349999999999999</v>
      </c>
      <c r="O167" s="32">
        <v>196</v>
      </c>
      <c r="P167" s="50">
        <v>7.9000000000000008E-3</v>
      </c>
      <c r="Q167" s="50">
        <v>3.5000000000000003E-2</v>
      </c>
      <c r="R167" s="57">
        <f t="shared" ref="R167" si="108">((K167-D167)/D167)</f>
        <v>9.5165912739345864E-3</v>
      </c>
      <c r="S167" s="57">
        <f t="shared" ref="S167" si="109">((N167-G167)/G167)</f>
        <v>7.8878177037686216E-3</v>
      </c>
      <c r="T167" s="57">
        <f t="shared" ref="T167" si="110">((O167-H167)/H167)</f>
        <v>0</v>
      </c>
      <c r="U167" s="57">
        <f t="shared" ref="U167" si="111">P167-I167</f>
        <v>-1.67E-2</v>
      </c>
      <c r="V167" s="58">
        <f t="shared" ref="V167" si="112">Q167-J167</f>
        <v>8.100000000000003E-3</v>
      </c>
    </row>
    <row r="168" spans="1:22">
      <c r="A168" s="142">
        <v>145</v>
      </c>
      <c r="B168" s="137" t="s">
        <v>200</v>
      </c>
      <c r="C168" s="138" t="s">
        <v>65</v>
      </c>
      <c r="D168" s="33">
        <v>4097851376.2018399</v>
      </c>
      <c r="E168" s="30">
        <f t="shared" si="103"/>
        <v>6.7691458204281185E-2</v>
      </c>
      <c r="F168" s="33">
        <v>9057.3660935402604</v>
      </c>
      <c r="G168" s="33">
        <v>9136.1839270739292</v>
      </c>
      <c r="H168" s="32">
        <v>1020</v>
      </c>
      <c r="I168" s="50">
        <v>0.11385067427283223</v>
      </c>
      <c r="J168" s="50">
        <v>0.49728875934842326</v>
      </c>
      <c r="K168" s="33">
        <v>4125226017.8427501</v>
      </c>
      <c r="L168" s="54">
        <f t="shared" si="104"/>
        <v>6.7805255693275501E-2</v>
      </c>
      <c r="M168" s="33">
        <v>9107.3767930068407</v>
      </c>
      <c r="N168" s="33">
        <v>9186.7230599231898</v>
      </c>
      <c r="O168" s="32">
        <v>1027</v>
      </c>
      <c r="P168" s="50">
        <v>0.28790939120370507</v>
      </c>
      <c r="Q168" s="50">
        <v>0.4896508143605276</v>
      </c>
      <c r="R168" s="57">
        <f t="shared" si="105"/>
        <v>6.6802426754390444E-3</v>
      </c>
      <c r="S168" s="57">
        <f t="shared" si="106"/>
        <v>5.5317551893295644E-3</v>
      </c>
      <c r="T168" s="57">
        <f t="shared" si="106"/>
        <v>6.8627450980392156E-3</v>
      </c>
      <c r="U168" s="57">
        <f t="shared" si="107"/>
        <v>0.17405871693087283</v>
      </c>
      <c r="V168" s="58">
        <f t="shared" si="107"/>
        <v>-7.6379449878956618E-3</v>
      </c>
    </row>
    <row r="169" spans="1:22">
      <c r="A169" s="142">
        <v>146</v>
      </c>
      <c r="B169" s="137" t="s">
        <v>201</v>
      </c>
      <c r="C169" s="138" t="s">
        <v>67</v>
      </c>
      <c r="D169" s="33">
        <v>863575629.63</v>
      </c>
      <c r="E169" s="30">
        <f t="shared" si="103"/>
        <v>1.4265205902493343E-2</v>
      </c>
      <c r="F169" s="33">
        <v>196.15</v>
      </c>
      <c r="G169" s="33">
        <v>197.58</v>
      </c>
      <c r="H169" s="32">
        <v>699</v>
      </c>
      <c r="I169" s="50">
        <v>-1.5900000000000001E-2</v>
      </c>
      <c r="J169" s="50">
        <v>8.2500000000000004E-2</v>
      </c>
      <c r="K169" s="33">
        <v>881626665.13</v>
      </c>
      <c r="L169" s="54">
        <f t="shared" si="104"/>
        <v>1.4491065749267789E-2</v>
      </c>
      <c r="M169" s="33">
        <v>196.47</v>
      </c>
      <c r="N169" s="33">
        <v>197.86</v>
      </c>
      <c r="O169" s="32">
        <v>700</v>
      </c>
      <c r="P169" s="50">
        <v>1.5E-3</v>
      </c>
      <c r="Q169" s="50">
        <v>8.4000000000000005E-2</v>
      </c>
      <c r="R169" s="57">
        <f t="shared" si="105"/>
        <v>2.0902668950644181E-2</v>
      </c>
      <c r="S169" s="57">
        <f t="shared" si="106"/>
        <v>1.4171474845632206E-3</v>
      </c>
      <c r="T169" s="57">
        <f t="shared" si="106"/>
        <v>1.4306151645207439E-3</v>
      </c>
      <c r="U169" s="57">
        <f t="shared" si="107"/>
        <v>1.7400000000000002E-2</v>
      </c>
      <c r="V169" s="58">
        <f t="shared" si="107"/>
        <v>1.5000000000000013E-3</v>
      </c>
    </row>
    <row r="170" spans="1:22">
      <c r="A170" s="142">
        <v>147</v>
      </c>
      <c r="B170" s="137" t="s">
        <v>202</v>
      </c>
      <c r="C170" s="138" t="s">
        <v>69</v>
      </c>
      <c r="D170" s="33">
        <v>3734808.11</v>
      </c>
      <c r="E170" s="30">
        <f t="shared" si="103"/>
        <v>6.1694430536766011E-5</v>
      </c>
      <c r="F170" s="33">
        <v>102.747</v>
      </c>
      <c r="G170" s="33">
        <v>102.99</v>
      </c>
      <c r="H170" s="32">
        <v>0</v>
      </c>
      <c r="I170" s="50">
        <v>0</v>
      </c>
      <c r="J170" s="50">
        <v>0</v>
      </c>
      <c r="K170" s="33">
        <v>3734808.11</v>
      </c>
      <c r="L170" s="54">
        <f t="shared" si="104"/>
        <v>6.1388059167797644E-5</v>
      </c>
      <c r="M170" s="33">
        <v>102.747</v>
      </c>
      <c r="N170" s="33">
        <v>102.99</v>
      </c>
      <c r="O170" s="32">
        <v>0</v>
      </c>
      <c r="P170" s="50">
        <v>0</v>
      </c>
      <c r="Q170" s="50">
        <v>0</v>
      </c>
      <c r="R170" s="57">
        <f t="shared" si="105"/>
        <v>0</v>
      </c>
      <c r="S170" s="57">
        <f t="shared" si="106"/>
        <v>0</v>
      </c>
      <c r="T170" s="57" t="e">
        <f t="shared" si="106"/>
        <v>#DIV/0!</v>
      </c>
      <c r="U170" s="57">
        <f t="shared" si="107"/>
        <v>0</v>
      </c>
      <c r="V170" s="58">
        <f t="shared" si="107"/>
        <v>0</v>
      </c>
    </row>
    <row r="171" spans="1:22">
      <c r="A171" s="142">
        <v>148</v>
      </c>
      <c r="B171" s="137" t="s">
        <v>203</v>
      </c>
      <c r="C171" s="138" t="s">
        <v>125</v>
      </c>
      <c r="D171" s="33">
        <v>251161164.25</v>
      </c>
      <c r="E171" s="30">
        <f t="shared" si="103"/>
        <v>4.1488731268056779E-3</v>
      </c>
      <c r="F171" s="33">
        <v>1.6344000000000001</v>
      </c>
      <c r="G171" s="33">
        <v>1.6505000000000001</v>
      </c>
      <c r="H171" s="32">
        <v>408</v>
      </c>
      <c r="I171" s="50">
        <v>4.9806308799114074E-3</v>
      </c>
      <c r="J171" s="50">
        <v>0.11646970421476888</v>
      </c>
      <c r="K171" s="33">
        <v>251161164.25</v>
      </c>
      <c r="L171" s="54">
        <f t="shared" si="104"/>
        <v>4.1282700362434265E-3</v>
      </c>
      <c r="M171" s="33">
        <v>1.6376999999999999</v>
      </c>
      <c r="N171" s="33">
        <v>1.6537999999999999</v>
      </c>
      <c r="O171" s="32">
        <v>406</v>
      </c>
      <c r="P171" s="50">
        <v>1.3451543870375282E-3</v>
      </c>
      <c r="Q171" s="50">
        <v>0.11872395655440937</v>
      </c>
      <c r="R171" s="57">
        <f t="shared" si="105"/>
        <v>0</v>
      </c>
      <c r="S171" s="57">
        <f t="shared" si="106"/>
        <v>1.9993941229929468E-3</v>
      </c>
      <c r="T171" s="57">
        <f t="shared" si="106"/>
        <v>-4.9019607843137254E-3</v>
      </c>
      <c r="U171" s="57">
        <f t="shared" si="107"/>
        <v>-3.6354764928738792E-3</v>
      </c>
      <c r="V171" s="58">
        <f t="shared" si="107"/>
        <v>2.2542523396404945E-3</v>
      </c>
    </row>
    <row r="172" spans="1:22">
      <c r="A172" s="142">
        <v>149</v>
      </c>
      <c r="B172" s="137" t="s">
        <v>204</v>
      </c>
      <c r="C172" s="138" t="s">
        <v>29</v>
      </c>
      <c r="D172" s="44">
        <v>131682009.56</v>
      </c>
      <c r="E172" s="30">
        <f t="shared" si="103"/>
        <v>2.1752246306815421E-3</v>
      </c>
      <c r="F172" s="33">
        <v>158.11959999999999</v>
      </c>
      <c r="G172" s="33">
        <v>158.97649999999999</v>
      </c>
      <c r="H172" s="32">
        <v>112</v>
      </c>
      <c r="I172" s="50">
        <v>9.9710000000000007E-3</v>
      </c>
      <c r="J172" s="50">
        <v>4.7899999999999998E-2</v>
      </c>
      <c r="K172" s="44">
        <v>132433172.59999999</v>
      </c>
      <c r="L172" s="54">
        <f t="shared" si="104"/>
        <v>2.1767692464788931E-3</v>
      </c>
      <c r="M172" s="33">
        <v>159.02099999999999</v>
      </c>
      <c r="N172" s="33">
        <v>159.88460000000001</v>
      </c>
      <c r="O172" s="32">
        <v>112</v>
      </c>
      <c r="P172" s="50">
        <v>3.4789999999999999E-3</v>
      </c>
      <c r="Q172" s="50">
        <v>5.3900000000000003E-2</v>
      </c>
      <c r="R172" s="57">
        <f t="shared" si="105"/>
        <v>5.7043710261554699E-3</v>
      </c>
      <c r="S172" s="57">
        <f t="shared" si="106"/>
        <v>5.7121650055198024E-3</v>
      </c>
      <c r="T172" s="57">
        <f t="shared" si="106"/>
        <v>0</v>
      </c>
      <c r="U172" s="57">
        <f t="shared" si="107"/>
        <v>-6.4920000000000012E-3</v>
      </c>
      <c r="V172" s="58">
        <f t="shared" si="107"/>
        <v>6.0000000000000053E-3</v>
      </c>
    </row>
    <row r="173" spans="1:22">
      <c r="A173" s="142">
        <v>150</v>
      </c>
      <c r="B173" s="137" t="s">
        <v>205</v>
      </c>
      <c r="C173" s="138" t="s">
        <v>72</v>
      </c>
      <c r="D173" s="44">
        <v>262738190.52000001</v>
      </c>
      <c r="E173" s="30">
        <f t="shared" si="103"/>
        <v>4.3401113436030685E-3</v>
      </c>
      <c r="F173" s="33">
        <v>130.88999999999999</v>
      </c>
      <c r="G173" s="33">
        <v>131.72</v>
      </c>
      <c r="H173" s="32">
        <v>34</v>
      </c>
      <c r="I173" s="50">
        <v>2.9999999999999997E-4</v>
      </c>
      <c r="J173" s="50">
        <v>0.1046</v>
      </c>
      <c r="K173" s="44">
        <v>268340308.78</v>
      </c>
      <c r="L173" s="54">
        <f t="shared" si="104"/>
        <v>4.4106391191518889E-3</v>
      </c>
      <c r="M173" s="33">
        <v>133.31</v>
      </c>
      <c r="N173" s="33">
        <v>134.21</v>
      </c>
      <c r="O173" s="32">
        <v>34</v>
      </c>
      <c r="P173" s="50">
        <v>2.06E-2</v>
      </c>
      <c r="Q173" s="50">
        <v>0.12529999999999999</v>
      </c>
      <c r="R173" s="57">
        <f t="shared" si="105"/>
        <v>2.1322055422976466E-2</v>
      </c>
      <c r="S173" s="57">
        <f t="shared" si="106"/>
        <v>1.8903735195870096E-2</v>
      </c>
      <c r="T173" s="57">
        <f t="shared" si="106"/>
        <v>0</v>
      </c>
      <c r="U173" s="57">
        <f t="shared" si="107"/>
        <v>2.0299999999999999E-2</v>
      </c>
      <c r="V173" s="58">
        <f t="shared" si="107"/>
        <v>2.0699999999999996E-2</v>
      </c>
    </row>
    <row r="174" spans="1:22" ht="15.75" customHeight="1">
      <c r="A174" s="142">
        <v>151</v>
      </c>
      <c r="B174" s="137" t="s">
        <v>206</v>
      </c>
      <c r="C174" s="138" t="s">
        <v>75</v>
      </c>
      <c r="D174" s="29">
        <v>360323852.06</v>
      </c>
      <c r="E174" s="30">
        <f t="shared" si="103"/>
        <v>5.952106294868152E-3</v>
      </c>
      <c r="F174" s="33">
        <v>1.4457</v>
      </c>
      <c r="G174" s="33">
        <v>1.4615</v>
      </c>
      <c r="H174" s="32">
        <v>98</v>
      </c>
      <c r="I174" s="50">
        <v>3.6999999999999998E-2</v>
      </c>
      <c r="J174" s="50">
        <v>0.1343</v>
      </c>
      <c r="K174" s="29">
        <v>367004898.93000001</v>
      </c>
      <c r="L174" s="54">
        <f t="shared" si="104"/>
        <v>6.0323630523514199E-3</v>
      </c>
      <c r="M174" s="33">
        <v>1.4726999999999999</v>
      </c>
      <c r="N174" s="33">
        <v>1.4874000000000001</v>
      </c>
      <c r="O174" s="32">
        <v>97</v>
      </c>
      <c r="P174" s="50">
        <v>3.6999999999999998E-2</v>
      </c>
      <c r="Q174" s="50">
        <v>0.1555</v>
      </c>
      <c r="R174" s="57">
        <f t="shared" si="105"/>
        <v>1.854178354223272E-2</v>
      </c>
      <c r="S174" s="57">
        <f t="shared" si="106"/>
        <v>1.7721518987341794E-2</v>
      </c>
      <c r="T174" s="57">
        <f t="shared" si="106"/>
        <v>-1.020408163265306E-2</v>
      </c>
      <c r="U174" s="57">
        <f t="shared" si="107"/>
        <v>0</v>
      </c>
      <c r="V174" s="58">
        <f t="shared" si="107"/>
        <v>2.1199999999999997E-2</v>
      </c>
    </row>
    <row r="175" spans="1:22">
      <c r="A175" s="142">
        <v>152</v>
      </c>
      <c r="B175" s="137" t="s">
        <v>207</v>
      </c>
      <c r="C175" s="138" t="s">
        <v>31</v>
      </c>
      <c r="D175" s="33">
        <v>10437960994.26</v>
      </c>
      <c r="E175" s="30">
        <f t="shared" si="103"/>
        <v>0.17242226120844711</v>
      </c>
      <c r="F175" s="33">
        <v>359.67</v>
      </c>
      <c r="G175" s="33">
        <v>362.73</v>
      </c>
      <c r="H175" s="32">
        <v>5482</v>
      </c>
      <c r="I175" s="50">
        <v>6.1000000000000004E-3</v>
      </c>
      <c r="J175" s="50">
        <v>0.10970000000000001</v>
      </c>
      <c r="K175" s="33">
        <v>10524784151.4</v>
      </c>
      <c r="L175" s="54">
        <f t="shared" si="104"/>
        <v>0.17299311053880145</v>
      </c>
      <c r="M175" s="33">
        <v>362.63</v>
      </c>
      <c r="N175" s="33">
        <v>365.77</v>
      </c>
      <c r="O175" s="32">
        <v>5483</v>
      </c>
      <c r="P175" s="50">
        <v>8.3000000000000001E-3</v>
      </c>
      <c r="Q175" s="50">
        <v>0.1188</v>
      </c>
      <c r="R175" s="57">
        <f t="shared" si="105"/>
        <v>8.3180189299179048E-3</v>
      </c>
      <c r="S175" s="57">
        <f t="shared" si="106"/>
        <v>8.3808893667465158E-3</v>
      </c>
      <c r="T175" s="57">
        <f t="shared" si="106"/>
        <v>1.8241517694272163E-4</v>
      </c>
      <c r="U175" s="57">
        <f t="shared" si="107"/>
        <v>2.1999999999999997E-3</v>
      </c>
      <c r="V175" s="58">
        <f t="shared" si="107"/>
        <v>9.099999999999997E-3</v>
      </c>
    </row>
    <row r="176" spans="1:22">
      <c r="A176" s="142">
        <v>153</v>
      </c>
      <c r="B176" s="137" t="s">
        <v>208</v>
      </c>
      <c r="C176" s="138" t="s">
        <v>80</v>
      </c>
      <c r="D176" s="33">
        <v>3645778372.2800002</v>
      </c>
      <c r="E176" s="30">
        <f t="shared" si="103"/>
        <v>6.0223768910331606E-2</v>
      </c>
      <c r="F176" s="33">
        <v>2.5516999999999999</v>
      </c>
      <c r="G176" s="33">
        <v>2.597</v>
      </c>
      <c r="H176" s="32">
        <v>10304</v>
      </c>
      <c r="I176" s="50">
        <v>8.9999999999999998E-4</v>
      </c>
      <c r="J176" s="50">
        <v>0.1007</v>
      </c>
      <c r="K176" s="33">
        <v>3656071156.3699999</v>
      </c>
      <c r="L176" s="54">
        <f t="shared" si="104"/>
        <v>6.0093880557874214E-2</v>
      </c>
      <c r="M176" s="33">
        <v>2.5589</v>
      </c>
      <c r="N176" s="33">
        <v>2.6042999999999998</v>
      </c>
      <c r="O176" s="32">
        <v>10304</v>
      </c>
      <c r="P176" s="50">
        <v>2.8999999999999998E-3</v>
      </c>
      <c r="Q176" s="50">
        <v>0.10390000000000001</v>
      </c>
      <c r="R176" s="57">
        <f t="shared" si="105"/>
        <v>2.8232061960372992E-3</v>
      </c>
      <c r="S176" s="57">
        <f t="shared" si="106"/>
        <v>2.8109356950326769E-3</v>
      </c>
      <c r="T176" s="57">
        <f t="shared" si="106"/>
        <v>0</v>
      </c>
      <c r="U176" s="57">
        <f t="shared" si="107"/>
        <v>2E-3</v>
      </c>
      <c r="V176" s="58">
        <f t="shared" si="107"/>
        <v>3.2000000000000084E-3</v>
      </c>
    </row>
    <row r="177" spans="1:22">
      <c r="A177" s="142">
        <v>154</v>
      </c>
      <c r="B177" s="137" t="s">
        <v>209</v>
      </c>
      <c r="C177" s="138" t="s">
        <v>82</v>
      </c>
      <c r="D177" s="33">
        <v>267733078.80000001</v>
      </c>
      <c r="E177" s="30">
        <f t="shared" si="103"/>
        <v>4.4226207467513243E-3</v>
      </c>
      <c r="F177" s="33">
        <v>348.20600000000002</v>
      </c>
      <c r="G177" s="33">
        <v>350.40499999999997</v>
      </c>
      <c r="H177" s="32">
        <v>32</v>
      </c>
      <c r="I177" s="50">
        <v>7.7446242005037025E-3</v>
      </c>
      <c r="J177" s="50">
        <v>4.0507993425967559E-2</v>
      </c>
      <c r="K177" s="33">
        <v>264931108.38999999</v>
      </c>
      <c r="L177" s="54">
        <f t="shared" si="104"/>
        <v>4.3546029884880839E-3</v>
      </c>
      <c r="M177" s="33">
        <v>344.56220000000002</v>
      </c>
      <c r="N177" s="33">
        <v>346.69670000000002</v>
      </c>
      <c r="O177" s="32">
        <v>32</v>
      </c>
      <c r="P177" s="50">
        <v>0.12189999999999999</v>
      </c>
      <c r="Q177" s="50">
        <v>0.19370000000000001</v>
      </c>
      <c r="R177" s="57">
        <f t="shared" si="105"/>
        <v>-1.0465536879337699E-2</v>
      </c>
      <c r="S177" s="57">
        <f t="shared" si="106"/>
        <v>-1.0582896933548185E-2</v>
      </c>
      <c r="T177" s="57">
        <f t="shared" si="106"/>
        <v>0</v>
      </c>
      <c r="U177" s="57">
        <f t="shared" si="107"/>
        <v>0.11415537579949629</v>
      </c>
      <c r="V177" s="58">
        <f t="shared" si="107"/>
        <v>0.15319200657403245</v>
      </c>
    </row>
    <row r="178" spans="1:22">
      <c r="A178" s="142">
        <v>155</v>
      </c>
      <c r="B178" s="137" t="s">
        <v>210</v>
      </c>
      <c r="C178" s="137" t="s">
        <v>84</v>
      </c>
      <c r="D178" s="132">
        <v>60788058.56637229</v>
      </c>
      <c r="E178" s="30">
        <f t="shared" si="103"/>
        <v>1.0041438666277072E-3</v>
      </c>
      <c r="F178" s="33">
        <v>1.1890049982658661</v>
      </c>
      <c r="G178" s="33">
        <v>1.1767131495248699</v>
      </c>
      <c r="H178" s="32">
        <v>33</v>
      </c>
      <c r="I178" s="50">
        <v>7.1150478188057543E-3</v>
      </c>
      <c r="J178" s="50">
        <v>-5.1133304718390081E-3</v>
      </c>
      <c r="K178" s="132">
        <v>60840032.176495858</v>
      </c>
      <c r="L178" s="54">
        <f t="shared" si="104"/>
        <v>1.000011616399066E-3</v>
      </c>
      <c r="M178" s="33">
        <v>1.1834940955105648</v>
      </c>
      <c r="N178" s="33">
        <v>1.1961785257460551</v>
      </c>
      <c r="O178" s="32">
        <v>33</v>
      </c>
      <c r="P178" s="50">
        <v>8.5499703970343404E-4</v>
      </c>
      <c r="Q178" s="50">
        <v>-4.2627053145520219E-3</v>
      </c>
      <c r="R178" s="57">
        <f t="shared" si="105"/>
        <v>8.5499703970343404E-4</v>
      </c>
      <c r="S178" s="57">
        <f t="shared" si="106"/>
        <v>1.6542159173665083E-2</v>
      </c>
      <c r="T178" s="57">
        <f t="shared" si="106"/>
        <v>0</v>
      </c>
      <c r="U178" s="57">
        <f t="shared" si="107"/>
        <v>-6.2600507791023205E-3</v>
      </c>
      <c r="V178" s="58">
        <f t="shared" si="107"/>
        <v>8.5062515728698621E-4</v>
      </c>
    </row>
    <row r="179" spans="1:22" ht="13.5" customHeight="1">
      <c r="A179" s="142">
        <v>156</v>
      </c>
      <c r="B179" s="137" t="s">
        <v>211</v>
      </c>
      <c r="C179" s="138" t="s">
        <v>37</v>
      </c>
      <c r="D179" s="29">
        <v>3547929279.8400002</v>
      </c>
      <c r="E179" s="30">
        <f t="shared" si="103"/>
        <v>5.8607422405015382E-2</v>
      </c>
      <c r="F179" s="33">
        <v>4.9963129999999998</v>
      </c>
      <c r="G179" s="33">
        <v>5.1244240000000003</v>
      </c>
      <c r="H179" s="32">
        <v>2394</v>
      </c>
      <c r="I179" s="50">
        <v>1.3020841253398752E-2</v>
      </c>
      <c r="J179" s="50">
        <v>0.17857417499078854</v>
      </c>
      <c r="K179" s="29">
        <v>3619632552.6900001</v>
      </c>
      <c r="L179" s="54">
        <f t="shared" si="104"/>
        <v>5.949494880748242E-2</v>
      </c>
      <c r="M179" s="33">
        <v>5.0934460000000001</v>
      </c>
      <c r="N179" s="33">
        <v>5.2241569999999999</v>
      </c>
      <c r="O179" s="32">
        <v>2404</v>
      </c>
      <c r="P179" s="50">
        <v>1.9440935746019239E-2</v>
      </c>
      <c r="Q179" s="50">
        <v>0.20148675979870201</v>
      </c>
      <c r="R179" s="57">
        <f t="shared" si="105"/>
        <v>2.0209893488416286E-2</v>
      </c>
      <c r="S179" s="57">
        <f t="shared" si="106"/>
        <v>1.9462284931925932E-2</v>
      </c>
      <c r="T179" s="57">
        <f t="shared" si="106"/>
        <v>4.1771094402673348E-3</v>
      </c>
      <c r="U179" s="57">
        <f t="shared" si="107"/>
        <v>6.4200944926204873E-3</v>
      </c>
      <c r="V179" s="58">
        <f t="shared" si="107"/>
        <v>2.2912584807913472E-2</v>
      </c>
    </row>
    <row r="180" spans="1:22" ht="13.5" customHeight="1">
      <c r="A180" s="142">
        <v>157</v>
      </c>
      <c r="B180" s="137" t="s">
        <v>212</v>
      </c>
      <c r="C180" s="138" t="s">
        <v>213</v>
      </c>
      <c r="D180" s="29">
        <v>83270885.829999998</v>
      </c>
      <c r="E180" s="30">
        <f t="shared" si="103"/>
        <v>1.3755324852751025E-3</v>
      </c>
      <c r="F180" s="33">
        <v>2.3108</v>
      </c>
      <c r="G180" s="33">
        <v>2.3214000000000001</v>
      </c>
      <c r="H180" s="32">
        <v>97</v>
      </c>
      <c r="I180" s="50">
        <v>1.2999999999999999E-3</v>
      </c>
      <c r="J180" s="50">
        <v>9.4500000000000001E-2</v>
      </c>
      <c r="K180" s="29">
        <v>84159907.799999997</v>
      </c>
      <c r="L180" s="54">
        <f t="shared" si="104"/>
        <v>1.3833142821312967E-3</v>
      </c>
      <c r="M180" s="33">
        <v>2.3363999999999998</v>
      </c>
      <c r="N180" s="33">
        <v>2.3473000000000002</v>
      </c>
      <c r="O180" s="32">
        <v>97</v>
      </c>
      <c r="P180" s="50">
        <v>1.11E-2</v>
      </c>
      <c r="Q180" s="50">
        <v>0.1106</v>
      </c>
      <c r="R180" s="57">
        <f t="shared" si="105"/>
        <v>1.0676264112464995E-2</v>
      </c>
      <c r="S180" s="57">
        <f t="shared" si="106"/>
        <v>1.1157060394589486E-2</v>
      </c>
      <c r="T180" s="57">
        <f t="shared" si="106"/>
        <v>0</v>
      </c>
      <c r="U180" s="57">
        <f t="shared" si="107"/>
        <v>9.7999999999999997E-3</v>
      </c>
      <c r="V180" s="58">
        <f t="shared" si="107"/>
        <v>1.6100000000000003E-2</v>
      </c>
    </row>
    <row r="181" spans="1:22">
      <c r="A181" s="142">
        <v>158</v>
      </c>
      <c r="B181" s="137" t="s">
        <v>214</v>
      </c>
      <c r="C181" s="138" t="s">
        <v>134</v>
      </c>
      <c r="D181" s="29">
        <v>507795305.58999997</v>
      </c>
      <c r="E181" s="30">
        <f t="shared" si="103"/>
        <v>8.3881530951313392E-3</v>
      </c>
      <c r="F181" s="33">
        <v>247.1</v>
      </c>
      <c r="G181" s="33">
        <v>248.53</v>
      </c>
      <c r="H181" s="32">
        <v>143</v>
      </c>
      <c r="I181" s="50">
        <v>6.2331955721672805E-4</v>
      </c>
      <c r="J181" s="50">
        <v>0.25030000000000002</v>
      </c>
      <c r="K181" s="29">
        <v>561226882.67999995</v>
      </c>
      <c r="L181" s="54">
        <f t="shared" si="104"/>
        <v>9.2247387458196523E-3</v>
      </c>
      <c r="M181" s="33">
        <v>274.44</v>
      </c>
      <c r="N181" s="33">
        <v>275.98</v>
      </c>
      <c r="O181" s="32">
        <v>147</v>
      </c>
      <c r="P181" s="50">
        <v>1.37E-2</v>
      </c>
      <c r="Q181" s="50">
        <v>0.13539999999999999</v>
      </c>
      <c r="R181" s="57">
        <f t="shared" si="105"/>
        <v>0.1052226684685842</v>
      </c>
      <c r="S181" s="57">
        <f t="shared" si="106"/>
        <v>0.11044944272321255</v>
      </c>
      <c r="T181" s="57">
        <f t="shared" si="106"/>
        <v>2.7972027972027972E-2</v>
      </c>
      <c r="U181" s="57">
        <f t="shared" si="107"/>
        <v>1.3076680442783272E-2</v>
      </c>
      <c r="V181" s="58">
        <f t="shared" si="107"/>
        <v>-0.11490000000000003</v>
      </c>
    </row>
    <row r="182" spans="1:22">
      <c r="A182" s="142">
        <v>159</v>
      </c>
      <c r="B182" s="137" t="s">
        <v>215</v>
      </c>
      <c r="C182" s="138" t="s">
        <v>33</v>
      </c>
      <c r="D182" s="29">
        <v>2227887568.2600002</v>
      </c>
      <c r="E182" s="30">
        <f t="shared" si="103"/>
        <v>3.6801958969651355E-2</v>
      </c>
      <c r="F182" s="33">
        <v>552.22</v>
      </c>
      <c r="G182" s="33">
        <v>552.22</v>
      </c>
      <c r="H182" s="32">
        <v>823</v>
      </c>
      <c r="I182" s="50">
        <v>3.4200000000000001E-2</v>
      </c>
      <c r="J182" s="50">
        <v>0.40450000000000003</v>
      </c>
      <c r="K182" s="29">
        <v>2200669351.04</v>
      </c>
      <c r="L182" s="54">
        <f t="shared" si="104"/>
        <v>3.6171823652381002E-2</v>
      </c>
      <c r="M182" s="33">
        <v>552.22</v>
      </c>
      <c r="N182" s="33">
        <v>552.22</v>
      </c>
      <c r="O182" s="32">
        <v>823</v>
      </c>
      <c r="P182" s="50">
        <v>-1.2200000000000001E-2</v>
      </c>
      <c r="Q182" s="50">
        <v>6.6E-3</v>
      </c>
      <c r="R182" s="57">
        <f t="shared" si="105"/>
        <v>-1.2217051527989778E-2</v>
      </c>
      <c r="S182" s="57">
        <f t="shared" si="106"/>
        <v>0</v>
      </c>
      <c r="T182" s="57">
        <f t="shared" si="106"/>
        <v>0</v>
      </c>
      <c r="U182" s="57">
        <f t="shared" si="107"/>
        <v>-4.6400000000000004E-2</v>
      </c>
      <c r="V182" s="58">
        <f t="shared" si="107"/>
        <v>-0.39790000000000003</v>
      </c>
    </row>
    <row r="183" spans="1:22">
      <c r="A183" s="142">
        <v>160</v>
      </c>
      <c r="B183" s="137" t="s">
        <v>216</v>
      </c>
      <c r="C183" s="138" t="s">
        <v>91</v>
      </c>
      <c r="D183" s="33">
        <v>36574263.049999997</v>
      </c>
      <c r="E183" s="30">
        <f t="shared" si="103"/>
        <v>6.0416178414361232E-4</v>
      </c>
      <c r="F183" s="33">
        <v>1.99</v>
      </c>
      <c r="G183" s="33">
        <v>1.99</v>
      </c>
      <c r="H183" s="32">
        <v>9</v>
      </c>
      <c r="I183" s="50">
        <v>-2.2039999999999998E-3</v>
      </c>
      <c r="J183" s="50">
        <v>6.2517000000000003E-2</v>
      </c>
      <c r="K183" s="33">
        <v>36574263.049999997</v>
      </c>
      <c r="L183" s="54">
        <f t="shared" si="104"/>
        <v>6.0116154779689477E-4</v>
      </c>
      <c r="M183" s="33">
        <v>1.99</v>
      </c>
      <c r="N183" s="33">
        <v>1.99</v>
      </c>
      <c r="O183" s="32">
        <v>9</v>
      </c>
      <c r="P183" s="50">
        <v>-2.2039999999999998E-3</v>
      </c>
      <c r="Q183" s="50">
        <v>6.2517000000000003E-2</v>
      </c>
      <c r="R183" s="57">
        <f t="shared" si="105"/>
        <v>0</v>
      </c>
      <c r="S183" s="57">
        <f t="shared" si="106"/>
        <v>0</v>
      </c>
      <c r="T183" s="57">
        <f t="shared" si="106"/>
        <v>0</v>
      </c>
      <c r="U183" s="57">
        <f t="shared" si="107"/>
        <v>0</v>
      </c>
      <c r="V183" s="58">
        <f t="shared" si="107"/>
        <v>0</v>
      </c>
    </row>
    <row r="184" spans="1:22">
      <c r="A184" s="142">
        <v>161</v>
      </c>
      <c r="B184" s="137" t="s">
        <v>217</v>
      </c>
      <c r="C184" s="138" t="s">
        <v>45</v>
      </c>
      <c r="D184" s="33">
        <v>299284249.59999996</v>
      </c>
      <c r="E184" s="30">
        <f t="shared" si="103"/>
        <v>4.9438072328956521E-3</v>
      </c>
      <c r="F184" s="33">
        <v>2.9469340000000002</v>
      </c>
      <c r="G184" s="33">
        <v>3.0149490000000001</v>
      </c>
      <c r="H184" s="32">
        <v>122</v>
      </c>
      <c r="I184" s="50">
        <v>2.0299999999999999E-2</v>
      </c>
      <c r="J184" s="50">
        <v>0.12820000000000001</v>
      </c>
      <c r="K184" s="33">
        <v>294357785.12</v>
      </c>
      <c r="L184" s="54">
        <f t="shared" si="104"/>
        <v>4.8382815387665061E-3</v>
      </c>
      <c r="M184" s="33">
        <v>2.9505279999999998</v>
      </c>
      <c r="N184" s="33">
        <v>3.0194510000000001</v>
      </c>
      <c r="O184" s="32">
        <v>123</v>
      </c>
      <c r="P184" s="50">
        <v>-5.5999999999999999E-3</v>
      </c>
      <c r="Q184" s="50">
        <v>0.12970000000000001</v>
      </c>
      <c r="R184" s="57">
        <f t="shared" si="105"/>
        <v>-1.6460821064203306E-2</v>
      </c>
      <c r="S184" s="57">
        <f t="shared" si="106"/>
        <v>1.4932259218978516E-3</v>
      </c>
      <c r="T184" s="57">
        <f t="shared" si="106"/>
        <v>8.1967213114754103E-3</v>
      </c>
      <c r="U184" s="57">
        <f t="shared" si="107"/>
        <v>-2.5899999999999999E-2</v>
      </c>
      <c r="V184" s="58">
        <f t="shared" si="107"/>
        <v>1.5000000000000013E-3</v>
      </c>
    </row>
    <row r="185" spans="1:22">
      <c r="A185" s="142">
        <v>162</v>
      </c>
      <c r="B185" s="137" t="s">
        <v>218</v>
      </c>
      <c r="C185" s="138" t="s">
        <v>49</v>
      </c>
      <c r="D185" s="29">
        <v>3070473324.54</v>
      </c>
      <c r="E185" s="30">
        <f t="shared" si="103"/>
        <v>5.0720438013567994E-2</v>
      </c>
      <c r="F185" s="33">
        <v>7318.6</v>
      </c>
      <c r="G185" s="33">
        <v>7385.31</v>
      </c>
      <c r="H185" s="32">
        <v>2365</v>
      </c>
      <c r="I185" s="50">
        <v>5.7999999999999996E-3</v>
      </c>
      <c r="J185" s="50">
        <v>0.1474</v>
      </c>
      <c r="K185" s="29">
        <v>3007475896.9200001</v>
      </c>
      <c r="L185" s="30">
        <f t="shared" si="104"/>
        <v>4.9433090768845493E-2</v>
      </c>
      <c r="M185" s="33">
        <v>7292.81</v>
      </c>
      <c r="N185" s="33">
        <v>7356.14</v>
      </c>
      <c r="O185" s="32">
        <v>2373</v>
      </c>
      <c r="P185" s="50">
        <v>-3.8999999999999998E-3</v>
      </c>
      <c r="Q185" s="50">
        <v>0.1429</v>
      </c>
      <c r="R185" s="57">
        <f t="shared" si="105"/>
        <v>-2.0517171446014039E-2</v>
      </c>
      <c r="S185" s="57">
        <f t="shared" si="106"/>
        <v>-3.9497326449397614E-3</v>
      </c>
      <c r="T185" s="57">
        <f t="shared" si="106"/>
        <v>3.3826638477801266E-3</v>
      </c>
      <c r="U185" s="57">
        <f t="shared" si="107"/>
        <v>-9.7000000000000003E-3</v>
      </c>
      <c r="V185" s="58">
        <f t="shared" si="107"/>
        <v>-4.500000000000004E-3</v>
      </c>
    </row>
    <row r="186" spans="1:22">
      <c r="A186" s="142">
        <v>163</v>
      </c>
      <c r="B186" s="137" t="s">
        <v>219</v>
      </c>
      <c r="C186" s="137" t="s">
        <v>101</v>
      </c>
      <c r="D186" s="29">
        <v>112579027.22</v>
      </c>
      <c r="E186" s="30">
        <f t="shared" si="103"/>
        <v>1.8596668878715112E-3</v>
      </c>
      <c r="F186" s="33">
        <v>1186.3699999999999</v>
      </c>
      <c r="G186" s="33">
        <v>1202.55</v>
      </c>
      <c r="H186" s="32">
        <v>11</v>
      </c>
      <c r="I186" s="50">
        <v>5.6031199187667191E-3</v>
      </c>
      <c r="J186" s="50">
        <v>7.1444999999999995E-2</v>
      </c>
      <c r="K186" s="29">
        <v>113034286.76000001</v>
      </c>
      <c r="L186" s="30">
        <f t="shared" si="104"/>
        <v>1.857914859141903E-3</v>
      </c>
      <c r="M186" s="33">
        <v>1191.17</v>
      </c>
      <c r="N186" s="33">
        <v>1207.42</v>
      </c>
      <c r="O186" s="32">
        <v>11</v>
      </c>
      <c r="P186" s="50">
        <v>3.731364768262857E-3</v>
      </c>
      <c r="Q186" s="50">
        <v>7.5785000000000005E-2</v>
      </c>
      <c r="R186" s="57">
        <f t="shared" si="105"/>
        <v>4.0439107642167328E-3</v>
      </c>
      <c r="S186" s="57">
        <f t="shared" si="106"/>
        <v>4.0497276620515728E-3</v>
      </c>
      <c r="T186" s="57">
        <f t="shared" si="106"/>
        <v>0</v>
      </c>
      <c r="U186" s="57">
        <f t="shared" si="107"/>
        <v>-1.8717551505038621E-3</v>
      </c>
      <c r="V186" s="58">
        <f t="shared" si="107"/>
        <v>4.3400000000000105E-3</v>
      </c>
    </row>
    <row r="187" spans="1:22">
      <c r="A187" s="142">
        <v>164</v>
      </c>
      <c r="B187" s="137" t="s">
        <v>220</v>
      </c>
      <c r="C187" s="137" t="s">
        <v>84</v>
      </c>
      <c r="D187" s="29">
        <v>758659705.1125865</v>
      </c>
      <c r="E187" s="30">
        <f t="shared" si="103"/>
        <v>1.2532124034107835E-2</v>
      </c>
      <c r="F187" s="33">
        <v>1.4481181339305449</v>
      </c>
      <c r="G187" s="33">
        <v>1.4481181339305449</v>
      </c>
      <c r="H187" s="32">
        <v>43</v>
      </c>
      <c r="I187" s="50">
        <v>2.7613017564966369E-3</v>
      </c>
      <c r="J187" s="50">
        <v>7.6100000000000001E-2</v>
      </c>
      <c r="K187" s="29">
        <v>760398945.10372758</v>
      </c>
      <c r="L187" s="30">
        <f t="shared" si="104"/>
        <v>1.2498477581264154E-2</v>
      </c>
      <c r="M187" s="33">
        <v>1.4514379688360444</v>
      </c>
      <c r="N187" s="33">
        <v>1.4514379688360444</v>
      </c>
      <c r="O187" s="32">
        <v>43</v>
      </c>
      <c r="P187" s="50">
        <v>2.2925166308694019E-3</v>
      </c>
      <c r="Q187" s="50">
        <v>7.8593007704978637E-2</v>
      </c>
      <c r="R187" s="57">
        <f t="shared" si="105"/>
        <v>2.2925166308694019E-3</v>
      </c>
      <c r="S187" s="57">
        <f t="shared" si="106"/>
        <v>2.2925166308694961E-3</v>
      </c>
      <c r="T187" s="57">
        <f t="shared" si="106"/>
        <v>0</v>
      </c>
      <c r="U187" s="57">
        <f t="shared" si="107"/>
        <v>-4.6878512562723495E-4</v>
      </c>
      <c r="V187" s="58">
        <f t="shared" si="107"/>
        <v>2.4930077049786364E-3</v>
      </c>
    </row>
    <row r="188" spans="1:22">
      <c r="A188" s="142">
        <v>165</v>
      </c>
      <c r="B188" s="137" t="s">
        <v>221</v>
      </c>
      <c r="C188" s="138" t="s">
        <v>52</v>
      </c>
      <c r="D188" s="33">
        <v>2420890684.9699998</v>
      </c>
      <c r="E188" s="30">
        <f t="shared" si="103"/>
        <v>3.9990132773109338E-2</v>
      </c>
      <c r="F188" s="33">
        <v>2.1758999999999999</v>
      </c>
      <c r="G188" s="33">
        <v>2.1905999999999999</v>
      </c>
      <c r="H188" s="32">
        <v>2336</v>
      </c>
      <c r="I188" s="50">
        <v>-2.8E-3</v>
      </c>
      <c r="J188" s="50">
        <v>0.1004</v>
      </c>
      <c r="K188" s="33">
        <v>2440658880.02</v>
      </c>
      <c r="L188" s="54">
        <f t="shared" si="104"/>
        <v>4.0116468456281279E-2</v>
      </c>
      <c r="M188" s="33">
        <v>2.1934999999999998</v>
      </c>
      <c r="N188" s="33">
        <v>2.2086999999999999</v>
      </c>
      <c r="O188" s="32">
        <v>2343</v>
      </c>
      <c r="P188" s="50">
        <v>8.0999999999999996E-3</v>
      </c>
      <c r="Q188" s="50">
        <v>0.10929999999999999</v>
      </c>
      <c r="R188" s="57">
        <f t="shared" si="105"/>
        <v>8.1656702521638903E-3</v>
      </c>
      <c r="S188" s="57">
        <f t="shared" si="106"/>
        <v>8.262576463069481E-3</v>
      </c>
      <c r="T188" s="57">
        <f t="shared" si="106"/>
        <v>2.9965753424657533E-3</v>
      </c>
      <c r="U188" s="57">
        <f t="shared" si="107"/>
        <v>1.09E-2</v>
      </c>
      <c r="V188" s="58">
        <f t="shared" si="107"/>
        <v>8.8999999999999913E-3</v>
      </c>
    </row>
    <row r="189" spans="1:22">
      <c r="A189" s="142">
        <v>166</v>
      </c>
      <c r="B189" s="137" t="s">
        <v>222</v>
      </c>
      <c r="C189" s="138" t="s">
        <v>52</v>
      </c>
      <c r="D189" s="33">
        <v>1364405618.02</v>
      </c>
      <c r="E189" s="30">
        <f t="shared" si="103"/>
        <v>2.2538300535314033E-2</v>
      </c>
      <c r="F189" s="33">
        <v>1.6707000000000001</v>
      </c>
      <c r="G189" s="33">
        <v>1.6806000000000001</v>
      </c>
      <c r="H189" s="32">
        <v>936</v>
      </c>
      <c r="I189" s="50">
        <v>1.4E-3</v>
      </c>
      <c r="J189" s="50">
        <v>9.9599999999999994E-2</v>
      </c>
      <c r="K189" s="33">
        <v>1377890240.47</v>
      </c>
      <c r="L189" s="54">
        <f t="shared" si="104"/>
        <v>2.2648019688675063E-2</v>
      </c>
      <c r="M189" s="33">
        <v>1.6870000000000001</v>
      </c>
      <c r="N189" s="33">
        <v>1.6971000000000001</v>
      </c>
      <c r="O189" s="32">
        <v>938</v>
      </c>
      <c r="P189" s="50">
        <v>9.7000000000000003E-3</v>
      </c>
      <c r="Q189" s="50">
        <v>0.1104</v>
      </c>
      <c r="R189" s="57">
        <f t="shared" si="105"/>
        <v>9.8831478498078024E-3</v>
      </c>
      <c r="S189" s="57">
        <f t="shared" si="106"/>
        <v>9.8179221706533124E-3</v>
      </c>
      <c r="T189" s="57">
        <f t="shared" si="106"/>
        <v>2.136752136752137E-3</v>
      </c>
      <c r="U189" s="57">
        <f t="shared" si="107"/>
        <v>8.3000000000000001E-3</v>
      </c>
      <c r="V189" s="58">
        <f t="shared" si="107"/>
        <v>1.0800000000000004E-2</v>
      </c>
    </row>
    <row r="190" spans="1:22">
      <c r="A190" s="142">
        <v>167</v>
      </c>
      <c r="B190" s="137" t="s">
        <v>223</v>
      </c>
      <c r="C190" s="138" t="s">
        <v>105</v>
      </c>
      <c r="D190" s="29">
        <v>10408188860.51</v>
      </c>
      <c r="E190" s="30">
        <f t="shared" si="103"/>
        <v>0.17193046222347311</v>
      </c>
      <c r="F190" s="33">
        <v>604.26</v>
      </c>
      <c r="G190" s="33">
        <v>611.36</v>
      </c>
      <c r="H190" s="32">
        <v>35</v>
      </c>
      <c r="I190" s="50">
        <v>1.43E-2</v>
      </c>
      <c r="J190" s="50">
        <v>0.1681</v>
      </c>
      <c r="K190" s="29">
        <v>10396549734.059999</v>
      </c>
      <c r="L190" s="54">
        <v>5.2058</v>
      </c>
      <c r="M190" s="33">
        <v>603.55999999999995</v>
      </c>
      <c r="N190" s="33">
        <v>610.69000000000005</v>
      </c>
      <c r="O190" s="32">
        <v>35</v>
      </c>
      <c r="P190" s="50">
        <v>-1.1183090510286098E-3</v>
      </c>
      <c r="Q190" s="50">
        <v>0.16679736069672457</v>
      </c>
      <c r="R190" s="57">
        <f t="shared" si="105"/>
        <v>-1.1182662618816515E-3</v>
      </c>
      <c r="S190" s="57">
        <f t="shared" si="106"/>
        <v>-1.0959172991362848E-3</v>
      </c>
      <c r="T190" s="57">
        <f t="shared" si="106"/>
        <v>0</v>
      </c>
      <c r="U190" s="57">
        <f t="shared" si="107"/>
        <v>-1.541830905102861E-2</v>
      </c>
      <c r="V190" s="58">
        <f t="shared" si="107"/>
        <v>-1.3026393032754269E-3</v>
      </c>
    </row>
    <row r="191" spans="1:22">
      <c r="A191" s="36"/>
      <c r="B191" s="37"/>
      <c r="C191" s="38" t="s">
        <v>53</v>
      </c>
      <c r="D191" s="75">
        <f>SUM(D162:D190)</f>
        <v>60537200481.56192</v>
      </c>
      <c r="E191" s="40">
        <f>(D191/$D$223)</f>
        <v>1.0808745340989504E-2</v>
      </c>
      <c r="F191" s="41"/>
      <c r="G191" s="76"/>
      <c r="H191" s="43">
        <f>SUM(H162:H190)</f>
        <v>70099</v>
      </c>
      <c r="I191" s="82"/>
      <c r="J191" s="82"/>
      <c r="K191" s="75">
        <f>SUM(K162:K190)</f>
        <v>60839325442.61261</v>
      </c>
      <c r="L191" s="40">
        <f>(K191/$K$223)</f>
        <v>1.0835551948298893E-2</v>
      </c>
      <c r="M191" s="41"/>
      <c r="N191" s="76"/>
      <c r="O191" s="43">
        <f>SUM(O162:O190)</f>
        <v>70137</v>
      </c>
      <c r="P191" s="82"/>
      <c r="Q191" s="82"/>
      <c r="R191" s="57">
        <f t="shared" ref="R191" si="113">((K191-D191)/D191)</f>
        <v>4.9907322877064527E-3</v>
      </c>
      <c r="S191" s="57" t="e">
        <f t="shared" ref="S191" si="114">((N191-G191)/G191)</f>
        <v>#DIV/0!</v>
      </c>
      <c r="T191" s="57">
        <f t="shared" ref="T191" si="115">((O191-H191)/H191)</f>
        <v>5.4209047204667688E-4</v>
      </c>
      <c r="U191" s="57">
        <f t="shared" ref="U191" si="116">P191-I191</f>
        <v>0</v>
      </c>
      <c r="V191" s="58">
        <f t="shared" ref="V191" si="117">Q191-J191</f>
        <v>0</v>
      </c>
    </row>
    <row r="192" spans="1:22" ht="5.25" customHeight="1">
      <c r="A192" s="36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</row>
    <row r="193" spans="1:24" ht="15" customHeight="1">
      <c r="A193" s="154" t="s">
        <v>224</v>
      </c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</row>
    <row r="194" spans="1:24">
      <c r="A194" s="136">
        <v>168</v>
      </c>
      <c r="B194" s="137" t="s">
        <v>225</v>
      </c>
      <c r="C194" s="138" t="s">
        <v>226</v>
      </c>
      <c r="D194" s="78">
        <v>1133559696.0899999</v>
      </c>
      <c r="E194" s="30">
        <f>(D194/$D$196)</f>
        <v>0.19102977426286774</v>
      </c>
      <c r="F194" s="77">
        <v>31.780799999999999</v>
      </c>
      <c r="G194" s="77">
        <v>32.091700000000003</v>
      </c>
      <c r="H194" s="32">
        <v>1491</v>
      </c>
      <c r="I194" s="50">
        <v>2.3999999999999998E-3</v>
      </c>
      <c r="J194" s="50">
        <v>0.1938</v>
      </c>
      <c r="K194" s="78">
        <v>1154089120.8699999</v>
      </c>
      <c r="L194" s="54">
        <f>(K194/$K$196)</f>
        <v>0.19254949820290013</v>
      </c>
      <c r="M194" s="77">
        <v>32.04</v>
      </c>
      <c r="N194" s="77">
        <v>32.356200000000001</v>
      </c>
      <c r="O194" s="32">
        <v>1491</v>
      </c>
      <c r="P194" s="50">
        <v>2.3099999999999999E-2</v>
      </c>
      <c r="Q194" s="50">
        <v>0.2036</v>
      </c>
      <c r="R194" s="57">
        <f>((K194-D194)/D194)</f>
        <v>1.8110581075537834E-2</v>
      </c>
      <c r="S194" s="57">
        <f t="shared" ref="S194:T196" si="118">((N194-G194)/G194)</f>
        <v>8.2420065001230277E-3</v>
      </c>
      <c r="T194" s="57">
        <f t="shared" si="118"/>
        <v>0</v>
      </c>
      <c r="U194" s="57">
        <f t="shared" ref="U194:V196" si="119">P194-I194</f>
        <v>2.07E-2</v>
      </c>
      <c r="V194" s="58">
        <f t="shared" si="119"/>
        <v>9.8000000000000032E-3</v>
      </c>
    </row>
    <row r="195" spans="1:24">
      <c r="A195" s="136">
        <v>169</v>
      </c>
      <c r="B195" s="137" t="s">
        <v>227</v>
      </c>
      <c r="C195" s="138" t="s">
        <v>49</v>
      </c>
      <c r="D195" s="44">
        <v>4800382803</v>
      </c>
      <c r="E195" s="30">
        <f>(D195/$D$196)</f>
        <v>0.80897022573713229</v>
      </c>
      <c r="F195" s="77">
        <v>3.35</v>
      </c>
      <c r="G195" s="77">
        <v>3.4</v>
      </c>
      <c r="H195" s="32">
        <v>10402</v>
      </c>
      <c r="I195" s="50">
        <v>2.8999999999999998E-3</v>
      </c>
      <c r="J195" s="50">
        <v>0.1724</v>
      </c>
      <c r="K195" s="44">
        <v>4839637851.3699999</v>
      </c>
      <c r="L195" s="54">
        <f>(K195/$K$196)</f>
        <v>0.80745050179709987</v>
      </c>
      <c r="M195" s="77">
        <v>3.38</v>
      </c>
      <c r="N195" s="77">
        <v>3.42</v>
      </c>
      <c r="O195" s="32">
        <v>10425</v>
      </c>
      <c r="P195" s="50">
        <v>5.8999999999999999E-3</v>
      </c>
      <c r="Q195" s="50">
        <v>0.17929999999999999</v>
      </c>
      <c r="R195" s="57">
        <f>((K195-D195)/D195)</f>
        <v>8.1774829177096945E-3</v>
      </c>
      <c r="S195" s="57">
        <f t="shared" si="118"/>
        <v>5.8823529411764757E-3</v>
      </c>
      <c r="T195" s="57">
        <f t="shared" si="118"/>
        <v>2.211113247452413E-3</v>
      </c>
      <c r="U195" s="57">
        <f t="shared" si="119"/>
        <v>3.0000000000000001E-3</v>
      </c>
      <c r="V195" s="58">
        <f t="shared" si="119"/>
        <v>6.8999999999999895E-3</v>
      </c>
    </row>
    <row r="196" spans="1:24">
      <c r="A196" s="36"/>
      <c r="B196" s="37"/>
      <c r="C196" s="71" t="s">
        <v>53</v>
      </c>
      <c r="D196" s="75">
        <f>SUM(D194:D195)</f>
        <v>5933942499.0900002</v>
      </c>
      <c r="E196" s="40">
        <f>(D196/$D$223)</f>
        <v>1.059488592642694E-3</v>
      </c>
      <c r="F196" s="41"/>
      <c r="G196" s="76"/>
      <c r="H196" s="43">
        <f>SUM(H194:H195)</f>
        <v>11893</v>
      </c>
      <c r="I196" s="82"/>
      <c r="J196" s="82"/>
      <c r="K196" s="75">
        <f>SUM(K194:K195)</f>
        <v>5993726972.2399998</v>
      </c>
      <c r="L196" s="40">
        <f>(K196/$K$223)</f>
        <v>1.0674894815013553E-3</v>
      </c>
      <c r="M196" s="41"/>
      <c r="N196" s="76"/>
      <c r="O196" s="43">
        <f>SUM(O194:O195)</f>
        <v>11916</v>
      </c>
      <c r="P196" s="82"/>
      <c r="Q196" s="82"/>
      <c r="R196" s="57">
        <f>((K196-D196)/D196)</f>
        <v>1.0075000416530472E-2</v>
      </c>
      <c r="S196" s="57" t="e">
        <f t="shared" si="118"/>
        <v>#DIV/0!</v>
      </c>
      <c r="T196" s="57">
        <f t="shared" si="118"/>
        <v>1.93391070377533E-3</v>
      </c>
      <c r="U196" s="57">
        <f t="shared" si="119"/>
        <v>0</v>
      </c>
      <c r="V196" s="58">
        <f t="shared" si="119"/>
        <v>0</v>
      </c>
    </row>
    <row r="197" spans="1:24" ht="6" customHeight="1">
      <c r="A197" s="36"/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</row>
    <row r="198" spans="1:24" ht="15" customHeight="1">
      <c r="A198" s="155" t="s">
        <v>228</v>
      </c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</row>
    <row r="199" spans="1:24">
      <c r="A199" s="156" t="s">
        <v>229</v>
      </c>
      <c r="B199" s="156"/>
      <c r="C199" s="156"/>
      <c r="D199" s="156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</row>
    <row r="200" spans="1:24">
      <c r="A200" s="136">
        <v>170</v>
      </c>
      <c r="B200" s="137" t="s">
        <v>230</v>
      </c>
      <c r="C200" s="138" t="s">
        <v>231</v>
      </c>
      <c r="D200" s="47">
        <v>5642462033.1700001</v>
      </c>
      <c r="E200" s="30">
        <f>(D200/$D$222)</f>
        <v>9.6035113842669981E-2</v>
      </c>
      <c r="F200" s="79">
        <v>2.4300000000000002</v>
      </c>
      <c r="G200" s="79">
        <v>2.4700000000000002</v>
      </c>
      <c r="H200" s="46">
        <v>14979</v>
      </c>
      <c r="I200" s="53">
        <v>2.5999999999999999E-3</v>
      </c>
      <c r="J200" s="53">
        <v>0.18279999999999999</v>
      </c>
      <c r="K200" s="47">
        <v>5624264190.5299997</v>
      </c>
      <c r="L200" s="30">
        <f>(K200/$K$222)</f>
        <v>9.6809335563022916E-2</v>
      </c>
      <c r="M200" s="79">
        <v>2.42</v>
      </c>
      <c r="N200" s="79">
        <v>2.46</v>
      </c>
      <c r="O200" s="46">
        <v>15031</v>
      </c>
      <c r="P200" s="53">
        <v>-3.8E-3</v>
      </c>
      <c r="Q200" s="53">
        <v>6.4100000000000004E-2</v>
      </c>
      <c r="R200" s="57">
        <f>((K200-D200)/D200)</f>
        <v>-3.225159962623016E-3</v>
      </c>
      <c r="S200" s="57">
        <f>((N200-G200)/G200)</f>
        <v>-4.0485829959515099E-3</v>
      </c>
      <c r="T200" s="57">
        <f>((O200-H200)/H200)</f>
        <v>3.4715268041925363E-3</v>
      </c>
      <c r="U200" s="57">
        <f>P200-I200</f>
        <v>-6.3999999999999994E-3</v>
      </c>
      <c r="V200" s="58">
        <f>Q200-J200</f>
        <v>-0.11869999999999999</v>
      </c>
    </row>
    <row r="201" spans="1:24">
      <c r="A201" s="136">
        <v>171</v>
      </c>
      <c r="B201" s="137" t="s">
        <v>232</v>
      </c>
      <c r="C201" s="138" t="s">
        <v>49</v>
      </c>
      <c r="D201" s="47">
        <v>1051901238.95</v>
      </c>
      <c r="E201" s="30">
        <f>(D201/$D$222)</f>
        <v>1.7903435528666724E-2</v>
      </c>
      <c r="F201" s="79">
        <v>600.11</v>
      </c>
      <c r="G201" s="79">
        <v>607.61</v>
      </c>
      <c r="H201" s="46">
        <v>985</v>
      </c>
      <c r="I201" s="53">
        <v>-1.6E-2</v>
      </c>
      <c r="J201" s="53">
        <v>0.2039</v>
      </c>
      <c r="K201" s="47">
        <v>1057800477.95</v>
      </c>
      <c r="L201" s="30">
        <f>(K201/$K$222)</f>
        <v>1.8207708236930721E-2</v>
      </c>
      <c r="M201" s="79">
        <v>603.77</v>
      </c>
      <c r="N201" s="79">
        <v>611.34</v>
      </c>
      <c r="O201" s="46">
        <v>992</v>
      </c>
      <c r="P201" s="53">
        <v>6.1000000000000004E-3</v>
      </c>
      <c r="Q201" s="53">
        <v>0.21129999999999999</v>
      </c>
      <c r="R201" s="57">
        <f>((K201-D201)/D201)</f>
        <v>5.6081681260196784E-3</v>
      </c>
      <c r="S201" s="57">
        <f>((N201-G201)/G201)</f>
        <v>6.1388061420977573E-3</v>
      </c>
      <c r="T201" s="57">
        <f>((O201-H201)/H201)</f>
        <v>7.1065989847715737E-3</v>
      </c>
      <c r="U201" s="57">
        <f>P201-I201</f>
        <v>2.2100000000000002E-2</v>
      </c>
      <c r="V201" s="58">
        <f>Q201-J201</f>
        <v>7.3999999999999899E-3</v>
      </c>
    </row>
    <row r="202" spans="1:24" ht="6" customHeight="1">
      <c r="A202" s="36"/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</row>
    <row r="203" spans="1:24" ht="15" customHeight="1">
      <c r="A203" s="156" t="s">
        <v>173</v>
      </c>
      <c r="B203" s="156"/>
      <c r="C203" s="156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</row>
    <row r="204" spans="1:24">
      <c r="A204" s="136">
        <v>172</v>
      </c>
      <c r="B204" s="137" t="s">
        <v>292</v>
      </c>
      <c r="C204" s="138" t="s">
        <v>23</v>
      </c>
      <c r="D204" s="29">
        <v>1292318735.9400001</v>
      </c>
      <c r="E204" s="30">
        <f>(D204/$D$222)</f>
        <v>2.1995358798593097E-2</v>
      </c>
      <c r="F204" s="77">
        <v>1.0716000000000001</v>
      </c>
      <c r="G204" s="77">
        <v>1.0716000000000001</v>
      </c>
      <c r="H204" s="32">
        <v>599</v>
      </c>
      <c r="I204" s="50">
        <v>0.1268</v>
      </c>
      <c r="J204" s="50">
        <v>0.155</v>
      </c>
      <c r="K204" s="29">
        <v>1300917152.23</v>
      </c>
      <c r="L204" s="30">
        <f t="shared" ref="L204:L216" si="120">(K204/$K$222)</f>
        <v>2.2392426967065757E-2</v>
      </c>
      <c r="M204" s="77">
        <v>1.073</v>
      </c>
      <c r="N204" s="77">
        <v>1.073</v>
      </c>
      <c r="O204" s="32">
        <v>608</v>
      </c>
      <c r="P204" s="50">
        <v>6.8099999999999994E-2</v>
      </c>
      <c r="Q204" s="50">
        <v>0.15090000000000001</v>
      </c>
      <c r="R204" s="57">
        <f>((K204-D204)/D204)</f>
        <v>6.653479556454539E-3</v>
      </c>
      <c r="S204" s="57">
        <f>((N204-G204)/G204)</f>
        <v>1.3064576334451713E-3</v>
      </c>
      <c r="T204" s="57">
        <f>((O204-H204)/H204)</f>
        <v>1.5025041736227046E-2</v>
      </c>
      <c r="U204" s="57">
        <f>P204-I204</f>
        <v>-5.8700000000000002E-2</v>
      </c>
      <c r="V204" s="58">
        <f>Q204-J204</f>
        <v>-4.0999999999999925E-3</v>
      </c>
      <c r="X204" s="83"/>
    </row>
    <row r="205" spans="1:24">
      <c r="A205" s="136">
        <v>173</v>
      </c>
      <c r="B205" s="137" t="s">
        <v>233</v>
      </c>
      <c r="C205" s="138" t="s">
        <v>234</v>
      </c>
      <c r="D205" s="29">
        <v>348816445.68000001</v>
      </c>
      <c r="E205" s="30">
        <f>(D205/$D$222)</f>
        <v>5.9368812539894742E-3</v>
      </c>
      <c r="F205" s="77">
        <v>1066.01</v>
      </c>
      <c r="G205" s="77">
        <v>1066.01</v>
      </c>
      <c r="H205" s="32">
        <v>18</v>
      </c>
      <c r="I205" s="50">
        <v>1.4E-3</v>
      </c>
      <c r="J205" s="50">
        <v>3.5400000000000001E-2</v>
      </c>
      <c r="K205" s="29">
        <v>348976957.85000002</v>
      </c>
      <c r="L205" s="30">
        <f t="shared" si="120"/>
        <v>6.0068706361889298E-3</v>
      </c>
      <c r="M205" s="77">
        <v>1066.5</v>
      </c>
      <c r="N205" s="77">
        <v>1066.5</v>
      </c>
      <c r="O205" s="32">
        <v>18</v>
      </c>
      <c r="P205" s="50">
        <v>1.4E-3</v>
      </c>
      <c r="Q205" s="50">
        <v>3.6700000000000003E-2</v>
      </c>
      <c r="R205" s="57">
        <f>((K205-D205)/D205)</f>
        <v>4.6016227728915227E-4</v>
      </c>
      <c r="S205" s="57">
        <f>((N205-G205)/G205)</f>
        <v>4.5965797694206347E-4</v>
      </c>
      <c r="T205" s="57">
        <f>((O205-H205)/H205)</f>
        <v>0</v>
      </c>
      <c r="U205" s="57">
        <f>P205-I205</f>
        <v>0</v>
      </c>
      <c r="V205" s="58">
        <f>Q205-J205</f>
        <v>1.3000000000000025E-3</v>
      </c>
      <c r="X205" s="83"/>
    </row>
    <row r="206" spans="1:24">
      <c r="A206" s="136">
        <v>174</v>
      </c>
      <c r="B206" s="137" t="s">
        <v>235</v>
      </c>
      <c r="C206" s="138" t="s">
        <v>67</v>
      </c>
      <c r="D206" s="29">
        <v>212091216.97999999</v>
      </c>
      <c r="E206" s="30">
        <f>(D206/$D$222)</f>
        <v>3.6098079256833967E-3</v>
      </c>
      <c r="F206" s="77">
        <v>116.82</v>
      </c>
      <c r="G206" s="77">
        <v>116.82</v>
      </c>
      <c r="H206" s="32">
        <v>75</v>
      </c>
      <c r="I206" s="50">
        <v>2.3E-3</v>
      </c>
      <c r="J206" s="50">
        <v>0.11360000000000001</v>
      </c>
      <c r="K206" s="29">
        <v>212567670.24000001</v>
      </c>
      <c r="L206" s="30">
        <f t="shared" si="120"/>
        <v>3.6588848284836617E-3</v>
      </c>
      <c r="M206" s="77">
        <v>117.04</v>
      </c>
      <c r="N206" s="77">
        <v>117.04</v>
      </c>
      <c r="O206" s="32">
        <v>75</v>
      </c>
      <c r="P206" s="50">
        <v>1.9E-3</v>
      </c>
      <c r="Q206" s="50">
        <v>0.11360000000000001</v>
      </c>
      <c r="R206" s="57">
        <f t="shared" ref="R206:R223" si="121">((K206-D206)/D206)</f>
        <v>2.2464544585311581E-3</v>
      </c>
      <c r="S206" s="57">
        <f t="shared" ref="S206:S222" si="122">((N206-G206)/G206)</f>
        <v>1.8832391713748766E-3</v>
      </c>
      <c r="T206" s="57">
        <f t="shared" ref="T206:T222" si="123">((O206-H206)/H206)</f>
        <v>0</v>
      </c>
      <c r="U206" s="57">
        <f t="shared" ref="U206:U222" si="124">P206-I206</f>
        <v>-3.9999999999999996E-4</v>
      </c>
      <c r="V206" s="58">
        <f t="shared" ref="V206:V222" si="125">Q206-J206</f>
        <v>0</v>
      </c>
    </row>
    <row r="207" spans="1:24">
      <c r="A207" s="136">
        <v>175</v>
      </c>
      <c r="B207" s="145" t="s">
        <v>236</v>
      </c>
      <c r="C207" s="138" t="s">
        <v>72</v>
      </c>
      <c r="D207" s="44">
        <v>61726037.060000002</v>
      </c>
      <c r="E207" s="30">
        <f>(D207/$D$222)</f>
        <v>1.0505816363966958E-3</v>
      </c>
      <c r="F207" s="77">
        <v>101.24</v>
      </c>
      <c r="G207" s="77">
        <v>101.24</v>
      </c>
      <c r="H207" s="32">
        <v>15</v>
      </c>
      <c r="I207" s="50">
        <v>-8.8999999999999999E-3</v>
      </c>
      <c r="J207" s="50">
        <v>4.2900000000000001E-2</v>
      </c>
      <c r="K207" s="44">
        <v>61851028.310000002</v>
      </c>
      <c r="L207" s="30">
        <f t="shared" si="120"/>
        <v>1.0646293900387646E-3</v>
      </c>
      <c r="M207" s="77">
        <v>101.44</v>
      </c>
      <c r="N207" s="77">
        <v>101.44</v>
      </c>
      <c r="O207" s="32">
        <v>15</v>
      </c>
      <c r="P207" s="50">
        <v>2.0999999999999999E-3</v>
      </c>
      <c r="Q207" s="50">
        <v>4.4999999999999998E-2</v>
      </c>
      <c r="R207" s="57">
        <f t="shared" si="121"/>
        <v>2.0249356017867123E-3</v>
      </c>
      <c r="S207" s="57">
        <f t="shared" si="122"/>
        <v>1.9755037534571599E-3</v>
      </c>
      <c r="T207" s="57">
        <f t="shared" si="123"/>
        <v>0</v>
      </c>
      <c r="U207" s="57">
        <f t="shared" si="124"/>
        <v>1.0999999999999999E-2</v>
      </c>
      <c r="V207" s="58">
        <f t="shared" si="125"/>
        <v>2.0999999999999977E-3</v>
      </c>
    </row>
    <row r="208" spans="1:24">
      <c r="A208" s="136">
        <v>176</v>
      </c>
      <c r="B208" s="137" t="s">
        <v>237</v>
      </c>
      <c r="C208" s="138" t="s">
        <v>75</v>
      </c>
      <c r="D208" s="44">
        <v>111226028.76000001</v>
      </c>
      <c r="E208" s="30">
        <v>0</v>
      </c>
      <c r="F208" s="77">
        <v>1.0864</v>
      </c>
      <c r="G208" s="77">
        <v>1.0864</v>
      </c>
      <c r="H208" s="32">
        <v>44</v>
      </c>
      <c r="I208" s="50">
        <v>1.8E-3</v>
      </c>
      <c r="J208" s="50">
        <v>0.1173</v>
      </c>
      <c r="K208" s="44">
        <v>110561669.27</v>
      </c>
      <c r="L208" s="30">
        <f t="shared" si="120"/>
        <v>1.9030759185867403E-3</v>
      </c>
      <c r="M208" s="77">
        <v>1.0886</v>
      </c>
      <c r="N208" s="77">
        <v>1.0886</v>
      </c>
      <c r="O208" s="32">
        <v>41</v>
      </c>
      <c r="P208" s="50">
        <v>1.8E-3</v>
      </c>
      <c r="Q208" s="50">
        <v>0.1171</v>
      </c>
      <c r="R208" s="57">
        <f t="shared" ref="R208:R209" si="126">((K208-D208)/D208)</f>
        <v>-5.9730577222490196E-3</v>
      </c>
      <c r="S208" s="57">
        <f t="shared" ref="S208:S209" si="127">((N208-G208)/G208)</f>
        <v>2.0250368188512329E-3</v>
      </c>
      <c r="T208" s="57">
        <f t="shared" ref="T208" si="128">((O208-H208)/H208)</f>
        <v>-6.8181818181818177E-2</v>
      </c>
      <c r="U208" s="57">
        <f t="shared" ref="U208" si="129">P208-I208</f>
        <v>0</v>
      </c>
      <c r="V208" s="58">
        <f t="shared" ref="V208" si="130">Q208-J208</f>
        <v>-2.0000000000000573E-4</v>
      </c>
    </row>
    <row r="209" spans="1:22">
      <c r="A209" s="136">
        <v>177</v>
      </c>
      <c r="B209" s="137" t="s">
        <v>238</v>
      </c>
      <c r="C209" s="138" t="s">
        <v>31</v>
      </c>
      <c r="D209" s="29">
        <v>5310085865.3100004</v>
      </c>
      <c r="E209" s="30">
        <f t="shared" ref="E209:E216" si="131">(D209/$D$222)</f>
        <v>9.037804731189307E-2</v>
      </c>
      <c r="F209" s="77">
        <v>152.07</v>
      </c>
      <c r="G209" s="77">
        <v>152.07</v>
      </c>
      <c r="H209" s="32">
        <v>704</v>
      </c>
      <c r="I209" s="50">
        <v>2.3999999999999998E-3</v>
      </c>
      <c r="J209" s="50">
        <v>5.9900000000000002E-2</v>
      </c>
      <c r="K209" s="29">
        <v>5415583099.5699997</v>
      </c>
      <c r="L209" s="30">
        <f t="shared" si="120"/>
        <v>9.3217349646994921E-2</v>
      </c>
      <c r="M209" s="77">
        <v>152.44</v>
      </c>
      <c r="N209" s="77">
        <v>152.44</v>
      </c>
      <c r="O209" s="32">
        <v>703</v>
      </c>
      <c r="P209" s="50">
        <v>2.3999999999999998E-3</v>
      </c>
      <c r="Q209" s="50">
        <v>6.25E-2</v>
      </c>
      <c r="R209" s="57">
        <f t="shared" si="126"/>
        <v>1.9867331138503235E-2</v>
      </c>
      <c r="S209" s="57">
        <f t="shared" si="127"/>
        <v>2.4330900243309302E-3</v>
      </c>
      <c r="T209" s="57">
        <f t="shared" si="123"/>
        <v>-1.4204545454545455E-3</v>
      </c>
      <c r="U209" s="57">
        <f t="shared" si="124"/>
        <v>0</v>
      </c>
      <c r="V209" s="58">
        <f t="shared" si="125"/>
        <v>2.5999999999999981E-3</v>
      </c>
    </row>
    <row r="210" spans="1:22">
      <c r="A210" s="136">
        <v>178</v>
      </c>
      <c r="B210" s="137" t="s">
        <v>239</v>
      </c>
      <c r="C210" s="138" t="s">
        <v>65</v>
      </c>
      <c r="D210" s="29">
        <v>781130248.64408898</v>
      </c>
      <c r="E210" s="30">
        <f t="shared" si="131"/>
        <v>1.3294893596713025E-2</v>
      </c>
      <c r="F210" s="35">
        <v>1247.86188343513</v>
      </c>
      <c r="G210" s="35">
        <v>1247.86188343513</v>
      </c>
      <c r="H210" s="32">
        <v>190</v>
      </c>
      <c r="I210" s="50">
        <v>0.1190827488402923</v>
      </c>
      <c r="J210" s="50">
        <v>0.1376185658488753</v>
      </c>
      <c r="K210" s="29">
        <v>795028606.44831395</v>
      </c>
      <c r="L210" s="30">
        <f t="shared" si="120"/>
        <v>1.3684668524898087E-2</v>
      </c>
      <c r="M210" s="35">
        <v>1250.37092817758</v>
      </c>
      <c r="N210" s="35">
        <v>1250.37092817758</v>
      </c>
      <c r="O210" s="32">
        <v>191</v>
      </c>
      <c r="P210" s="50">
        <v>0.10484234137391825</v>
      </c>
      <c r="Q210" s="50">
        <v>0.13627729643607553</v>
      </c>
      <c r="R210" s="57">
        <f t="shared" si="121"/>
        <v>1.7792625273890219E-2</v>
      </c>
      <c r="S210" s="57">
        <f t="shared" si="122"/>
        <v>2.0106750400477472E-3</v>
      </c>
      <c r="T210" s="57">
        <f t="shared" si="123"/>
        <v>5.263157894736842E-3</v>
      </c>
      <c r="U210" s="57">
        <f t="shared" si="124"/>
        <v>-1.4240407466374047E-2</v>
      </c>
      <c r="V210" s="58">
        <f t="shared" si="125"/>
        <v>-1.3412694127997726E-3</v>
      </c>
    </row>
    <row r="211" spans="1:22">
      <c r="A211" s="136">
        <v>179</v>
      </c>
      <c r="B211" s="137" t="s">
        <v>240</v>
      </c>
      <c r="C211" s="138" t="s">
        <v>231</v>
      </c>
      <c r="D211" s="29">
        <v>30221579790.970001</v>
      </c>
      <c r="E211" s="30">
        <f t="shared" si="131"/>
        <v>0.51437348424665863</v>
      </c>
      <c r="F211" s="35">
        <v>1252.44</v>
      </c>
      <c r="G211" s="35">
        <v>1252.44</v>
      </c>
      <c r="H211" s="32">
        <v>10234</v>
      </c>
      <c r="I211" s="50">
        <v>4.7000000000000002E-3</v>
      </c>
      <c r="J211" s="50">
        <v>0.13619999999999999</v>
      </c>
      <c r="K211" s="29">
        <v>29378421348.549999</v>
      </c>
      <c r="L211" s="30">
        <f t="shared" si="120"/>
        <v>0.50568489571177844</v>
      </c>
      <c r="M211" s="35">
        <v>1257.49</v>
      </c>
      <c r="N211" s="35">
        <v>1257.49</v>
      </c>
      <c r="O211" s="32">
        <v>10414</v>
      </c>
      <c r="P211" s="50">
        <v>4.0000000000000001E-3</v>
      </c>
      <c r="Q211" s="50">
        <v>5.4699999999999999E-2</v>
      </c>
      <c r="R211" s="57">
        <f t="shared" si="121"/>
        <v>-2.7899217984360031E-2</v>
      </c>
      <c r="S211" s="57">
        <f t="shared" si="122"/>
        <v>4.0321292836383018E-3</v>
      </c>
      <c r="T211" s="57">
        <f t="shared" si="123"/>
        <v>1.7588430721125658E-2</v>
      </c>
      <c r="U211" s="57">
        <f t="shared" si="124"/>
        <v>-7.000000000000001E-4</v>
      </c>
      <c r="V211" s="58">
        <f t="shared" si="125"/>
        <v>-8.1499999999999989E-2</v>
      </c>
    </row>
    <row r="212" spans="1:22">
      <c r="A212" s="136">
        <v>180</v>
      </c>
      <c r="B212" s="137" t="s">
        <v>241</v>
      </c>
      <c r="C212" s="138" t="s">
        <v>242</v>
      </c>
      <c r="D212" s="29">
        <v>509885335.66000003</v>
      </c>
      <c r="E212" s="30">
        <f t="shared" si="131"/>
        <v>8.6782854663367461E-3</v>
      </c>
      <c r="F212" s="79">
        <v>126.7056</v>
      </c>
      <c r="G212" s="79">
        <v>127.75539999999999</v>
      </c>
      <c r="H212" s="46">
        <v>149</v>
      </c>
      <c r="I212" s="50">
        <v>1.8E-3</v>
      </c>
      <c r="J212" s="50">
        <v>2.18E-2</v>
      </c>
      <c r="K212" s="29">
        <v>510012217.44</v>
      </c>
      <c r="L212" s="30">
        <f t="shared" si="120"/>
        <v>8.7787383783509004E-3</v>
      </c>
      <c r="M212" s="79">
        <v>128.21</v>
      </c>
      <c r="N212" s="79">
        <v>129.28</v>
      </c>
      <c r="O212" s="46">
        <v>149</v>
      </c>
      <c r="P212" s="50">
        <v>3.5000000000000001E-3</v>
      </c>
      <c r="Q212" s="50">
        <v>3.1800000000000002E-2</v>
      </c>
      <c r="R212" s="57">
        <f t="shared" si="121"/>
        <v>2.4884375196971393E-4</v>
      </c>
      <c r="S212" s="57">
        <f t="shared" si="122"/>
        <v>1.1933742135361846E-2</v>
      </c>
      <c r="T212" s="57">
        <f t="shared" si="123"/>
        <v>0</v>
      </c>
      <c r="U212" s="57">
        <f t="shared" si="124"/>
        <v>1.7000000000000001E-3</v>
      </c>
      <c r="V212" s="58">
        <f t="shared" si="125"/>
        <v>1.0000000000000002E-2</v>
      </c>
    </row>
    <row r="213" spans="1:22">
      <c r="A213" s="136">
        <v>181</v>
      </c>
      <c r="B213" s="137" t="s">
        <v>243</v>
      </c>
      <c r="C213" s="138" t="s">
        <v>242</v>
      </c>
      <c r="D213" s="29">
        <v>225035546.25999999</v>
      </c>
      <c r="E213" s="30">
        <f t="shared" si="131"/>
        <v>3.8301213506943244E-3</v>
      </c>
      <c r="F213" s="79">
        <v>121.26819999999999</v>
      </c>
      <c r="G213" s="79">
        <v>121.26819999999999</v>
      </c>
      <c r="H213" s="46">
        <v>75</v>
      </c>
      <c r="I213" s="50">
        <v>3.8999999999999998E-3</v>
      </c>
      <c r="J213" s="50">
        <v>8.5800000000000001E-2</v>
      </c>
      <c r="K213" s="29">
        <v>225035546.25999999</v>
      </c>
      <c r="L213" s="30">
        <f t="shared" si="120"/>
        <v>3.8734918868453005E-3</v>
      </c>
      <c r="M213" s="79">
        <v>121.27</v>
      </c>
      <c r="N213" s="79">
        <v>121.27</v>
      </c>
      <c r="O213" s="46">
        <v>75</v>
      </c>
      <c r="P213" s="50">
        <v>3.5000000000000001E-3</v>
      </c>
      <c r="Q213" s="50">
        <v>0.10009999999999999</v>
      </c>
      <c r="R213" s="57">
        <f t="shared" si="121"/>
        <v>0</v>
      </c>
      <c r="S213" s="57">
        <f t="shared" si="122"/>
        <v>1.48431328246227E-5</v>
      </c>
      <c r="T213" s="57">
        <f t="shared" si="123"/>
        <v>0</v>
      </c>
      <c r="U213" s="57">
        <f t="shared" si="124"/>
        <v>-3.9999999999999975E-4</v>
      </c>
      <c r="V213" s="58">
        <f t="shared" si="125"/>
        <v>1.4299999999999993E-2</v>
      </c>
    </row>
    <row r="214" spans="1:22" ht="13.5" customHeight="1">
      <c r="A214" s="136">
        <v>182</v>
      </c>
      <c r="B214" s="137" t="s">
        <v>244</v>
      </c>
      <c r="C214" s="138" t="s">
        <v>89</v>
      </c>
      <c r="D214" s="29">
        <v>1444397241</v>
      </c>
      <c r="E214" s="30">
        <f t="shared" si="131"/>
        <v>2.4583746006270057E-2</v>
      </c>
      <c r="F214" s="60">
        <v>104.98</v>
      </c>
      <c r="G214" s="60">
        <v>104.98</v>
      </c>
      <c r="H214" s="32">
        <v>630</v>
      </c>
      <c r="I214" s="50">
        <v>2.5999999999999999E-3</v>
      </c>
      <c r="J214" s="50">
        <v>0.1404</v>
      </c>
      <c r="K214" s="29">
        <v>1512522412</v>
      </c>
      <c r="L214" s="30">
        <f t="shared" si="120"/>
        <v>2.6034746016456667E-2</v>
      </c>
      <c r="M214" s="60">
        <v>105.28</v>
      </c>
      <c r="N214" s="60">
        <v>105.28</v>
      </c>
      <c r="O214" s="32">
        <v>630</v>
      </c>
      <c r="P214" s="50">
        <v>2.8E-3</v>
      </c>
      <c r="Q214" s="50">
        <v>0.1409</v>
      </c>
      <c r="R214" s="57">
        <f t="shared" si="121"/>
        <v>4.7165121246586485E-2</v>
      </c>
      <c r="S214" s="57">
        <f t="shared" si="122"/>
        <v>2.8576871785101652E-3</v>
      </c>
      <c r="T214" s="57">
        <f t="shared" si="123"/>
        <v>0</v>
      </c>
      <c r="U214" s="57">
        <f t="shared" si="124"/>
        <v>2.0000000000000009E-4</v>
      </c>
      <c r="V214" s="58">
        <f t="shared" si="125"/>
        <v>5.0000000000000044E-4</v>
      </c>
    </row>
    <row r="215" spans="1:22" ht="15.75" customHeight="1">
      <c r="A215" s="136">
        <v>183</v>
      </c>
      <c r="B215" s="137" t="s">
        <v>245</v>
      </c>
      <c r="C215" s="138" t="s">
        <v>49</v>
      </c>
      <c r="D215" s="29">
        <v>5955371796.9499998</v>
      </c>
      <c r="E215" s="30">
        <f t="shared" si="131"/>
        <v>0.10136086076138033</v>
      </c>
      <c r="F215" s="60">
        <v>136.07</v>
      </c>
      <c r="G215" s="60">
        <v>136.07</v>
      </c>
      <c r="H215" s="32">
        <v>1328</v>
      </c>
      <c r="I215" s="50">
        <v>1E-4</v>
      </c>
      <c r="J215" s="50">
        <v>1.32E-2</v>
      </c>
      <c r="K215" s="29">
        <v>5951202645.5699997</v>
      </c>
      <c r="L215" s="30">
        <f t="shared" si="120"/>
        <v>0.10243686185450053</v>
      </c>
      <c r="M215" s="60">
        <v>136.09</v>
      </c>
      <c r="N215" s="60">
        <v>136.09</v>
      </c>
      <c r="O215" s="32">
        <v>1338</v>
      </c>
      <c r="P215" s="50">
        <v>1E-4</v>
      </c>
      <c r="Q215" s="50">
        <v>1.3299999999999999E-2</v>
      </c>
      <c r="R215" s="57">
        <f t="shared" si="121"/>
        <v>-7.0006567551925386E-4</v>
      </c>
      <c r="S215" s="57">
        <f t="shared" si="122"/>
        <v>1.4698317042706132E-4</v>
      </c>
      <c r="T215" s="57">
        <f t="shared" si="123"/>
        <v>7.5301204819277108E-3</v>
      </c>
      <c r="U215" s="57">
        <f t="shared" si="124"/>
        <v>0</v>
      </c>
      <c r="V215" s="58">
        <f t="shared" si="125"/>
        <v>9.9999999999999395E-5</v>
      </c>
    </row>
    <row r="216" spans="1:22">
      <c r="A216" s="136">
        <v>184</v>
      </c>
      <c r="B216" s="137" t="s">
        <v>246</v>
      </c>
      <c r="C216" s="138" t="s">
        <v>52</v>
      </c>
      <c r="D216" s="29">
        <v>4139664135.9099998</v>
      </c>
      <c r="E216" s="30">
        <f t="shared" si="131"/>
        <v>7.0457384422874872E-2</v>
      </c>
      <c r="F216" s="60">
        <v>1.2637</v>
      </c>
      <c r="G216" s="60">
        <v>1.2637</v>
      </c>
      <c r="H216" s="32">
        <v>1622</v>
      </c>
      <c r="I216" s="50">
        <v>0.10879999999999999</v>
      </c>
      <c r="J216" s="50">
        <v>0.10290000000000001</v>
      </c>
      <c r="K216" s="29">
        <v>4140031897.71</v>
      </c>
      <c r="L216" s="30">
        <f t="shared" si="120"/>
        <v>7.1261541714536233E-2</v>
      </c>
      <c r="M216" s="60">
        <v>1.2665999999999999</v>
      </c>
      <c r="N216" s="60">
        <v>1.2665999999999999</v>
      </c>
      <c r="O216" s="32">
        <v>1639</v>
      </c>
      <c r="P216" s="50">
        <v>0.12690000000000001</v>
      </c>
      <c r="Q216" s="50">
        <v>0.1041</v>
      </c>
      <c r="R216" s="57">
        <f t="shared" si="121"/>
        <v>8.8838559826628948E-5</v>
      </c>
      <c r="S216" s="57">
        <f t="shared" si="122"/>
        <v>2.2948484608688001E-3</v>
      </c>
      <c r="T216" s="57">
        <f t="shared" si="123"/>
        <v>1.0480887792848335E-2</v>
      </c>
      <c r="U216" s="57">
        <f t="shared" si="124"/>
        <v>1.8100000000000019E-2</v>
      </c>
      <c r="V216" s="58">
        <f t="shared" si="125"/>
        <v>1.1999999999999927E-3</v>
      </c>
    </row>
    <row r="217" spans="1:22" ht="6" customHeight="1">
      <c r="A217" s="36"/>
      <c r="B217" s="152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</row>
    <row r="218" spans="1:22">
      <c r="A218" s="156" t="s">
        <v>247</v>
      </c>
      <c r="B218" s="156"/>
      <c r="C218" s="156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</row>
    <row r="219" spans="1:22">
      <c r="A219" s="136">
        <v>185</v>
      </c>
      <c r="B219" s="137" t="s">
        <v>318</v>
      </c>
      <c r="C219" s="138" t="s">
        <v>23</v>
      </c>
      <c r="D219" s="78">
        <v>1151966745.8399999</v>
      </c>
      <c r="E219" s="30">
        <f>(D219/$D$196)</f>
        <v>0.1941317675418425</v>
      </c>
      <c r="F219" s="77">
        <v>74.758300000000006</v>
      </c>
      <c r="G219" s="77">
        <v>77.0124</v>
      </c>
      <c r="H219" s="34">
        <v>1780</v>
      </c>
      <c r="I219" s="51">
        <v>-4.4000000000000003E-3</v>
      </c>
      <c r="J219" s="51">
        <v>0.24229999999999999</v>
      </c>
      <c r="K219" s="78">
        <v>1163063941.6600001</v>
      </c>
      <c r="L219" s="54">
        <f>(K219/$K$196)</f>
        <v>0.19404686717408737</v>
      </c>
      <c r="M219" s="77">
        <v>74.6584</v>
      </c>
      <c r="N219" s="77">
        <v>76.909400000000005</v>
      </c>
      <c r="O219" s="34">
        <v>1787</v>
      </c>
      <c r="P219" s="51">
        <v>-6.9699999999999998E-2</v>
      </c>
      <c r="Q219" s="51">
        <v>0.22670000000000001</v>
      </c>
      <c r="R219" s="57">
        <f>((K219-D219)/D219)</f>
        <v>9.6332605607536304E-3</v>
      </c>
      <c r="S219" s="57">
        <f t="shared" ref="S219" si="132">((N219-G219)/G219)</f>
        <v>-1.3374469565939308E-3</v>
      </c>
      <c r="T219" s="57">
        <f t="shared" ref="T219" si="133">((O219-H219)/H219)</f>
        <v>3.9325842696629216E-3</v>
      </c>
      <c r="U219" s="57">
        <f t="shared" ref="U219" si="134">P219-I219</f>
        <v>-6.5299999999999997E-2</v>
      </c>
      <c r="V219" s="58">
        <f t="shared" ref="V219" si="135">Q219-J219</f>
        <v>-1.5599999999999975E-2</v>
      </c>
    </row>
    <row r="220" spans="1:22">
      <c r="A220" s="143">
        <v>186</v>
      </c>
      <c r="B220" s="137" t="s">
        <v>248</v>
      </c>
      <c r="C220" s="138" t="s">
        <v>231</v>
      </c>
      <c r="D220" s="29">
        <v>233815486.33000001</v>
      </c>
      <c r="E220" s="30">
        <f t="shared" ref="E220" si="136">(D220/$D$222)</f>
        <v>3.979556568724593E-3</v>
      </c>
      <c r="F220" s="35">
        <v>1138.3900000000001</v>
      </c>
      <c r="G220" s="35">
        <v>1138.3900000000001</v>
      </c>
      <c r="H220" s="32">
        <v>93</v>
      </c>
      <c r="I220" s="50">
        <v>2.0400000000000001E-2</v>
      </c>
      <c r="J220" s="50">
        <v>0.1079</v>
      </c>
      <c r="K220" s="29">
        <v>227121471.34999999</v>
      </c>
      <c r="L220" s="30">
        <f t="shared" ref="L220" si="137">(K220/$K$222)</f>
        <v>3.9093964985698268E-3</v>
      </c>
      <c r="M220" s="35">
        <v>1105.8</v>
      </c>
      <c r="N220" s="35">
        <v>1105.8</v>
      </c>
      <c r="O220" s="32">
        <v>100</v>
      </c>
      <c r="P220" s="50">
        <v>-2.86E-2</v>
      </c>
      <c r="Q220" s="50">
        <v>1.24E-2</v>
      </c>
      <c r="R220" s="57">
        <f t="shared" ref="R220" si="138">((K220-D220)/D220)</f>
        <v>-2.8629476537547608E-2</v>
      </c>
      <c r="S220" s="57">
        <f t="shared" ref="S220" si="139">((N220-G220)/G220)</f>
        <v>-2.8628150282416519E-2</v>
      </c>
      <c r="T220" s="57">
        <f t="shared" ref="T220" si="140">((O220-H220)/H220)</f>
        <v>7.5268817204301078E-2</v>
      </c>
      <c r="U220" s="57">
        <f t="shared" ref="U220" si="141">P220-I220</f>
        <v>-4.9000000000000002E-2</v>
      </c>
      <c r="V220" s="58">
        <f t="shared" ref="V220" si="142">Q220-J220</f>
        <v>-9.5500000000000002E-2</v>
      </c>
    </row>
    <row r="221" spans="1:22">
      <c r="A221" s="143">
        <v>187</v>
      </c>
      <c r="B221" s="137" t="s">
        <v>293</v>
      </c>
      <c r="C221" s="138" t="s">
        <v>294</v>
      </c>
      <c r="D221" s="29">
        <v>60681789.230579101</v>
      </c>
      <c r="E221" s="30">
        <f t="shared" ref="E221" si="143">(D221/$D$222)</f>
        <v>1.0328084624543882E-3</v>
      </c>
      <c r="F221" s="35">
        <v>101.57</v>
      </c>
      <c r="G221" s="35">
        <v>103.666724</v>
      </c>
      <c r="H221" s="32">
        <v>158</v>
      </c>
      <c r="I221" s="50">
        <v>2.6200000000000001E-2</v>
      </c>
      <c r="J221" s="50">
        <v>0.12970000000000001</v>
      </c>
      <c r="K221" s="29">
        <v>61337551.989637397</v>
      </c>
      <c r="L221" s="30">
        <f t="shared" ref="L221" si="144">(K221/$K$222)</f>
        <v>1.0557910247490706E-3</v>
      </c>
      <c r="M221" s="35">
        <v>101.72</v>
      </c>
      <c r="N221" s="35">
        <v>103.818254</v>
      </c>
      <c r="O221" s="32">
        <v>158</v>
      </c>
      <c r="P221" s="50">
        <v>2.7699999999999999E-2</v>
      </c>
      <c r="Q221" s="50">
        <v>0.12970000000000001</v>
      </c>
      <c r="R221" s="57">
        <f t="shared" ref="R221" si="145">((K221-D221)/D221)</f>
        <v>1.0806582458643806E-2</v>
      </c>
      <c r="S221" s="57">
        <f t="shared" ref="S221" si="146">((N221-G221)/G221)</f>
        <v>1.4617033716623855E-3</v>
      </c>
      <c r="T221" s="57">
        <f t="shared" ref="T221" si="147">((O221-H221)/H221)</f>
        <v>0</v>
      </c>
      <c r="U221" s="57">
        <f t="shared" ref="U221" si="148">P221-I221</f>
        <v>1.4999999999999979E-3</v>
      </c>
      <c r="V221" s="58">
        <f t="shared" ref="V221" si="149">Q221-J221</f>
        <v>0</v>
      </c>
    </row>
    <row r="222" spans="1:22">
      <c r="A222" s="36"/>
      <c r="B222" s="37"/>
      <c r="C222" s="71" t="s">
        <v>53</v>
      </c>
      <c r="D222" s="48">
        <f>SUM(D200:D221)</f>
        <v>58754155718.644669</v>
      </c>
      <c r="E222" s="40">
        <f>(D222/$D$223)</f>
        <v>1.0490387758863989E-2</v>
      </c>
      <c r="F222" s="41"/>
      <c r="G222" s="74"/>
      <c r="H222" s="84">
        <f>SUM(H200:H221)</f>
        <v>33678</v>
      </c>
      <c r="I222" s="81"/>
      <c r="J222" s="81"/>
      <c r="K222" s="48">
        <f>SUM(K200:K221)</f>
        <v>58096299884.927956</v>
      </c>
      <c r="L222" s="40">
        <f>(K222/$K$223)</f>
        <v>1.0347016026679586E-2</v>
      </c>
      <c r="M222" s="41"/>
      <c r="N222" s="74"/>
      <c r="O222" s="43">
        <f>SUM(O200:O221)</f>
        <v>33964</v>
      </c>
      <c r="P222" s="81"/>
      <c r="Q222" s="81"/>
      <c r="R222" s="57">
        <f t="shared" si="121"/>
        <v>-1.11967540962886E-2</v>
      </c>
      <c r="S222" s="57" t="e">
        <f t="shared" si="122"/>
        <v>#DIV/0!</v>
      </c>
      <c r="T222" s="57">
        <f t="shared" si="123"/>
        <v>8.4921907476691021E-3</v>
      </c>
      <c r="U222" s="57">
        <f t="shared" si="124"/>
        <v>0</v>
      </c>
      <c r="V222" s="58">
        <f t="shared" si="125"/>
        <v>0</v>
      </c>
    </row>
    <row r="223" spans="1:22">
      <c r="A223" s="85"/>
      <c r="B223" s="85"/>
      <c r="C223" s="86" t="s">
        <v>249</v>
      </c>
      <c r="D223" s="87">
        <f>SUM(D25,D70,D110,D150,D159,D191,D196,D222)</f>
        <v>5600761103325.2402</v>
      </c>
      <c r="E223" s="88"/>
      <c r="F223" s="88"/>
      <c r="G223" s="89"/>
      <c r="H223" s="87">
        <f>SUM(H25,H70,H110,H150,H159,H191,H196,H222)</f>
        <v>884849</v>
      </c>
      <c r="I223" s="111"/>
      <c r="J223" s="111"/>
      <c r="K223" s="87">
        <f>SUM(K25,K70,K110,K150,K159,K191,K196,K222)</f>
        <v>5614787851408.3418</v>
      </c>
      <c r="L223" s="88"/>
      <c r="M223" s="88"/>
      <c r="N223" s="89"/>
      <c r="O223" s="87">
        <f>SUM(O25,O70,O110,O150,O159,O191,O196,O222)</f>
        <v>889292</v>
      </c>
      <c r="P223" s="112"/>
      <c r="Q223" s="87"/>
      <c r="R223" s="118">
        <f t="shared" si="121"/>
        <v>2.5044360622297765E-3</v>
      </c>
      <c r="S223" s="118"/>
      <c r="T223" s="118"/>
      <c r="U223" s="118"/>
      <c r="V223" s="118"/>
    </row>
    <row r="224" spans="1:22" ht="6.75" customHeight="1">
      <c r="A224" s="36"/>
      <c r="B224" s="152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37"/>
    </row>
    <row r="225" spans="1:22" ht="14.4" customHeight="1">
      <c r="A225" s="155" t="s">
        <v>250</v>
      </c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</row>
    <row r="226" spans="1:22" ht="14.4" customHeight="1">
      <c r="A226" s="136">
        <v>1</v>
      </c>
      <c r="B226" s="137" t="s">
        <v>315</v>
      </c>
      <c r="C226" s="138" t="s">
        <v>23</v>
      </c>
      <c r="D226" s="29">
        <f>681781.78*1600.8978</f>
        <v>1091462951.6820841</v>
      </c>
      <c r="E226" s="30">
        <f t="shared" ref="E226:E228" si="150">(D226/$D$222)</f>
        <v>1.8576778754319265E-2</v>
      </c>
      <c r="F226" s="35">
        <f>1.001*1600.8978</f>
        <v>1602.4986977999997</v>
      </c>
      <c r="G226" s="35">
        <f>1.001*1600.8978</f>
        <v>1602.4986977999997</v>
      </c>
      <c r="H226" s="32">
        <v>14</v>
      </c>
      <c r="I226" s="50">
        <v>4.1700000000000001E-2</v>
      </c>
      <c r="J226" s="50">
        <v>1.2200000000000001E-2</v>
      </c>
      <c r="K226" s="29">
        <f>756367.23*1588.2431</f>
        <v>1201295034.1136129</v>
      </c>
      <c r="L226" s="30">
        <f>(K226/$K$230)</f>
        <v>7.2077695659277408E-2</v>
      </c>
      <c r="M226" s="35">
        <f>1.0021*1588.2431</f>
        <v>1591.5784105099999</v>
      </c>
      <c r="N226" s="35">
        <f>1.0021*1588.2431</f>
        <v>1591.5784105099999</v>
      </c>
      <c r="O226" s="32">
        <v>20</v>
      </c>
      <c r="P226" s="50">
        <v>5.7299999999999997E-2</v>
      </c>
      <c r="Q226" s="50">
        <v>2.07E-2</v>
      </c>
      <c r="R226" s="57">
        <f t="shared" ref="R226" si="151">((K226-D226)/D226)</f>
        <v>0.10062831932340306</v>
      </c>
      <c r="S226" s="57">
        <f t="shared" ref="S226" si="152">((N226-G226)/G226)</f>
        <v>-6.8145373877631166E-3</v>
      </c>
      <c r="T226" s="57">
        <f t="shared" ref="T226" si="153">((O226-H226)/H226)</f>
        <v>0.42857142857142855</v>
      </c>
      <c r="U226" s="57">
        <f t="shared" ref="U226" si="154">P226-I226</f>
        <v>1.5599999999999996E-2</v>
      </c>
      <c r="V226" s="58">
        <f t="shared" ref="V226" si="155">Q226-J226</f>
        <v>8.4999999999999989E-3</v>
      </c>
    </row>
    <row r="227" spans="1:22" ht="14.4" customHeight="1">
      <c r="A227" s="136">
        <v>2</v>
      </c>
      <c r="B227" s="137" t="s">
        <v>251</v>
      </c>
      <c r="C227" s="138" t="s">
        <v>188</v>
      </c>
      <c r="D227" s="29">
        <v>4179691084.2060084</v>
      </c>
      <c r="E227" s="30">
        <f t="shared" ref="E227" si="156">(D227/$D$222)</f>
        <v>7.1138645991634122E-2</v>
      </c>
      <c r="F227" s="35">
        <v>123.2</v>
      </c>
      <c r="G227" s="35">
        <v>123.2</v>
      </c>
      <c r="H227" s="32">
        <v>9</v>
      </c>
      <c r="I227" s="50">
        <v>0.29998542773656095</v>
      </c>
      <c r="J227" s="50">
        <v>0.21973070550637522</v>
      </c>
      <c r="K227" s="29">
        <v>4204895875.7562852</v>
      </c>
      <c r="L227" s="30">
        <f>(K227/$K$230)</f>
        <v>0.25229373018705781</v>
      </c>
      <c r="M227" s="35">
        <v>123.2</v>
      </c>
      <c r="N227" s="35">
        <v>123.2</v>
      </c>
      <c r="O227" s="32">
        <v>9</v>
      </c>
      <c r="P227" s="50">
        <v>0.29818726901928694</v>
      </c>
      <c r="Q227" s="50">
        <v>0.21448328396005453</v>
      </c>
      <c r="R227" s="57">
        <f t="shared" ref="R227" si="157">((K227-D227)/D227)</f>
        <v>6.0303000969423948E-3</v>
      </c>
      <c r="S227" s="57">
        <f t="shared" ref="S227" si="158">((N227-G227)/G227)</f>
        <v>0</v>
      </c>
      <c r="T227" s="57">
        <f t="shared" ref="T227" si="159">((O227-H227)/H227)</f>
        <v>0</v>
      </c>
      <c r="U227" s="57">
        <f t="shared" ref="U227" si="160">P227-I227</f>
        <v>-1.7981587172740121E-3</v>
      </c>
      <c r="V227" s="58">
        <f t="shared" ref="V227" si="161">Q227-J227</f>
        <v>-5.2474215463206852E-3</v>
      </c>
    </row>
    <row r="228" spans="1:22" ht="14.4" customHeight="1">
      <c r="A228" s="136">
        <v>3</v>
      </c>
      <c r="B228" s="137" t="s">
        <v>313</v>
      </c>
      <c r="C228" s="138" t="s">
        <v>31</v>
      </c>
      <c r="D228" s="29">
        <f>211583.45*1599.01</f>
        <v>338324052.38450003</v>
      </c>
      <c r="E228" s="30">
        <f t="shared" si="150"/>
        <v>5.758299957617099E-3</v>
      </c>
      <c r="F228" s="35">
        <f>101.15*1599.01</f>
        <v>161739.8615</v>
      </c>
      <c r="G228" s="35">
        <f>101.15*1599.01</f>
        <v>161739.8615</v>
      </c>
      <c r="H228" s="32">
        <v>3</v>
      </c>
      <c r="I228" s="50">
        <v>1.2999999999999999E-3</v>
      </c>
      <c r="J228" s="50">
        <v>1.15E-2</v>
      </c>
      <c r="K228" s="29">
        <f>211849.03*1579</f>
        <v>334509618.37</v>
      </c>
      <c r="L228" s="30">
        <f>(K228/$K$230)</f>
        <v>2.0070575323541721E-2</v>
      </c>
      <c r="M228" s="35">
        <f>101.28*1579</f>
        <v>159921.12</v>
      </c>
      <c r="N228" s="35">
        <f>101.28*1579</f>
        <v>159921.12</v>
      </c>
      <c r="O228" s="32">
        <v>3</v>
      </c>
      <c r="P228" s="50">
        <v>1.2999999999999999E-3</v>
      </c>
      <c r="Q228" s="50">
        <v>1.2800000000000001E-2</v>
      </c>
      <c r="R228" s="57">
        <f t="shared" ref="R228" si="162">((K228-D228)/D228)</f>
        <v>-1.1274498480424257E-2</v>
      </c>
      <c r="S228" s="57">
        <f t="shared" ref="S228" si="163">((N228-G228)/G228)</f>
        <v>-1.1244856296603196E-2</v>
      </c>
      <c r="T228" s="57">
        <f t="shared" ref="T228" si="164">((O228-H228)/H228)</f>
        <v>0</v>
      </c>
      <c r="U228" s="57">
        <f t="shared" ref="U228" si="165">P228-I228</f>
        <v>0</v>
      </c>
      <c r="V228" s="58">
        <f t="shared" ref="V228" si="166">Q228-J228</f>
        <v>1.3000000000000008E-3</v>
      </c>
    </row>
    <row r="229" spans="1:22" ht="14.4" customHeight="1">
      <c r="A229" s="136">
        <v>4</v>
      </c>
      <c r="B229" s="137" t="s">
        <v>300</v>
      </c>
      <c r="C229" s="138" t="s">
        <v>41</v>
      </c>
      <c r="D229" s="29">
        <v>10809280667.26</v>
      </c>
      <c r="E229" s="30">
        <f t="shared" ref="E229" si="167">(D229/$D$222)</f>
        <v>0.18397474246795878</v>
      </c>
      <c r="F229" s="35">
        <v>1.04</v>
      </c>
      <c r="G229" s="35">
        <v>1.04</v>
      </c>
      <c r="H229" s="32">
        <v>16</v>
      </c>
      <c r="I229" s="50">
        <v>2.5000000000000001E-3</v>
      </c>
      <c r="J229" s="50">
        <v>-1.24E-2</v>
      </c>
      <c r="K229" s="29">
        <v>10925967615.43</v>
      </c>
      <c r="L229" s="30">
        <f>(K229/$K$230)</f>
        <v>0.655557998830123</v>
      </c>
      <c r="M229" s="35">
        <v>1.5</v>
      </c>
      <c r="N229" s="35">
        <v>1.05</v>
      </c>
      <c r="O229" s="32">
        <v>16</v>
      </c>
      <c r="P229" s="50">
        <v>1.0800000000000001E-2</v>
      </c>
      <c r="Q229" s="50">
        <v>1.5599999999999999E-2</v>
      </c>
      <c r="R229" s="57">
        <f t="shared" ref="R229:R230" si="168">((K229-D229)/D229)</f>
        <v>1.0795070621436512E-2</v>
      </c>
      <c r="S229" s="57">
        <f t="shared" ref="S229" si="169">((N229-G229)/G229)</f>
        <v>9.6153846153846229E-3</v>
      </c>
      <c r="T229" s="57">
        <f t="shared" ref="T229" si="170">((O229-H229)/H229)</f>
        <v>0</v>
      </c>
      <c r="U229" s="57">
        <f t="shared" ref="U229" si="171">P229-I229</f>
        <v>8.3000000000000001E-3</v>
      </c>
      <c r="V229" s="58">
        <f t="shared" ref="V229" si="172">Q229-J229</f>
        <v>2.7999999999999997E-2</v>
      </c>
    </row>
    <row r="230" spans="1:22" ht="14.4" customHeight="1">
      <c r="A230" s="90"/>
      <c r="B230" s="90"/>
      <c r="C230" s="90" t="s">
        <v>53</v>
      </c>
      <c r="D230" s="90">
        <f>SUM(D226:D229)</f>
        <v>16418758755.532593</v>
      </c>
      <c r="E230" s="90"/>
      <c r="F230" s="90"/>
      <c r="G230" s="90"/>
      <c r="H230" s="90">
        <f>SUM(H226:H229)</f>
        <v>42</v>
      </c>
      <c r="I230" s="90"/>
      <c r="J230" s="90"/>
      <c r="K230" s="90">
        <f>SUM(K226:K229)</f>
        <v>16666668143.669899</v>
      </c>
      <c r="L230" s="40"/>
      <c r="M230" s="90"/>
      <c r="N230" s="90"/>
      <c r="O230" s="90">
        <f>SUM(O226:O229)</f>
        <v>48</v>
      </c>
      <c r="P230" s="90"/>
      <c r="Q230" s="90"/>
      <c r="R230" s="118">
        <f t="shared" si="168"/>
        <v>1.5099155291125082E-2</v>
      </c>
      <c r="S230" s="90"/>
      <c r="T230" s="90"/>
      <c r="U230" s="90"/>
      <c r="V230" s="90"/>
    </row>
    <row r="231" spans="1:22" ht="6" customHeight="1">
      <c r="A231" s="36"/>
      <c r="B231" s="133"/>
      <c r="C231" s="71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37"/>
    </row>
    <row r="232" spans="1:22" ht="15.6">
      <c r="A232" s="155" t="s">
        <v>252</v>
      </c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</row>
    <row r="233" spans="1:22">
      <c r="A233" s="136">
        <v>1</v>
      </c>
      <c r="B233" s="137" t="s">
        <v>253</v>
      </c>
      <c r="C233" s="138" t="s">
        <v>254</v>
      </c>
      <c r="D233" s="29">
        <v>117431274879</v>
      </c>
      <c r="E233" s="30">
        <f>(D233/$D$235)</f>
        <v>0.89498120263834646</v>
      </c>
      <c r="F233" s="60">
        <v>111.28</v>
      </c>
      <c r="G233" s="60">
        <v>111.28</v>
      </c>
      <c r="H233" s="32">
        <v>0</v>
      </c>
      <c r="I233" s="50">
        <v>0.23899999999999999</v>
      </c>
      <c r="J233" s="50">
        <v>0.23899999999999999</v>
      </c>
      <c r="K233" s="29">
        <v>117431274879</v>
      </c>
      <c r="L233" s="30">
        <f>(K233/$K$235)</f>
        <v>0.89482849189225588</v>
      </c>
      <c r="M233" s="60">
        <v>111.28</v>
      </c>
      <c r="N233" s="60">
        <v>111.28</v>
      </c>
      <c r="O233" s="32">
        <v>0</v>
      </c>
      <c r="P233" s="50">
        <v>0.23899999999999999</v>
      </c>
      <c r="Q233" s="50">
        <v>0.23899999999999999</v>
      </c>
      <c r="R233" s="57">
        <f>((K233-D233)/D233)</f>
        <v>0</v>
      </c>
      <c r="S233" s="57">
        <f>((N233-G233)/G233)</f>
        <v>0</v>
      </c>
      <c r="T233" s="57" t="e">
        <f>((O233-H233)/H233)</f>
        <v>#DIV/0!</v>
      </c>
      <c r="U233" s="57">
        <f>P233-I233</f>
        <v>0</v>
      </c>
      <c r="V233" s="58">
        <f>Q233-J233</f>
        <v>0</v>
      </c>
    </row>
    <row r="234" spans="1:22">
      <c r="A234" s="136">
        <v>2</v>
      </c>
      <c r="B234" s="137" t="s">
        <v>255</v>
      </c>
      <c r="C234" s="138" t="s">
        <v>52</v>
      </c>
      <c r="D234" s="29">
        <v>13779609252.219999</v>
      </c>
      <c r="E234" s="30">
        <f>(D234/$D$235)</f>
        <v>0.10501879736165357</v>
      </c>
      <c r="F234" s="91">
        <v>1000000</v>
      </c>
      <c r="G234" s="91">
        <v>1000000</v>
      </c>
      <c r="H234" s="32">
        <v>26</v>
      </c>
      <c r="I234" s="50">
        <v>0.22919999999999999</v>
      </c>
      <c r="J234" s="50">
        <v>0.22919999999999999</v>
      </c>
      <c r="K234" s="29">
        <v>13802001601.360001</v>
      </c>
      <c r="L234" s="30">
        <f>(K234/$K$235)</f>
        <v>0.10517150810774406</v>
      </c>
      <c r="M234" s="91">
        <v>1000000</v>
      </c>
      <c r="N234" s="91">
        <v>1000000</v>
      </c>
      <c r="O234" s="32">
        <v>26</v>
      </c>
      <c r="P234" s="50">
        <v>0.22259999999999999</v>
      </c>
      <c r="Q234" s="50">
        <v>0.22259999999999999</v>
      </c>
      <c r="R234" s="57">
        <f>((K234-D234)/D234)</f>
        <v>1.6250351319935809E-3</v>
      </c>
      <c r="S234" s="57">
        <f>((N234-G234)/G234)</f>
        <v>0</v>
      </c>
      <c r="T234" s="57">
        <f>((O234-H234)/H234)</f>
        <v>0</v>
      </c>
      <c r="U234" s="57">
        <f>P234-I234</f>
        <v>-6.5999999999999948E-3</v>
      </c>
      <c r="V234" s="58">
        <f>Q234-J234</f>
        <v>-6.5999999999999948E-3</v>
      </c>
    </row>
    <row r="235" spans="1:22">
      <c r="A235" s="85"/>
      <c r="B235" s="85"/>
      <c r="C235" s="86" t="s">
        <v>256</v>
      </c>
      <c r="D235" s="90">
        <f>SUM(D233:D234)</f>
        <v>131210884131.22</v>
      </c>
      <c r="E235" s="92"/>
      <c r="F235" s="93"/>
      <c r="G235" s="93"/>
      <c r="H235" s="90">
        <f>SUM(H233:H234)</f>
        <v>26</v>
      </c>
      <c r="I235" s="113"/>
      <c r="J235" s="113"/>
      <c r="K235" s="90">
        <f>SUM(K233:K234)</f>
        <v>131233276480.36</v>
      </c>
      <c r="L235" s="92"/>
      <c r="M235" s="93"/>
      <c r="N235" s="93"/>
      <c r="O235" s="90">
        <f>SUM(O233:O234)</f>
        <v>26</v>
      </c>
      <c r="P235" s="113"/>
      <c r="Q235" s="90"/>
      <c r="R235" s="118">
        <f>((K235-D235)/D235)</f>
        <v>1.7065923523238731E-4</v>
      </c>
      <c r="S235" s="119"/>
      <c r="T235" s="119"/>
      <c r="U235" s="118"/>
      <c r="V235" s="120"/>
    </row>
    <row r="236" spans="1:22" ht="4.5" customHeight="1">
      <c r="A236" s="36"/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</row>
    <row r="237" spans="1:22" ht="15.6">
      <c r="A237" s="155" t="s">
        <v>257</v>
      </c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</row>
    <row r="238" spans="1:22">
      <c r="A238" s="136">
        <v>1</v>
      </c>
      <c r="B238" s="137" t="s">
        <v>258</v>
      </c>
      <c r="C238" s="138" t="s">
        <v>82</v>
      </c>
      <c r="D238" s="94">
        <v>1041941974.8099999</v>
      </c>
      <c r="E238" s="95">
        <f t="shared" ref="E238:E249" si="173">(D238/$D$250)</f>
        <v>7.4924299808666939E-2</v>
      </c>
      <c r="F238" s="91">
        <v>254.59059999999999</v>
      </c>
      <c r="G238" s="91">
        <v>254.59059999999999</v>
      </c>
      <c r="H238" s="96">
        <v>266</v>
      </c>
      <c r="I238" s="52">
        <v>1.2608644354425991E-3</v>
      </c>
      <c r="J238" s="52">
        <v>0.11010115985000435</v>
      </c>
      <c r="K238" s="94">
        <v>1038952990.92</v>
      </c>
      <c r="L238" s="95">
        <f t="shared" ref="L238:L249" si="174">(K238/$K$250)</f>
        <v>7.6539618480967603E-2</v>
      </c>
      <c r="M238" s="91">
        <v>253.86</v>
      </c>
      <c r="N238" s="91">
        <v>253.68</v>
      </c>
      <c r="O238" s="96">
        <v>266</v>
      </c>
      <c r="P238" s="52">
        <v>-2.8697053229772562E-3</v>
      </c>
      <c r="Q238" s="52">
        <v>4.1099999999999998E-2</v>
      </c>
      <c r="R238" s="57">
        <f>((K238-D238)/D238)</f>
        <v>-2.8686663578795092E-3</v>
      </c>
      <c r="S238" s="57">
        <f>((N238-G238)/G238)</f>
        <v>-3.5767227855230638E-3</v>
      </c>
      <c r="T238" s="57">
        <f>((O238-H238)/H238)</f>
        <v>0</v>
      </c>
      <c r="U238" s="57">
        <f>P238-I238</f>
        <v>-4.1305697584198553E-3</v>
      </c>
      <c r="V238" s="58">
        <f>Q238-J238</f>
        <v>-6.9001159850004351E-2</v>
      </c>
    </row>
    <row r="239" spans="1:22">
      <c r="A239" s="136">
        <v>2</v>
      </c>
      <c r="B239" s="137" t="s">
        <v>259</v>
      </c>
      <c r="C239" s="138" t="s">
        <v>231</v>
      </c>
      <c r="D239" s="94">
        <v>1203957469.77</v>
      </c>
      <c r="E239" s="95">
        <f t="shared" si="173"/>
        <v>8.6574562310325121E-2</v>
      </c>
      <c r="F239" s="91">
        <v>34.24</v>
      </c>
      <c r="G239" s="91">
        <v>37.85</v>
      </c>
      <c r="H239" s="96">
        <v>213</v>
      </c>
      <c r="I239" s="52">
        <v>-6.1000000000000004E-3</v>
      </c>
      <c r="J239" s="52">
        <v>0.31409999999999999</v>
      </c>
      <c r="K239" s="94">
        <v>1197827594.27</v>
      </c>
      <c r="L239" s="95">
        <f t="shared" si="174"/>
        <v>8.8243903114631456E-2</v>
      </c>
      <c r="M239" s="91">
        <v>34.07</v>
      </c>
      <c r="N239" s="91">
        <v>37.659999999999997</v>
      </c>
      <c r="O239" s="96">
        <v>213</v>
      </c>
      <c r="P239" s="52">
        <v>-5.1000000000000004E-3</v>
      </c>
      <c r="Q239" s="52">
        <v>0.1113</v>
      </c>
      <c r="R239" s="57">
        <f t="shared" ref="R239:R250" si="175">((K239-D239)/D239)</f>
        <v>-5.0914385714729863E-3</v>
      </c>
      <c r="S239" s="57">
        <f t="shared" ref="S239:S250" si="176">((N239-G239)/G239)</f>
        <v>-5.0198150594453058E-3</v>
      </c>
      <c r="T239" s="57">
        <f t="shared" ref="T239:T250" si="177">((O239-H239)/H239)</f>
        <v>0</v>
      </c>
      <c r="U239" s="57">
        <f t="shared" ref="U239:U250" si="178">P239-I239</f>
        <v>1E-3</v>
      </c>
      <c r="V239" s="58">
        <f t="shared" ref="V239:V250" si="179">Q239-J239</f>
        <v>-0.20279999999999998</v>
      </c>
    </row>
    <row r="240" spans="1:22">
      <c r="A240" s="136">
        <v>3</v>
      </c>
      <c r="B240" s="137" t="s">
        <v>260</v>
      </c>
      <c r="C240" s="138" t="s">
        <v>43</v>
      </c>
      <c r="D240" s="94">
        <v>421600617.77999997</v>
      </c>
      <c r="E240" s="95">
        <f t="shared" si="173"/>
        <v>3.0316593293813764E-2</v>
      </c>
      <c r="F240" s="91">
        <v>30.440769</v>
      </c>
      <c r="G240" s="91">
        <v>30.739346999999999</v>
      </c>
      <c r="H240" s="96">
        <v>167</v>
      </c>
      <c r="I240" s="52">
        <v>3.3349066737738964E-2</v>
      </c>
      <c r="J240" s="52">
        <v>9.9954754502381116E-2</v>
      </c>
      <c r="K240" s="94">
        <v>419158997.19</v>
      </c>
      <c r="L240" s="95">
        <f t="shared" si="174"/>
        <v>3.0879423812408009E-2</v>
      </c>
      <c r="M240" s="91">
        <v>31.273771</v>
      </c>
      <c r="N240" s="91">
        <v>31.581188999999998</v>
      </c>
      <c r="O240" s="96">
        <v>167</v>
      </c>
      <c r="P240" s="52">
        <v>-5.7913116988695945E-3</v>
      </c>
      <c r="Q240" s="52">
        <v>9.3584573664404092E-2</v>
      </c>
      <c r="R240" s="57">
        <f t="shared" si="175"/>
        <v>-5.7913116988696223E-3</v>
      </c>
      <c r="S240" s="57">
        <f t="shared" si="176"/>
        <v>2.7386463349400356E-2</v>
      </c>
      <c r="T240" s="57">
        <f t="shared" si="177"/>
        <v>0</v>
      </c>
      <c r="U240" s="57">
        <f t="shared" si="178"/>
        <v>-3.9140378436608558E-2</v>
      </c>
      <c r="V240" s="58">
        <f t="shared" si="179"/>
        <v>-6.3701808379770242E-3</v>
      </c>
    </row>
    <row r="241" spans="1:26">
      <c r="A241" s="136">
        <v>4</v>
      </c>
      <c r="B241" s="137" t="s">
        <v>261</v>
      </c>
      <c r="C241" s="138" t="s">
        <v>43</v>
      </c>
      <c r="D241" s="94">
        <v>901514497.67000008</v>
      </c>
      <c r="E241" s="95">
        <f t="shared" si="173"/>
        <v>6.482639545988525E-2</v>
      </c>
      <c r="F241" s="91">
        <v>66.906267999999997</v>
      </c>
      <c r="G241" s="91">
        <v>67.240720999999994</v>
      </c>
      <c r="H241" s="96">
        <v>460</v>
      </c>
      <c r="I241" s="52">
        <v>1.1090596966854438E-2</v>
      </c>
      <c r="J241" s="52">
        <v>1.9748943885796066E-2</v>
      </c>
      <c r="K241" s="94">
        <v>909927299.40999997</v>
      </c>
      <c r="L241" s="95">
        <f t="shared" si="174"/>
        <v>6.7034301793180276E-2</v>
      </c>
      <c r="M241" s="91">
        <v>68.279591999999994</v>
      </c>
      <c r="N241" s="91">
        <v>68.636688000000007</v>
      </c>
      <c r="O241" s="96">
        <v>460</v>
      </c>
      <c r="P241" s="52">
        <v>9.3318540763827063E-3</v>
      </c>
      <c r="Q241" s="52">
        <v>2.9265092224683542E-2</v>
      </c>
      <c r="R241" s="57">
        <f t="shared" si="175"/>
        <v>9.3318540763826976E-3</v>
      </c>
      <c r="S241" s="57">
        <f t="shared" si="176"/>
        <v>2.0760738124744577E-2</v>
      </c>
      <c r="T241" s="57">
        <f t="shared" si="177"/>
        <v>0</v>
      </c>
      <c r="U241" s="57">
        <f t="shared" si="178"/>
        <v>-1.7587428904717317E-3</v>
      </c>
      <c r="V241" s="58">
        <f t="shared" si="179"/>
        <v>9.5161483388874757E-3</v>
      </c>
    </row>
    <row r="242" spans="1:26">
      <c r="A242" s="136">
        <v>5</v>
      </c>
      <c r="B242" s="137" t="s">
        <v>262</v>
      </c>
      <c r="C242" s="138" t="s">
        <v>263</v>
      </c>
      <c r="D242" s="94">
        <v>1590944306.9400001</v>
      </c>
      <c r="E242" s="95">
        <f t="shared" si="173"/>
        <v>0.11440213669652843</v>
      </c>
      <c r="F242" s="91">
        <v>46550</v>
      </c>
      <c r="G242" s="91">
        <v>49700</v>
      </c>
      <c r="H242" s="96">
        <v>236</v>
      </c>
      <c r="I242" s="52">
        <v>-4.7E-2</v>
      </c>
      <c r="J242" s="52">
        <v>0.26</v>
      </c>
      <c r="K242" s="94">
        <v>1652423040.97</v>
      </c>
      <c r="L242" s="95">
        <f t="shared" si="174"/>
        <v>0.12173392851298198</v>
      </c>
      <c r="M242" s="91">
        <v>47920</v>
      </c>
      <c r="N242" s="91">
        <v>50450</v>
      </c>
      <c r="O242" s="96">
        <v>236</v>
      </c>
      <c r="P242" s="52">
        <v>3.9E-2</v>
      </c>
      <c r="Q242" s="52">
        <v>0.31</v>
      </c>
      <c r="R242" s="57">
        <f t="shared" si="175"/>
        <v>3.8642920284398453E-2</v>
      </c>
      <c r="S242" s="57">
        <f t="shared" si="176"/>
        <v>1.5090543259557344E-2</v>
      </c>
      <c r="T242" s="57">
        <f t="shared" si="177"/>
        <v>0</v>
      </c>
      <c r="U242" s="57">
        <f t="shared" si="178"/>
        <v>8.5999999999999993E-2</v>
      </c>
      <c r="V242" s="58">
        <f t="shared" si="179"/>
        <v>4.9999999999999989E-2</v>
      </c>
    </row>
    <row r="243" spans="1:26">
      <c r="A243" s="136">
        <v>6</v>
      </c>
      <c r="B243" s="137" t="s">
        <v>264</v>
      </c>
      <c r="C243" s="138" t="s">
        <v>265</v>
      </c>
      <c r="D243" s="94">
        <v>1114733244.98</v>
      </c>
      <c r="E243" s="95">
        <f t="shared" si="173"/>
        <v>8.0158597957242131E-2</v>
      </c>
      <c r="F243" s="91">
        <v>265</v>
      </c>
      <c r="G243" s="91">
        <v>265</v>
      </c>
      <c r="H243" s="96">
        <v>145</v>
      </c>
      <c r="I243" s="52">
        <v>1.0699999999999999E-2</v>
      </c>
      <c r="J243" s="52">
        <v>0.15029999999999999</v>
      </c>
      <c r="K243" s="94">
        <v>748755381.82000005</v>
      </c>
      <c r="L243" s="95">
        <f t="shared" si="174"/>
        <v>5.5160774126388638E-2</v>
      </c>
      <c r="M243" s="91">
        <v>265</v>
      </c>
      <c r="N243" s="91">
        <v>265</v>
      </c>
      <c r="O243" s="96">
        <v>145</v>
      </c>
      <c r="P243" s="52">
        <v>-6.8999999999999999E-3</v>
      </c>
      <c r="Q243" s="52">
        <v>0.14249999999999999</v>
      </c>
      <c r="R243" s="57">
        <f t="shared" si="175"/>
        <v>-0.3283098129602891</v>
      </c>
      <c r="S243" s="57">
        <f t="shared" si="176"/>
        <v>0</v>
      </c>
      <c r="T243" s="57">
        <f t="shared" si="177"/>
        <v>0</v>
      </c>
      <c r="U243" s="57">
        <f t="shared" si="178"/>
        <v>-1.7599999999999998E-2</v>
      </c>
      <c r="V243" s="58">
        <f t="shared" si="179"/>
        <v>-7.8000000000000014E-3</v>
      </c>
    </row>
    <row r="244" spans="1:26">
      <c r="A244" s="136">
        <v>7</v>
      </c>
      <c r="B244" s="137" t="s">
        <v>266</v>
      </c>
      <c r="C244" s="138" t="s">
        <v>265</v>
      </c>
      <c r="D244" s="94">
        <v>896132671.39999998</v>
      </c>
      <c r="E244" s="95">
        <f t="shared" si="173"/>
        <v>6.4439397359491821E-2</v>
      </c>
      <c r="F244" s="91">
        <v>300</v>
      </c>
      <c r="G244" s="91">
        <v>300</v>
      </c>
      <c r="H244" s="96">
        <v>645</v>
      </c>
      <c r="I244" s="52">
        <v>8.6E-3</v>
      </c>
      <c r="J244" s="52">
        <v>7.0000000000000007E-2</v>
      </c>
      <c r="K244" s="94">
        <v>891370122.91999996</v>
      </c>
      <c r="L244" s="95">
        <f t="shared" si="174"/>
        <v>6.5667195464942235E-2</v>
      </c>
      <c r="M244" s="91">
        <v>260</v>
      </c>
      <c r="N244" s="91">
        <v>260</v>
      </c>
      <c r="O244" s="96">
        <v>645</v>
      </c>
      <c r="P244" s="52">
        <v>-5.3E-3</v>
      </c>
      <c r="Q244" s="52">
        <v>6.4399999999999999E-2</v>
      </c>
      <c r="R244" s="57">
        <f t="shared" si="175"/>
        <v>-5.314557355173357E-3</v>
      </c>
      <c r="S244" s="57">
        <f t="shared" si="176"/>
        <v>-0.13333333333333333</v>
      </c>
      <c r="T244" s="57">
        <f t="shared" si="177"/>
        <v>0</v>
      </c>
      <c r="U244" s="57">
        <f t="shared" si="178"/>
        <v>-1.3899999999999999E-2</v>
      </c>
      <c r="V244" s="58">
        <f t="shared" si="179"/>
        <v>-5.6000000000000077E-3</v>
      </c>
    </row>
    <row r="245" spans="1:26">
      <c r="A245" s="136">
        <v>8</v>
      </c>
      <c r="B245" s="137" t="s">
        <v>267</v>
      </c>
      <c r="C245" s="138" t="s">
        <v>268</v>
      </c>
      <c r="D245" s="94">
        <v>77331432.319999993</v>
      </c>
      <c r="E245" s="95">
        <f t="shared" si="173"/>
        <v>5.5607735937827658E-3</v>
      </c>
      <c r="F245" s="91">
        <v>22.39</v>
      </c>
      <c r="G245" s="91">
        <v>22.49</v>
      </c>
      <c r="H245" s="96">
        <v>88</v>
      </c>
      <c r="I245" s="52">
        <v>7.6300000000000007E-2</v>
      </c>
      <c r="J245" s="52">
        <v>0.189</v>
      </c>
      <c r="K245" s="94">
        <v>80018013.640000001</v>
      </c>
      <c r="L245" s="95">
        <f t="shared" si="174"/>
        <v>5.894923340263097E-3</v>
      </c>
      <c r="M245" s="91">
        <v>22.88</v>
      </c>
      <c r="N245" s="91">
        <v>22.98</v>
      </c>
      <c r="O245" s="96">
        <v>89</v>
      </c>
      <c r="P245" s="52">
        <v>0</v>
      </c>
      <c r="Q245" s="52">
        <v>0.189</v>
      </c>
      <c r="R245" s="57">
        <f t="shared" si="175"/>
        <v>3.4741129698501468E-2</v>
      </c>
      <c r="S245" s="57">
        <f t="shared" si="176"/>
        <v>2.1787461093819564E-2</v>
      </c>
      <c r="T245" s="57">
        <f t="shared" si="177"/>
        <v>1.1363636363636364E-2</v>
      </c>
      <c r="U245" s="57">
        <f t="shared" si="178"/>
        <v>-7.6300000000000007E-2</v>
      </c>
      <c r="V245" s="58">
        <f t="shared" si="179"/>
        <v>0</v>
      </c>
    </row>
    <row r="246" spans="1:26">
      <c r="A246" s="136">
        <v>9</v>
      </c>
      <c r="B246" s="137" t="s">
        <v>269</v>
      </c>
      <c r="C246" s="138" t="s">
        <v>268</v>
      </c>
      <c r="D246" s="97">
        <v>756300101.25</v>
      </c>
      <c r="E246" s="95">
        <f t="shared" si="173"/>
        <v>5.4384271774551719E-2</v>
      </c>
      <c r="F246" s="91">
        <v>11.69</v>
      </c>
      <c r="G246" s="91">
        <v>11.79</v>
      </c>
      <c r="H246" s="96">
        <v>129</v>
      </c>
      <c r="I246" s="52">
        <v>0</v>
      </c>
      <c r="J246" s="52">
        <v>8.2600000000000007E-2</v>
      </c>
      <c r="K246" s="97">
        <v>747936083.89999998</v>
      </c>
      <c r="L246" s="95">
        <f t="shared" si="174"/>
        <v>5.5100416486758071E-2</v>
      </c>
      <c r="M246" s="91">
        <v>11.51</v>
      </c>
      <c r="N246" s="91">
        <v>11.61</v>
      </c>
      <c r="O246" s="96">
        <v>131</v>
      </c>
      <c r="P246" s="52">
        <v>1.6899999999999998E-2</v>
      </c>
      <c r="Q246" s="52">
        <v>0.1009</v>
      </c>
      <c r="R246" s="57">
        <f t="shared" si="175"/>
        <v>-1.1059124990431863E-2</v>
      </c>
      <c r="S246" s="57">
        <f t="shared" si="176"/>
        <v>-1.5267175572519061E-2</v>
      </c>
      <c r="T246" s="57">
        <f t="shared" si="177"/>
        <v>1.5503875968992248E-2</v>
      </c>
      <c r="U246" s="57">
        <f t="shared" si="178"/>
        <v>1.6899999999999998E-2</v>
      </c>
      <c r="V246" s="58">
        <f t="shared" si="179"/>
        <v>1.8299999999999997E-2</v>
      </c>
    </row>
    <row r="247" spans="1:26" ht="15" customHeight="1">
      <c r="A247" s="136">
        <v>10</v>
      </c>
      <c r="B247" s="137" t="s">
        <v>270</v>
      </c>
      <c r="C247" s="138" t="s">
        <v>268</v>
      </c>
      <c r="D247" s="94">
        <v>96252352.140000001</v>
      </c>
      <c r="E247" s="95">
        <f t="shared" si="173"/>
        <v>6.9213452028763891E-3</v>
      </c>
      <c r="F247" s="91">
        <v>131.56</v>
      </c>
      <c r="G247" s="91">
        <v>133.56</v>
      </c>
      <c r="H247" s="96">
        <v>309</v>
      </c>
      <c r="I247" s="52">
        <v>4.3099999999999999E-2</v>
      </c>
      <c r="J247" s="52">
        <v>0.12740000000000001</v>
      </c>
      <c r="K247" s="94">
        <v>96297543.890000001</v>
      </c>
      <c r="L247" s="95">
        <f t="shared" si="174"/>
        <v>7.0942355760178679E-3</v>
      </c>
      <c r="M247" s="91">
        <v>131.62</v>
      </c>
      <c r="N247" s="91">
        <v>133.62</v>
      </c>
      <c r="O247" s="96">
        <v>308</v>
      </c>
      <c r="P247" s="52">
        <v>0.1527</v>
      </c>
      <c r="Q247" s="52">
        <v>0.29959999999999998</v>
      </c>
      <c r="R247" s="57">
        <f t="shared" si="175"/>
        <v>4.6951320144642439E-4</v>
      </c>
      <c r="S247" s="57">
        <f t="shared" si="176"/>
        <v>4.4923629829291906E-4</v>
      </c>
      <c r="T247" s="57">
        <f t="shared" si="177"/>
        <v>-3.2362459546925568E-3</v>
      </c>
      <c r="U247" s="57">
        <f t="shared" si="178"/>
        <v>0.1096</v>
      </c>
      <c r="V247" s="58">
        <f t="shared" si="179"/>
        <v>0.17219999999999996</v>
      </c>
    </row>
    <row r="248" spans="1:26">
      <c r="A248" s="136">
        <v>11</v>
      </c>
      <c r="B248" s="137" t="s">
        <v>271</v>
      </c>
      <c r="C248" s="138" t="s">
        <v>268</v>
      </c>
      <c r="D248" s="94">
        <v>5745942559.0299997</v>
      </c>
      <c r="E248" s="95">
        <f t="shared" si="173"/>
        <v>0.41318109202256398</v>
      </c>
      <c r="F248" s="91">
        <v>40.74</v>
      </c>
      <c r="G248" s="91">
        <v>40.94</v>
      </c>
      <c r="H248" s="96">
        <v>302</v>
      </c>
      <c r="I248" s="52">
        <v>7.4999999999999997E-3</v>
      </c>
      <c r="J248" s="52">
        <v>7.7100000000000002E-2</v>
      </c>
      <c r="K248" s="94">
        <v>5731160904.6499996</v>
      </c>
      <c r="L248" s="95">
        <f t="shared" si="174"/>
        <v>0.42221435707741783</v>
      </c>
      <c r="M248" s="91">
        <v>40.54</v>
      </c>
      <c r="N248" s="91">
        <v>40.74</v>
      </c>
      <c r="O248" s="96">
        <v>304</v>
      </c>
      <c r="P248" s="52">
        <v>-7.4000000000000003E-3</v>
      </c>
      <c r="Q248" s="52">
        <v>6.9099999999999995E-2</v>
      </c>
      <c r="R248" s="57">
        <f t="shared" si="175"/>
        <v>-2.5725377913446246E-3</v>
      </c>
      <c r="S248" s="57">
        <f t="shared" si="176"/>
        <v>-4.8851978505128416E-3</v>
      </c>
      <c r="T248" s="57">
        <f t="shared" si="177"/>
        <v>6.6225165562913907E-3</v>
      </c>
      <c r="U248" s="57">
        <f t="shared" si="178"/>
        <v>-1.49E-2</v>
      </c>
      <c r="V248" s="58">
        <f t="shared" si="179"/>
        <v>-8.0000000000000071E-3</v>
      </c>
    </row>
    <row r="249" spans="1:26">
      <c r="A249" s="136">
        <v>12</v>
      </c>
      <c r="B249" s="137" t="s">
        <v>272</v>
      </c>
      <c r="C249" s="138" t="s">
        <v>268</v>
      </c>
      <c r="D249" s="97">
        <v>59944862.508000001</v>
      </c>
      <c r="E249" s="95">
        <f t="shared" si="173"/>
        <v>4.3105345202718338E-3</v>
      </c>
      <c r="F249" s="91">
        <v>33.99</v>
      </c>
      <c r="G249" s="91">
        <v>34.19</v>
      </c>
      <c r="H249" s="96">
        <v>78</v>
      </c>
      <c r="I249" s="52">
        <v>-2.53E-2</v>
      </c>
      <c r="J249" s="52">
        <v>-3.2300000000000002E-2</v>
      </c>
      <c r="K249" s="97">
        <v>60227026.163000003</v>
      </c>
      <c r="L249" s="95">
        <f t="shared" si="174"/>
        <v>4.4369222140429147E-3</v>
      </c>
      <c r="M249" s="91">
        <v>34.229999999999997</v>
      </c>
      <c r="N249" s="91">
        <v>34.43</v>
      </c>
      <c r="O249" s="96">
        <v>79</v>
      </c>
      <c r="P249" s="52">
        <v>0</v>
      </c>
      <c r="Q249" s="52">
        <v>-3.2300000000000002E-2</v>
      </c>
      <c r="R249" s="57">
        <f t="shared" si="175"/>
        <v>4.7070531684403269E-3</v>
      </c>
      <c r="S249" s="57">
        <f t="shared" si="176"/>
        <v>7.0195963732085989E-3</v>
      </c>
      <c r="T249" s="57">
        <f t="shared" si="177"/>
        <v>1.282051282051282E-2</v>
      </c>
      <c r="U249" s="57">
        <f t="shared" si="178"/>
        <v>2.53E-2</v>
      </c>
      <c r="V249" s="58">
        <f t="shared" si="179"/>
        <v>0</v>
      </c>
    </row>
    <row r="250" spans="1:26">
      <c r="A250" s="129"/>
      <c r="B250" s="129"/>
      <c r="C250" s="130" t="s">
        <v>273</v>
      </c>
      <c r="D250" s="90">
        <f>SUM(D238:D249)</f>
        <v>13906596090.597998</v>
      </c>
      <c r="E250" s="92"/>
      <c r="F250" s="92"/>
      <c r="G250" s="93"/>
      <c r="H250" s="90">
        <f>SUM(H238:H249)</f>
        <v>3038</v>
      </c>
      <c r="I250" s="113"/>
      <c r="J250" s="113"/>
      <c r="K250" s="90">
        <f>SUM(K238:K249)</f>
        <v>13574054999.743</v>
      </c>
      <c r="L250" s="92"/>
      <c r="M250" s="92"/>
      <c r="N250" s="93"/>
      <c r="O250" s="90">
        <f>SUM(O238:O249)</f>
        <v>3043</v>
      </c>
      <c r="P250" s="113"/>
      <c r="Q250" s="113"/>
      <c r="R250" s="57">
        <f t="shared" si="175"/>
        <v>-2.3912472087962832E-2</v>
      </c>
      <c r="S250" s="57" t="e">
        <f t="shared" si="176"/>
        <v>#DIV/0!</v>
      </c>
      <c r="T250" s="57">
        <f t="shared" si="177"/>
        <v>1.6458196181698486E-3</v>
      </c>
      <c r="U250" s="57">
        <f t="shared" si="178"/>
        <v>0</v>
      </c>
      <c r="V250" s="58">
        <f t="shared" si="179"/>
        <v>0</v>
      </c>
      <c r="Z250" s="65"/>
    </row>
    <row r="251" spans="1:26">
      <c r="A251" s="98"/>
      <c r="B251" s="98"/>
      <c r="C251" s="99" t="s">
        <v>274</v>
      </c>
      <c r="D251" s="100">
        <f>SUM(D223,D230,D235,D250)</f>
        <v>5762297342302.5898</v>
      </c>
      <c r="E251" s="101"/>
      <c r="F251" s="101"/>
      <c r="G251" s="102"/>
      <c r="H251" s="100">
        <f>SUM(H223,H230,H235,H250)</f>
        <v>887955</v>
      </c>
      <c r="I251" s="114"/>
      <c r="J251" s="114"/>
      <c r="K251" s="100">
        <f>SUM(K223,K230,K235,K250)</f>
        <v>5776261851032.1152</v>
      </c>
      <c r="L251" s="101"/>
      <c r="M251" s="101"/>
      <c r="N251" s="100"/>
      <c r="O251" s="100">
        <f>SUM(O223,O230,O235,O250)</f>
        <v>892409</v>
      </c>
      <c r="P251" s="115"/>
      <c r="Q251" s="100"/>
      <c r="R251" s="121"/>
      <c r="S251" s="122"/>
      <c r="T251" s="122"/>
      <c r="U251" s="123"/>
      <c r="V251" s="123"/>
      <c r="Z251" s="65"/>
    </row>
    <row r="252" spans="1:26">
      <c r="A252" s="103" t="s">
        <v>275</v>
      </c>
      <c r="B252" s="127" t="s">
        <v>323</v>
      </c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</row>
    <row r="253" spans="1:26">
      <c r="B253" s="126"/>
    </row>
    <row r="254" spans="1:26">
      <c r="B254" s="126"/>
      <c r="C254" s="105"/>
      <c r="D254" s="106"/>
      <c r="K254" s="106"/>
    </row>
    <row r="255" spans="1:26" ht="15">
      <c r="B255" s="107"/>
      <c r="C255" s="108"/>
      <c r="D255" s="109"/>
      <c r="F255" s="110"/>
      <c r="G255" s="110"/>
      <c r="I255" s="116"/>
      <c r="J255" s="117"/>
    </row>
    <row r="258" spans="2:2">
      <c r="B258" s="105"/>
    </row>
  </sheetData>
  <sheetProtection algorithmName="SHA-512" hashValue="BnT5rsrJYWzm86/eJAm9eMo0xlPfhnlJCBuQIiXWPpt4pUj2vtbBXT4GiNnGQB9HTC0sEr09hAzgAAy2zqMK1g==" saltValue="hA6LlLhgcsc97QE5vgjfAA==" spinCount="100000" sheet="1" objects="1" scenarios="1"/>
  <sortState ref="A150:C177">
    <sortCondition descending="1" ref="A149"/>
  </sortState>
  <mergeCells count="34">
    <mergeCell ref="A225:V225"/>
    <mergeCell ref="A232:V232"/>
    <mergeCell ref="B236:V236"/>
    <mergeCell ref="A237:V237"/>
    <mergeCell ref="B202:V202"/>
    <mergeCell ref="A203:V203"/>
    <mergeCell ref="B217:V217"/>
    <mergeCell ref="A218:V218"/>
    <mergeCell ref="B224:U224"/>
    <mergeCell ref="B192:V192"/>
    <mergeCell ref="A193:V193"/>
    <mergeCell ref="B197:V197"/>
    <mergeCell ref="A198:V198"/>
    <mergeCell ref="A199:V199"/>
    <mergeCell ref="A132:V132"/>
    <mergeCell ref="B151:V151"/>
    <mergeCell ref="A152:V152"/>
    <mergeCell ref="B160:V160"/>
    <mergeCell ref="A161:V161"/>
    <mergeCell ref="A72:V72"/>
    <mergeCell ref="B111:V111"/>
    <mergeCell ref="A112:V112"/>
    <mergeCell ref="A113:V113"/>
    <mergeCell ref="B131:V131"/>
    <mergeCell ref="B4:V4"/>
    <mergeCell ref="A5:V5"/>
    <mergeCell ref="B26:V26"/>
    <mergeCell ref="A27:V27"/>
    <mergeCell ref="B71:V71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6 E96 E77 L49 E49 L34 E34 L136 E136" formula="1"/>
    <ignoredError sqref="S159 S25 T39 S70 S110 S150 S191 S196 S222 S250 T233:T234 R50:T50 R136 T170 R125:T125 R46:T46" evalError="1"/>
    <ignoredError sqref="I122 P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zoomScaleNormal="100" workbookViewId="0">
      <selection activeCell="F8" sqref="F8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6">
      <c r="A1" s="170"/>
      <c r="B1" s="170"/>
      <c r="C1" s="170"/>
      <c r="D1" s="170"/>
      <c r="E1" s="19"/>
      <c r="F1" s="19"/>
    </row>
    <row r="2" spans="1:6" ht="27.6">
      <c r="A2" s="173" t="s">
        <v>276</v>
      </c>
      <c r="B2" s="174" t="s">
        <v>320</v>
      </c>
      <c r="C2" s="174" t="s">
        <v>324</v>
      </c>
      <c r="D2" s="175"/>
      <c r="E2" s="19"/>
      <c r="F2" s="19"/>
    </row>
    <row r="3" spans="1:6">
      <c r="A3" s="176" t="s">
        <v>17</v>
      </c>
      <c r="B3" s="177">
        <f t="shared" ref="B3:C10" si="0">B13</f>
        <v>40.696491951950001</v>
      </c>
      <c r="C3" s="177">
        <f t="shared" si="0"/>
        <v>41.222274085630005</v>
      </c>
      <c r="D3" s="175"/>
      <c r="E3" s="19"/>
      <c r="F3" s="19"/>
    </row>
    <row r="4" spans="1:6" ht="15.6" customHeight="1">
      <c r="A4" s="173" t="s">
        <v>54</v>
      </c>
      <c r="B4" s="178">
        <f t="shared" si="0"/>
        <v>2909.6231609978463</v>
      </c>
      <c r="C4" s="178">
        <f t="shared" si="0"/>
        <v>2955.9693523233309</v>
      </c>
      <c r="D4" s="175"/>
      <c r="E4" s="19"/>
      <c r="F4" s="19"/>
    </row>
    <row r="5" spans="1:6" ht="16.2" customHeight="1">
      <c r="A5" s="173" t="s">
        <v>277</v>
      </c>
      <c r="B5" s="177">
        <f t="shared" si="0"/>
        <v>208.4014383832999</v>
      </c>
      <c r="C5" s="177">
        <f t="shared" si="0"/>
        <v>209.02576994379046</v>
      </c>
      <c r="D5" s="175"/>
      <c r="E5" s="19"/>
      <c r="F5" s="19"/>
    </row>
    <row r="6" spans="1:6">
      <c r="A6" s="173" t="s">
        <v>156</v>
      </c>
      <c r="B6" s="178">
        <f t="shared" si="0"/>
        <v>1962.9013576768562</v>
      </c>
      <c r="C6" s="178">
        <f t="shared" si="0"/>
        <v>1929.0736044407038</v>
      </c>
      <c r="D6" s="175"/>
      <c r="E6" s="19"/>
      <c r="F6" s="19"/>
    </row>
    <row r="7" spans="1:6">
      <c r="A7" s="173" t="s">
        <v>278</v>
      </c>
      <c r="B7" s="177">
        <f t="shared" si="0"/>
        <v>353.91335561599237</v>
      </c>
      <c r="C7" s="177">
        <f t="shared" si="0"/>
        <v>354.56749831510615</v>
      </c>
      <c r="D7" s="175"/>
      <c r="E7" s="19"/>
      <c r="F7" s="19"/>
    </row>
    <row r="8" spans="1:6">
      <c r="A8" s="173" t="s">
        <v>193</v>
      </c>
      <c r="B8" s="179">
        <f t="shared" si="0"/>
        <v>60.537200481561918</v>
      </c>
      <c r="C8" s="179">
        <f t="shared" si="0"/>
        <v>60.839325442612612</v>
      </c>
      <c r="D8" s="175"/>
      <c r="E8" s="19"/>
      <c r="F8" s="19"/>
    </row>
    <row r="9" spans="1:6">
      <c r="A9" s="173" t="s">
        <v>224</v>
      </c>
      <c r="B9" s="177">
        <f t="shared" si="0"/>
        <v>5.9339424990900005</v>
      </c>
      <c r="C9" s="177">
        <f t="shared" si="0"/>
        <v>5.9937269722400002</v>
      </c>
      <c r="D9" s="175"/>
      <c r="E9" s="19"/>
      <c r="F9" s="19"/>
    </row>
    <row r="10" spans="1:6">
      <c r="A10" s="173" t="s">
        <v>279</v>
      </c>
      <c r="B10" s="177">
        <f t="shared" si="0"/>
        <v>58.754155718644668</v>
      </c>
      <c r="C10" s="177">
        <f t="shared" si="0"/>
        <v>58.096299884927959</v>
      </c>
      <c r="D10" s="175"/>
      <c r="E10" s="19"/>
      <c r="F10" s="19"/>
    </row>
    <row r="11" spans="1:6">
      <c r="A11" s="173"/>
      <c r="B11" s="177"/>
      <c r="C11" s="177"/>
      <c r="D11" s="175"/>
      <c r="E11" s="19"/>
      <c r="F11" s="19"/>
    </row>
    <row r="12" spans="1:6">
      <c r="A12" s="170"/>
      <c r="B12" s="170"/>
      <c r="C12" s="170"/>
      <c r="D12" s="170"/>
      <c r="E12" s="19"/>
      <c r="F12" s="19"/>
    </row>
    <row r="13" spans="1:6">
      <c r="A13" s="180" t="s">
        <v>17</v>
      </c>
      <c r="B13" s="181">
        <f>'Weekly Valuation'!D25/1000000000</f>
        <v>40.696491951950001</v>
      </c>
      <c r="C13" s="182">
        <f>'Weekly Valuation'!K25/1000000000</f>
        <v>41.222274085630005</v>
      </c>
      <c r="D13" s="170"/>
      <c r="E13" s="19"/>
      <c r="F13" s="19"/>
    </row>
    <row r="14" spans="1:6">
      <c r="A14" s="183" t="s">
        <v>54</v>
      </c>
      <c r="B14" s="181">
        <f>'Weekly Valuation'!D70/1000000000</f>
        <v>2909.6231609978463</v>
      </c>
      <c r="C14" s="184">
        <f>'Weekly Valuation'!K70/1000000000</f>
        <v>2955.9693523233309</v>
      </c>
      <c r="D14" s="170"/>
      <c r="E14" s="19"/>
      <c r="F14" s="19"/>
    </row>
    <row r="15" spans="1:6">
      <c r="A15" s="183" t="s">
        <v>277</v>
      </c>
      <c r="B15" s="181">
        <f>'Weekly Valuation'!D110/1000000000</f>
        <v>208.4014383832999</v>
      </c>
      <c r="C15" s="182">
        <f>'Weekly Valuation'!K110/1000000000</f>
        <v>209.02576994379046</v>
      </c>
      <c r="D15" s="170"/>
      <c r="E15" s="19"/>
      <c r="F15" s="19"/>
    </row>
    <row r="16" spans="1:6">
      <c r="A16" s="183" t="s">
        <v>156</v>
      </c>
      <c r="B16" s="181">
        <f>'Weekly Valuation'!D150/1000000000</f>
        <v>1962.9013576768562</v>
      </c>
      <c r="C16" s="184">
        <f>'Weekly Valuation'!K150/1000000000</f>
        <v>1929.0736044407038</v>
      </c>
      <c r="D16" s="170"/>
      <c r="E16" s="19"/>
      <c r="F16" s="19"/>
    </row>
    <row r="17" spans="1:6">
      <c r="A17" s="183" t="s">
        <v>278</v>
      </c>
      <c r="B17" s="181">
        <f>'Weekly Valuation'!D159/1000000000</f>
        <v>353.91335561599237</v>
      </c>
      <c r="C17" s="182">
        <f>'Weekly Valuation'!K159/1000000000</f>
        <v>354.56749831510615</v>
      </c>
      <c r="D17" s="170"/>
      <c r="E17" s="19"/>
      <c r="F17" s="19"/>
    </row>
    <row r="18" spans="1:6">
      <c r="A18" s="183" t="s">
        <v>193</v>
      </c>
      <c r="B18" s="181">
        <f>'Weekly Valuation'!D191/1000000000</f>
        <v>60.537200481561918</v>
      </c>
      <c r="C18" s="185">
        <f>'Weekly Valuation'!K191/1000000000</f>
        <v>60.839325442612612</v>
      </c>
      <c r="D18" s="170"/>
      <c r="E18" s="19"/>
      <c r="F18" s="19"/>
    </row>
    <row r="19" spans="1:6">
      <c r="A19" s="183" t="s">
        <v>224</v>
      </c>
      <c r="B19" s="181">
        <f>'Weekly Valuation'!D196/1000000000</f>
        <v>5.9339424990900005</v>
      </c>
      <c r="C19" s="182">
        <f>'Weekly Valuation'!K196/1000000000</f>
        <v>5.9937269722400002</v>
      </c>
      <c r="D19" s="170"/>
      <c r="E19" s="19"/>
      <c r="F19" s="19"/>
    </row>
    <row r="20" spans="1:6">
      <c r="A20" s="183" t="s">
        <v>279</v>
      </c>
      <c r="B20" s="181">
        <f>'Weekly Valuation'!D222/1000000000</f>
        <v>58.754155718644668</v>
      </c>
      <c r="C20" s="182">
        <f>'Weekly Valuation'!K222/1000000000</f>
        <v>58.096299884927959</v>
      </c>
      <c r="D20" s="170"/>
      <c r="E20" s="19"/>
      <c r="F20" s="19"/>
    </row>
    <row r="21" spans="1:6">
      <c r="A21" s="166"/>
      <c r="B21" s="170"/>
      <c r="C21" s="169"/>
      <c r="D21" s="170"/>
      <c r="E21" s="19"/>
      <c r="F21" s="19"/>
    </row>
    <row r="22" spans="1:6">
      <c r="A22" s="166"/>
      <c r="B22" s="170"/>
      <c r="C22" s="167"/>
      <c r="D22" s="170"/>
      <c r="E22" s="19"/>
      <c r="F22" s="19"/>
    </row>
    <row r="23" spans="1:6">
      <c r="A23" s="186"/>
      <c r="B23" s="172"/>
      <c r="C23" s="168"/>
      <c r="D23" s="19"/>
      <c r="E23" s="19"/>
      <c r="F23" s="19"/>
    </row>
    <row r="24" spans="1:6">
      <c r="A24" s="186"/>
      <c r="B24" s="172"/>
      <c r="C24" s="172"/>
      <c r="D24" s="19"/>
      <c r="E24" s="19"/>
      <c r="F24" s="19"/>
    </row>
    <row r="25" spans="1:6">
      <c r="A25" s="21"/>
      <c r="B25" s="22"/>
      <c r="C25" s="22"/>
      <c r="D25" s="15"/>
      <c r="E25" s="15"/>
      <c r="F25" s="15"/>
    </row>
    <row r="26" spans="1:6">
      <c r="A26" s="21"/>
      <c r="B26" s="22"/>
      <c r="C26" s="22"/>
      <c r="D26" s="15"/>
      <c r="E26" s="15"/>
      <c r="F26" s="15"/>
    </row>
    <row r="27" spans="1:6">
      <c r="A27" s="21"/>
      <c r="B27" s="22"/>
      <c r="C27" s="22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5"/>
      <c r="B29" s="15"/>
      <c r="C29" s="15"/>
      <c r="D29" s="15"/>
      <c r="E29" s="15"/>
      <c r="F29" s="15"/>
    </row>
  </sheetData>
  <sheetProtection algorithmName="SHA-512" hashValue="UrbHCdeOCcMbMyqKnegzk3VEZuJy0/GRrnVRVXYgczWkZUEHgUtg3nguYRo3uYAFNzU6roYgdW7wqtZ/C6XmEw==" saltValue="+98sMErqusHAJgdjkPLyY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12" sqref="I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4" t="s">
        <v>276</v>
      </c>
      <c r="B1" s="165">
        <v>45800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6" t="s">
        <v>224</v>
      </c>
      <c r="B2" s="167">
        <f>'Weekly Valuation'!K196</f>
        <v>5993726972.2399998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6" t="s">
        <v>17</v>
      </c>
      <c r="B3" s="167">
        <f>'Weekly Valuation'!K25</f>
        <v>41222274085.630005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6" t="s">
        <v>279</v>
      </c>
      <c r="B4" s="168">
        <f>'Weekly Valuation'!K222</f>
        <v>58096299884.927956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6" t="s">
        <v>193</v>
      </c>
      <c r="B5" s="167">
        <f>'Weekly Valuation'!K191</f>
        <v>60839325442.61261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6" t="s">
        <v>278</v>
      </c>
      <c r="B6" s="167">
        <f>'Weekly Valuation'!K159</f>
        <v>354567498315.10614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6" t="s">
        <v>277</v>
      </c>
      <c r="B7" s="167">
        <f>'Weekly Valuation'!K110</f>
        <v>209025769943.79047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6" t="s">
        <v>156</v>
      </c>
      <c r="B8" s="169">
        <f>'Weekly Valuation'!K150</f>
        <v>1929073604440.7039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6" t="s">
        <v>54</v>
      </c>
      <c r="B9" s="169">
        <f>'Weekly Valuation'!K70</f>
        <v>2955969352323.3311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0"/>
      <c r="B10" s="170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6"/>
      <c r="B11" s="171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6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2"/>
      <c r="B13" s="172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72"/>
      <c r="B14" s="172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66"/>
      <c r="B15" s="168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22"/>
      <c r="B16" s="2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22"/>
      <c r="B17" s="2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9"/>
      <c r="B18" s="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9"/>
      <c r="B19" s="13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9"/>
      <c r="B20" s="13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21"/>
      <c r="B21" s="13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20"/>
    </row>
    <row r="33" spans="1:17" ht="15" customHeight="1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20"/>
    </row>
  </sheetData>
  <sheetProtection algorithmName="SHA-512" hashValue="fLnAr68N4Vzvq8CZJExHA3q921DoF4MnfCJ7x2bCPb4Bw4uLTylaC9FED7Z+bJ3+u0BNHbyAUOoM1bwRZL3pXA==" saltValue="YtUXh2f3jZVyK+HHdY2uX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E9" sqref="E9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59" t="s">
        <v>280</v>
      </c>
      <c r="B2" s="160">
        <v>45751</v>
      </c>
      <c r="C2" s="160">
        <v>45758</v>
      </c>
      <c r="D2" s="160">
        <v>45764</v>
      </c>
      <c r="E2" s="160">
        <v>45772</v>
      </c>
      <c r="F2" s="160">
        <v>45779</v>
      </c>
      <c r="G2" s="160">
        <v>45786</v>
      </c>
      <c r="H2" s="160">
        <v>45793</v>
      </c>
      <c r="I2" s="160">
        <v>45800</v>
      </c>
      <c r="J2" s="19"/>
      <c r="K2" s="19"/>
      <c r="L2" s="15"/>
      <c r="M2" s="15"/>
    </row>
    <row r="3" spans="1:13">
      <c r="A3" s="159" t="s">
        <v>281</v>
      </c>
      <c r="B3" s="161">
        <f t="shared" ref="B3:I3" si="0">B4</f>
        <v>4920.9783287926193</v>
      </c>
      <c r="C3" s="161">
        <f t="shared" si="0"/>
        <v>5027.3059345650499</v>
      </c>
      <c r="D3" s="161">
        <f t="shared" si="0"/>
        <v>5068.1363340060261</v>
      </c>
      <c r="E3" s="161">
        <f t="shared" si="0"/>
        <v>5133.5118080609327</v>
      </c>
      <c r="F3" s="161">
        <f t="shared" si="0"/>
        <v>5212.4190322973518</v>
      </c>
      <c r="G3" s="161">
        <f t="shared" si="0"/>
        <v>5297.7036669070822</v>
      </c>
      <c r="H3" s="161">
        <f t="shared" si="0"/>
        <v>5600.7611033252406</v>
      </c>
      <c r="I3" s="161">
        <f t="shared" si="0"/>
        <v>5614.7878514083422</v>
      </c>
      <c r="J3" s="19"/>
      <c r="K3" s="19"/>
      <c r="L3" s="15"/>
      <c r="M3" s="15"/>
    </row>
    <row r="4" spans="1:13">
      <c r="A4" s="19"/>
      <c r="B4" s="162">
        <f>'NAV Trend'!C10/1000000000</f>
        <v>4920.9783287926193</v>
      </c>
      <c r="C4" s="162">
        <f>'NAV Trend'!D10/1000000000</f>
        <v>5027.3059345650499</v>
      </c>
      <c r="D4" s="162">
        <f>'NAV Trend'!E10/1000000000</f>
        <v>5068.1363340060261</v>
      </c>
      <c r="E4" s="162">
        <f>'NAV Trend'!F10/1000000000</f>
        <v>5133.5118080609327</v>
      </c>
      <c r="F4" s="162">
        <f>'NAV Trend'!G10/1000000000</f>
        <v>5212.4190322973518</v>
      </c>
      <c r="G4" s="162">
        <f>'NAV Trend'!H10/1000000000</f>
        <v>5297.7036669070822</v>
      </c>
      <c r="H4" s="163">
        <f>'NAV Trend'!I10/1000000000</f>
        <v>5600.7611033252406</v>
      </c>
      <c r="I4" s="163">
        <f>'NAV Trend'!J10/1000000000</f>
        <v>5614.7878514083422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40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40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40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40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40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40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40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RFyAYAevLvGpRQbYrrMBOTFuNW5lNz75EHGZmSL01/9KN/IIIVcE1NiC8eYcL6ZN0Y2D9d3phXWohhrM6SdFYg==" saltValue="FCx5Wcp3BImiBw/vd2Uc9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9" sqref="F9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9"/>
      <c r="N1" s="15"/>
    </row>
    <row r="2" spans="1:14">
      <c r="A2" s="159" t="s">
        <v>280</v>
      </c>
      <c r="B2" s="160">
        <v>45751</v>
      </c>
      <c r="C2" s="160">
        <v>45758</v>
      </c>
      <c r="D2" s="160">
        <v>45764</v>
      </c>
      <c r="E2" s="160">
        <v>45772</v>
      </c>
      <c r="F2" s="160">
        <v>45779</v>
      </c>
      <c r="G2" s="160">
        <v>45786</v>
      </c>
      <c r="H2" s="160">
        <v>45793</v>
      </c>
      <c r="I2" s="160">
        <v>45800</v>
      </c>
      <c r="J2" s="19"/>
      <c r="K2" s="19"/>
      <c r="L2" s="15"/>
      <c r="M2" s="19"/>
      <c r="N2" s="15"/>
    </row>
    <row r="3" spans="1:14">
      <c r="A3" s="159" t="s">
        <v>282</v>
      </c>
      <c r="B3" s="161">
        <f t="shared" ref="B3:I3" si="0">B4</f>
        <v>13.252536997856778</v>
      </c>
      <c r="C3" s="161">
        <f t="shared" si="0"/>
        <v>13.325340046259999</v>
      </c>
      <c r="D3" s="161">
        <f t="shared" si="0"/>
        <v>13.257768084610001</v>
      </c>
      <c r="E3" s="161">
        <f t="shared" si="0"/>
        <v>13.511956801399998</v>
      </c>
      <c r="F3" s="161">
        <f t="shared" si="0"/>
        <v>13.564027253040001</v>
      </c>
      <c r="G3" s="161">
        <f t="shared" si="0"/>
        <v>13.89362105705</v>
      </c>
      <c r="H3" s="161">
        <f t="shared" si="0"/>
        <v>13.906596090597997</v>
      </c>
      <c r="I3" s="161">
        <f t="shared" si="0"/>
        <v>13.574054999743</v>
      </c>
      <c r="J3" s="19"/>
      <c r="K3" s="19"/>
      <c r="L3" s="15"/>
      <c r="M3" s="19"/>
      <c r="N3" s="15"/>
    </row>
    <row r="4" spans="1:14">
      <c r="A4" s="19"/>
      <c r="B4" s="162">
        <f>'NAV Trend'!C16/1000000000</f>
        <v>13.252536997856778</v>
      </c>
      <c r="C4" s="162">
        <f>'NAV Trend'!D16/1000000000</f>
        <v>13.325340046259999</v>
      </c>
      <c r="D4" s="162">
        <f>'NAV Trend'!E16/1000000000</f>
        <v>13.257768084610001</v>
      </c>
      <c r="E4" s="162">
        <f>'NAV Trend'!F16/1000000000</f>
        <v>13.511956801399998</v>
      </c>
      <c r="F4" s="162">
        <f>'NAV Trend'!G16/1000000000</f>
        <v>13.564027253040001</v>
      </c>
      <c r="G4" s="162">
        <f>'NAV Trend'!H16/1000000000</f>
        <v>13.89362105705</v>
      </c>
      <c r="H4" s="162">
        <f>'NAV Trend'!I16/1000000000</f>
        <v>13.906596090597997</v>
      </c>
      <c r="I4" s="163">
        <f>'NAV Trend'!J16/1000000000</f>
        <v>13.574054999743</v>
      </c>
      <c r="J4" s="19"/>
      <c r="K4" s="19"/>
      <c r="L4" s="15"/>
      <c r="M4" s="19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9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9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0Uf5M2EyR9uI+y6PIbAgzlH6BIzXsZSU92aOLA7JLDni+iRUz5WN2HkUXlRcRorD2lIEBYn02RFXRXJWoEJUJA==" saltValue="FUBg3TsA57xxNwffZ99Vz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H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276</v>
      </c>
      <c r="B1" s="2">
        <v>45744</v>
      </c>
      <c r="C1" s="2">
        <v>45751</v>
      </c>
      <c r="D1" s="2">
        <v>45758</v>
      </c>
      <c r="E1" s="2">
        <v>45764</v>
      </c>
      <c r="F1" s="2">
        <v>45772</v>
      </c>
      <c r="G1" s="2">
        <v>45779</v>
      </c>
      <c r="H1" s="2">
        <v>45786</v>
      </c>
      <c r="I1" s="2">
        <v>45793</v>
      </c>
      <c r="J1" s="2">
        <v>45800</v>
      </c>
    </row>
    <row r="2" spans="1:11">
      <c r="A2" s="3" t="s">
        <v>17</v>
      </c>
      <c r="B2" s="4">
        <v>37656201173.972603</v>
      </c>
      <c r="C2" s="4">
        <v>37097805539.873703</v>
      </c>
      <c r="D2" s="4">
        <v>36611510201.959999</v>
      </c>
      <c r="E2" s="4">
        <v>36683565580.029999</v>
      </c>
      <c r="F2" s="4">
        <v>37720290975.739998</v>
      </c>
      <c r="G2" s="4">
        <v>38729991583.780006</v>
      </c>
      <c r="H2" s="4">
        <v>40052509206.349998</v>
      </c>
      <c r="I2" s="4">
        <v>40696491951.950005</v>
      </c>
      <c r="J2" s="4">
        <v>41222274085.630005</v>
      </c>
    </row>
    <row r="3" spans="1:11">
      <c r="A3" s="3" t="s">
        <v>54</v>
      </c>
      <c r="B3" s="4">
        <v>2481105692224.7939</v>
      </c>
      <c r="C3" s="4">
        <v>2556130628664.9053</v>
      </c>
      <c r="D3" s="4">
        <v>2628962377044.7275</v>
      </c>
      <c r="E3" s="4">
        <v>2676748756640.1934</v>
      </c>
      <c r="F3" s="4">
        <v>2723282785142.8521</v>
      </c>
      <c r="G3" s="4">
        <v>2781211975883.1699</v>
      </c>
      <c r="H3" s="4">
        <v>2849135060100.6763</v>
      </c>
      <c r="I3" s="4">
        <v>2909623160997.8462</v>
      </c>
      <c r="J3" s="4">
        <v>2955969352323.3311</v>
      </c>
    </row>
    <row r="4" spans="1:11">
      <c r="A4" s="3" t="s">
        <v>277</v>
      </c>
      <c r="B4" s="5">
        <v>198334798103.43573</v>
      </c>
      <c r="C4" s="5">
        <v>200662148582.12146</v>
      </c>
      <c r="D4" s="5">
        <v>208697208780.68359</v>
      </c>
      <c r="E4" s="5">
        <v>208401097853.44882</v>
      </c>
      <c r="F4" s="5">
        <v>208855945686.08514</v>
      </c>
      <c r="G4" s="5">
        <v>207828394902.42545</v>
      </c>
      <c r="H4" s="5">
        <v>208791291417.70242</v>
      </c>
      <c r="I4" s="5">
        <v>208401438383.2999</v>
      </c>
      <c r="J4" s="5">
        <v>209025769943.79047</v>
      </c>
    </row>
    <row r="5" spans="1:11">
      <c r="A5" s="3" t="s">
        <v>156</v>
      </c>
      <c r="B5" s="4">
        <v>1844962894751.3052</v>
      </c>
      <c r="C5" s="4">
        <v>1905436495754.9351</v>
      </c>
      <c r="D5" s="4">
        <v>1931287068703.0198</v>
      </c>
      <c r="E5" s="4">
        <v>1923487330363.6252</v>
      </c>
      <c r="F5" s="4">
        <v>1938221468200.9041</v>
      </c>
      <c r="G5" s="4">
        <v>1957941795296.7214</v>
      </c>
      <c r="H5" s="4">
        <v>1970845618406.8262</v>
      </c>
      <c r="I5" s="4">
        <v>1962901357676.8562</v>
      </c>
      <c r="J5" s="4">
        <v>1929073604440.7039</v>
      </c>
    </row>
    <row r="6" spans="1:11">
      <c r="A6" s="3" t="s">
        <v>278</v>
      </c>
      <c r="B6" s="6">
        <v>101362794513.52859</v>
      </c>
      <c r="C6" s="6">
        <v>101416084299.50922</v>
      </c>
      <c r="D6" s="6">
        <v>101448900231.00531</v>
      </c>
      <c r="E6" s="6">
        <v>101489098873.64462</v>
      </c>
      <c r="F6" s="6">
        <v>102301113357.0766</v>
      </c>
      <c r="G6" s="6">
        <v>102351541673.75938</v>
      </c>
      <c r="H6" s="6">
        <v>102440757490.53162</v>
      </c>
      <c r="I6" s="6">
        <v>353913355615.99237</v>
      </c>
      <c r="J6" s="6">
        <v>354567498315.10614</v>
      </c>
    </row>
    <row r="7" spans="1:11">
      <c r="A7" s="3" t="s">
        <v>193</v>
      </c>
      <c r="B7" s="7">
        <v>57062758533.043762</v>
      </c>
      <c r="C7" s="7">
        <v>57167466185.858185</v>
      </c>
      <c r="D7" s="7">
        <v>57125272136.110069</v>
      </c>
      <c r="E7" s="7">
        <v>57583359181.10791</v>
      </c>
      <c r="F7" s="7">
        <v>58607779909.068443</v>
      </c>
      <c r="G7" s="7">
        <v>59306649006.764648</v>
      </c>
      <c r="H7" s="7">
        <v>60348931993.098541</v>
      </c>
      <c r="I7" s="7">
        <v>60537200481.56192</v>
      </c>
      <c r="J7" s="7">
        <v>60839325442.61261</v>
      </c>
    </row>
    <row r="8" spans="1:11">
      <c r="A8" s="3" t="s">
        <v>224</v>
      </c>
      <c r="B8" s="6">
        <v>6677158300.1700001</v>
      </c>
      <c r="C8" s="6">
        <v>6808986112.6900005</v>
      </c>
      <c r="D8" s="6">
        <v>6789293199.9500008</v>
      </c>
      <c r="E8" s="6">
        <v>6651248992.7700005</v>
      </c>
      <c r="F8" s="6">
        <v>6859652223.0999994</v>
      </c>
      <c r="G8" s="6">
        <v>6938267747.5299997</v>
      </c>
      <c r="H8" s="6">
        <v>7090375954.5700006</v>
      </c>
      <c r="I8" s="6">
        <v>5933942499.0900002</v>
      </c>
      <c r="J8" s="6">
        <v>5993726972.2399998</v>
      </c>
    </row>
    <row r="9" spans="1:11">
      <c r="A9" s="3" t="s">
        <v>279</v>
      </c>
      <c r="B9" s="6">
        <v>56291328983.646774</v>
      </c>
      <c r="C9" s="6">
        <v>56258713652.725334</v>
      </c>
      <c r="D9" s="6">
        <v>56384304267.594231</v>
      </c>
      <c r="E9" s="6">
        <v>57091876521.208221</v>
      </c>
      <c r="F9" s="6">
        <v>57662772566.107521</v>
      </c>
      <c r="G9" s="6">
        <v>58110416203.200249</v>
      </c>
      <c r="H9" s="6">
        <v>58999122337.327522</v>
      </c>
      <c r="I9" s="6">
        <v>58754155718.644669</v>
      </c>
      <c r="J9" s="6">
        <v>58096299884.927956</v>
      </c>
    </row>
    <row r="10" spans="1:11" ht="15.6">
      <c r="A10" s="8" t="s">
        <v>283</v>
      </c>
      <c r="B10" s="9">
        <f t="shared" ref="B10:J10" si="0">SUM(B2:B9)</f>
        <v>4783453626583.8965</v>
      </c>
      <c r="C10" s="9">
        <f t="shared" si="0"/>
        <v>4920978328792.6191</v>
      </c>
      <c r="D10" s="9">
        <f t="shared" si="0"/>
        <v>5027305934565.0498</v>
      </c>
      <c r="E10" s="9">
        <f t="shared" si="0"/>
        <v>5068136334006.0264</v>
      </c>
      <c r="F10" s="9">
        <f t="shared" si="0"/>
        <v>5133511808060.9326</v>
      </c>
      <c r="G10" s="9">
        <f t="shared" si="0"/>
        <v>5212419032297.3516</v>
      </c>
      <c r="H10" s="9">
        <f t="shared" si="0"/>
        <v>5297703666907.082</v>
      </c>
      <c r="I10" s="9">
        <f t="shared" si="0"/>
        <v>5600761103325.2402</v>
      </c>
      <c r="J10" s="9">
        <f t="shared" si="0"/>
        <v>5614787851408.3418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284</v>
      </c>
      <c r="B12" s="124" t="s">
        <v>285</v>
      </c>
      <c r="C12" s="13">
        <f>(B10+C10)/2</f>
        <v>4852215977688.2578</v>
      </c>
      <c r="D12" s="14">
        <f t="shared" ref="D12:J12" si="1">(C10+D10)/2</f>
        <v>4974142131678.834</v>
      </c>
      <c r="E12" s="14">
        <f t="shared" si="1"/>
        <v>5047721134285.5381</v>
      </c>
      <c r="F12" s="14">
        <f t="shared" si="1"/>
        <v>5100824071033.4795</v>
      </c>
      <c r="G12" s="14">
        <f t="shared" si="1"/>
        <v>5172965420179.1426</v>
      </c>
      <c r="H12" s="14">
        <f t="shared" si="1"/>
        <v>5255061349602.2168</v>
      </c>
      <c r="I12" s="14">
        <f t="shared" si="1"/>
        <v>5449232385116.1611</v>
      </c>
      <c r="J12" s="14">
        <f t="shared" si="1"/>
        <v>5607774477366.791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45744</v>
      </c>
      <c r="C15" s="2">
        <v>45751</v>
      </c>
      <c r="D15" s="2">
        <v>45758</v>
      </c>
      <c r="E15" s="2">
        <v>45764</v>
      </c>
      <c r="F15" s="2">
        <v>45772</v>
      </c>
      <c r="G15" s="2">
        <v>45779</v>
      </c>
      <c r="H15" s="2">
        <v>45786</v>
      </c>
      <c r="I15" s="2">
        <v>45793</v>
      </c>
      <c r="J15" s="2">
        <v>45800</v>
      </c>
      <c r="K15" s="15"/>
    </row>
    <row r="16" spans="1:11">
      <c r="A16" s="16" t="s">
        <v>286</v>
      </c>
      <c r="B16" s="17">
        <v>13246875880.158331</v>
      </c>
      <c r="C16" s="17">
        <v>13252536997.856777</v>
      </c>
      <c r="D16" s="17">
        <v>13325340046.259998</v>
      </c>
      <c r="E16" s="17">
        <v>13257768084.610001</v>
      </c>
      <c r="F16" s="17">
        <v>13511956801.399998</v>
      </c>
      <c r="G16" s="17">
        <v>13564027253.040001</v>
      </c>
      <c r="H16" s="17">
        <v>13893621057.049999</v>
      </c>
      <c r="I16" s="17">
        <v>13906596090.597998</v>
      </c>
      <c r="J16" s="17">
        <v>13574054999.743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1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wSnS+SnVXmp6XOKKPr3Ny5G9pRaDbwiOduHARUCmgn/uBUts0yJ131TYP8T2/L7/ptVTUU29mlC1UxYkcduOaQ==" saltValue="eZaWH/tlEhGUWR3hGtCaV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2025-05-30T09:43:31Z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