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isaac\Desktop\Monthly Mutual Funds Update 2025\"/>
    </mc:Choice>
  </mc:AlternateContent>
  <bookViews>
    <workbookView xWindow="0" yWindow="0" windowWidth="11496" windowHeight="9048"/>
  </bookViews>
  <sheets>
    <sheet name="May" sheetId="7" r:id="rId1"/>
    <sheet name="NAV Comparison" sheetId="2" r:id="rId2"/>
    <sheet name="Market Share" sheetId="3" r:id="rId3"/>
    <sheet name="Unitholders" sheetId="6" r:id="rId4"/>
  </sheets>
  <definedNames>
    <definedName name="_Hlk34300669" localSheetId="0">May!$K$62</definedName>
    <definedName name="Component">"Group"</definedName>
    <definedName name="FX_RATE">May!$C$230</definedName>
    <definedName name="pbCountingPages">FALSE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01" i="7" l="1"/>
  <c r="M202" i="7"/>
  <c r="M203" i="7"/>
  <c r="M204" i="7"/>
  <c r="M205" i="7"/>
  <c r="M206" i="7"/>
  <c r="M207" i="7"/>
  <c r="M208" i="7"/>
  <c r="M209" i="7"/>
  <c r="M210" i="7"/>
  <c r="M211" i="7"/>
  <c r="M212" i="7"/>
  <c r="M216" i="7"/>
  <c r="M217" i="7"/>
  <c r="M223" i="7"/>
  <c r="M224" i="7"/>
  <c r="M225" i="7"/>
  <c r="M226" i="7"/>
  <c r="N223" i="7" l="1"/>
  <c r="O223" i="7"/>
  <c r="P223" i="7"/>
  <c r="Q223" i="7"/>
  <c r="N224" i="7"/>
  <c r="O224" i="7"/>
  <c r="P224" i="7"/>
  <c r="Q224" i="7"/>
  <c r="N225" i="7"/>
  <c r="O225" i="7"/>
  <c r="P225" i="7"/>
  <c r="Q225" i="7"/>
  <c r="N226" i="7"/>
  <c r="O226" i="7"/>
  <c r="P226" i="7"/>
  <c r="Q226" i="7"/>
  <c r="L223" i="7"/>
  <c r="L224" i="7"/>
  <c r="L225" i="7"/>
  <c r="L226" i="7"/>
  <c r="N216" i="7"/>
  <c r="O216" i="7"/>
  <c r="P216" i="7"/>
  <c r="Q216" i="7"/>
  <c r="N217" i="7"/>
  <c r="O217" i="7"/>
  <c r="P217" i="7"/>
  <c r="Q217" i="7"/>
  <c r="L216" i="7"/>
  <c r="L217" i="7"/>
  <c r="J216" i="7"/>
  <c r="J217" i="7"/>
  <c r="N201" i="7"/>
  <c r="O201" i="7"/>
  <c r="P201" i="7"/>
  <c r="Q201" i="7"/>
  <c r="N202" i="7"/>
  <c r="O202" i="7"/>
  <c r="P202" i="7"/>
  <c r="Q202" i="7"/>
  <c r="N203" i="7"/>
  <c r="O203" i="7"/>
  <c r="P203" i="7"/>
  <c r="Q203" i="7"/>
  <c r="N204" i="7"/>
  <c r="O204" i="7"/>
  <c r="P204" i="7"/>
  <c r="Q204" i="7"/>
  <c r="N205" i="7"/>
  <c r="O205" i="7"/>
  <c r="P205" i="7"/>
  <c r="Q205" i="7"/>
  <c r="N206" i="7"/>
  <c r="O206" i="7"/>
  <c r="P206" i="7"/>
  <c r="Q206" i="7"/>
  <c r="N207" i="7"/>
  <c r="O207" i="7"/>
  <c r="P207" i="7"/>
  <c r="Q207" i="7"/>
  <c r="N208" i="7"/>
  <c r="O208" i="7"/>
  <c r="P208" i="7"/>
  <c r="Q208" i="7"/>
  <c r="N209" i="7"/>
  <c r="O209" i="7"/>
  <c r="P209" i="7"/>
  <c r="Q209" i="7"/>
  <c r="N210" i="7"/>
  <c r="O210" i="7"/>
  <c r="P210" i="7"/>
  <c r="Q210" i="7"/>
  <c r="N211" i="7"/>
  <c r="O211" i="7"/>
  <c r="P211" i="7"/>
  <c r="Q211" i="7"/>
  <c r="N212" i="7"/>
  <c r="O212" i="7"/>
  <c r="P212" i="7"/>
  <c r="Q212" i="7"/>
  <c r="L201" i="7"/>
  <c r="L202" i="7"/>
  <c r="L203" i="7"/>
  <c r="L204" i="7"/>
  <c r="L205" i="7"/>
  <c r="L206" i="7"/>
  <c r="L207" i="7"/>
  <c r="L208" i="7"/>
  <c r="L209" i="7"/>
  <c r="L210" i="7"/>
  <c r="L211" i="7"/>
  <c r="L212" i="7"/>
  <c r="J201" i="7"/>
  <c r="J202" i="7"/>
  <c r="J203" i="7"/>
  <c r="J204" i="7"/>
  <c r="J205" i="7"/>
  <c r="J206" i="7"/>
  <c r="J207" i="7"/>
  <c r="J208" i="7"/>
  <c r="J209" i="7"/>
  <c r="J210" i="7"/>
  <c r="J211" i="7"/>
  <c r="J212" i="7"/>
  <c r="N191" i="7"/>
  <c r="O191" i="7"/>
  <c r="P191" i="7"/>
  <c r="Q191" i="7"/>
  <c r="N160" i="7"/>
  <c r="O160" i="7"/>
  <c r="P160" i="7"/>
  <c r="Q160" i="7"/>
  <c r="N161" i="7"/>
  <c r="O161" i="7"/>
  <c r="P161" i="7"/>
  <c r="Q161" i="7"/>
  <c r="N162" i="7"/>
  <c r="O162" i="7"/>
  <c r="P162" i="7"/>
  <c r="Q162" i="7"/>
  <c r="N163" i="7"/>
  <c r="O163" i="7"/>
  <c r="P163" i="7"/>
  <c r="Q163" i="7"/>
  <c r="N164" i="7"/>
  <c r="O164" i="7"/>
  <c r="P164" i="7"/>
  <c r="Q164" i="7"/>
  <c r="N165" i="7"/>
  <c r="O165" i="7"/>
  <c r="P165" i="7"/>
  <c r="Q165" i="7"/>
  <c r="N166" i="7"/>
  <c r="O166" i="7"/>
  <c r="P166" i="7"/>
  <c r="Q166" i="7"/>
  <c r="N167" i="7"/>
  <c r="O167" i="7"/>
  <c r="P167" i="7"/>
  <c r="Q167" i="7"/>
  <c r="N168" i="7"/>
  <c r="O168" i="7"/>
  <c r="P168" i="7"/>
  <c r="Q168" i="7"/>
  <c r="N169" i="7"/>
  <c r="O169" i="7"/>
  <c r="P169" i="7"/>
  <c r="Q169" i="7"/>
  <c r="N170" i="7"/>
  <c r="O170" i="7"/>
  <c r="P170" i="7"/>
  <c r="Q170" i="7"/>
  <c r="N171" i="7"/>
  <c r="O171" i="7"/>
  <c r="P171" i="7"/>
  <c r="Q171" i="7"/>
  <c r="N172" i="7"/>
  <c r="O172" i="7"/>
  <c r="P172" i="7"/>
  <c r="Q172" i="7"/>
  <c r="N173" i="7"/>
  <c r="O173" i="7"/>
  <c r="P173" i="7"/>
  <c r="Q173" i="7"/>
  <c r="N174" i="7"/>
  <c r="O174" i="7"/>
  <c r="P174" i="7"/>
  <c r="Q174" i="7"/>
  <c r="N175" i="7"/>
  <c r="O175" i="7"/>
  <c r="P175" i="7"/>
  <c r="Q175" i="7"/>
  <c r="N176" i="7"/>
  <c r="O176" i="7"/>
  <c r="P176" i="7"/>
  <c r="Q176" i="7"/>
  <c r="N177" i="7"/>
  <c r="O177" i="7"/>
  <c r="P177" i="7"/>
  <c r="Q177" i="7"/>
  <c r="N178" i="7"/>
  <c r="O178" i="7"/>
  <c r="P178" i="7"/>
  <c r="Q178" i="7"/>
  <c r="N179" i="7"/>
  <c r="O179" i="7"/>
  <c r="P179" i="7"/>
  <c r="Q179" i="7"/>
  <c r="N180" i="7"/>
  <c r="O180" i="7"/>
  <c r="P180" i="7"/>
  <c r="Q180" i="7"/>
  <c r="N181" i="7"/>
  <c r="O181" i="7"/>
  <c r="P181" i="7"/>
  <c r="Q181" i="7"/>
  <c r="N182" i="7"/>
  <c r="O182" i="7"/>
  <c r="P182" i="7"/>
  <c r="Q182" i="7"/>
  <c r="N183" i="7"/>
  <c r="O183" i="7"/>
  <c r="P183" i="7"/>
  <c r="Q183" i="7"/>
  <c r="N184" i="7"/>
  <c r="O184" i="7"/>
  <c r="P184" i="7"/>
  <c r="Q184" i="7"/>
  <c r="N185" i="7"/>
  <c r="O185" i="7"/>
  <c r="P185" i="7"/>
  <c r="Q185" i="7"/>
  <c r="N186" i="7"/>
  <c r="O186" i="7"/>
  <c r="P186" i="7"/>
  <c r="Q186" i="7"/>
  <c r="L160" i="7"/>
  <c r="M160" i="7"/>
  <c r="L161" i="7"/>
  <c r="M161" i="7"/>
  <c r="L162" i="7"/>
  <c r="M162" i="7"/>
  <c r="L163" i="7"/>
  <c r="M163" i="7"/>
  <c r="L164" i="7"/>
  <c r="M164" i="7"/>
  <c r="L165" i="7"/>
  <c r="M165" i="7"/>
  <c r="L166" i="7"/>
  <c r="M166" i="7"/>
  <c r="L167" i="7"/>
  <c r="M167" i="7"/>
  <c r="L168" i="7"/>
  <c r="M168" i="7"/>
  <c r="L169" i="7"/>
  <c r="M169" i="7"/>
  <c r="L170" i="7"/>
  <c r="M170" i="7"/>
  <c r="L171" i="7"/>
  <c r="M171" i="7"/>
  <c r="L172" i="7"/>
  <c r="M172" i="7"/>
  <c r="L173" i="7"/>
  <c r="M173" i="7"/>
  <c r="L174" i="7"/>
  <c r="M174" i="7"/>
  <c r="L175" i="7"/>
  <c r="M175" i="7"/>
  <c r="L176" i="7"/>
  <c r="M176" i="7"/>
  <c r="L177" i="7"/>
  <c r="M177" i="7"/>
  <c r="L178" i="7"/>
  <c r="M178" i="7"/>
  <c r="L179" i="7"/>
  <c r="M179" i="7"/>
  <c r="L180" i="7"/>
  <c r="M180" i="7"/>
  <c r="L181" i="7"/>
  <c r="M181" i="7"/>
  <c r="L182" i="7"/>
  <c r="M182" i="7"/>
  <c r="L183" i="7"/>
  <c r="M183" i="7"/>
  <c r="L184" i="7"/>
  <c r="M184" i="7"/>
  <c r="L185" i="7"/>
  <c r="M185" i="7"/>
  <c r="L186" i="7"/>
  <c r="M186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L151" i="7"/>
  <c r="L152" i="7"/>
  <c r="L153" i="7"/>
  <c r="L154" i="7"/>
  <c r="L155" i="7"/>
  <c r="J151" i="7"/>
  <c r="J152" i="7"/>
  <c r="J153" i="7"/>
  <c r="J154" i="7"/>
  <c r="J155" i="7"/>
  <c r="J223" i="7" l="1"/>
  <c r="J224" i="7"/>
  <c r="J225" i="7"/>
  <c r="J226" i="7"/>
  <c r="J222" i="7"/>
  <c r="M222" i="7"/>
  <c r="L222" i="7"/>
  <c r="Q222" i="7"/>
  <c r="P222" i="7"/>
  <c r="O222" i="7"/>
  <c r="N222" i="7"/>
  <c r="Q215" i="7"/>
  <c r="P215" i="7"/>
  <c r="O215" i="7"/>
  <c r="N215" i="7"/>
  <c r="N197" i="7"/>
  <c r="O197" i="7"/>
  <c r="P197" i="7"/>
  <c r="Q197" i="7"/>
  <c r="L197" i="7"/>
  <c r="M197" i="7"/>
  <c r="J197" i="7"/>
  <c r="J191" i="7"/>
  <c r="L191" i="7"/>
  <c r="M191" i="7"/>
  <c r="M151" i="7"/>
  <c r="N151" i="7"/>
  <c r="O151" i="7"/>
  <c r="P151" i="7"/>
  <c r="Q151" i="7"/>
  <c r="M152" i="7"/>
  <c r="N152" i="7"/>
  <c r="O152" i="7"/>
  <c r="P152" i="7"/>
  <c r="Q152" i="7"/>
  <c r="M153" i="7"/>
  <c r="N153" i="7"/>
  <c r="O153" i="7"/>
  <c r="P153" i="7"/>
  <c r="Q153" i="7"/>
  <c r="M154" i="7"/>
  <c r="N154" i="7"/>
  <c r="O154" i="7"/>
  <c r="P154" i="7"/>
  <c r="Q154" i="7"/>
  <c r="M155" i="7"/>
  <c r="N155" i="7"/>
  <c r="O155" i="7"/>
  <c r="P155" i="7"/>
  <c r="Q155" i="7"/>
  <c r="L113" i="7"/>
  <c r="M113" i="7"/>
  <c r="N113" i="7"/>
  <c r="O113" i="7"/>
  <c r="P113" i="7"/>
  <c r="Q113" i="7"/>
  <c r="L114" i="7"/>
  <c r="M114" i="7"/>
  <c r="N114" i="7"/>
  <c r="O114" i="7"/>
  <c r="P114" i="7"/>
  <c r="Q114" i="7"/>
  <c r="L115" i="7"/>
  <c r="M115" i="7"/>
  <c r="N115" i="7"/>
  <c r="O115" i="7"/>
  <c r="P115" i="7"/>
  <c r="Q115" i="7"/>
  <c r="L116" i="7"/>
  <c r="M116" i="7"/>
  <c r="N116" i="7"/>
  <c r="O116" i="7"/>
  <c r="P116" i="7"/>
  <c r="Q116" i="7"/>
  <c r="L117" i="7"/>
  <c r="M117" i="7"/>
  <c r="N117" i="7"/>
  <c r="O117" i="7"/>
  <c r="P117" i="7"/>
  <c r="Q117" i="7"/>
  <c r="L118" i="7"/>
  <c r="M118" i="7"/>
  <c r="N118" i="7"/>
  <c r="O118" i="7"/>
  <c r="P118" i="7"/>
  <c r="Q118" i="7"/>
  <c r="L119" i="7"/>
  <c r="M119" i="7"/>
  <c r="N119" i="7"/>
  <c r="O119" i="7"/>
  <c r="P119" i="7"/>
  <c r="Q119" i="7"/>
  <c r="L120" i="7"/>
  <c r="M120" i="7"/>
  <c r="N120" i="7"/>
  <c r="O120" i="7"/>
  <c r="P120" i="7"/>
  <c r="Q120" i="7"/>
  <c r="L121" i="7"/>
  <c r="M121" i="7"/>
  <c r="N121" i="7"/>
  <c r="O121" i="7"/>
  <c r="P121" i="7"/>
  <c r="Q121" i="7"/>
  <c r="L122" i="7"/>
  <c r="M122" i="7"/>
  <c r="N122" i="7"/>
  <c r="O122" i="7"/>
  <c r="P122" i="7"/>
  <c r="Q122" i="7"/>
  <c r="L123" i="7"/>
  <c r="M123" i="7"/>
  <c r="N123" i="7"/>
  <c r="O123" i="7"/>
  <c r="P123" i="7"/>
  <c r="Q123" i="7"/>
  <c r="L124" i="7"/>
  <c r="M124" i="7"/>
  <c r="N124" i="7"/>
  <c r="O124" i="7"/>
  <c r="P124" i="7"/>
  <c r="Q124" i="7"/>
  <c r="L125" i="7"/>
  <c r="M125" i="7"/>
  <c r="N125" i="7"/>
  <c r="O125" i="7"/>
  <c r="P125" i="7"/>
  <c r="Q125" i="7"/>
  <c r="L126" i="7"/>
  <c r="M126" i="7"/>
  <c r="N126" i="7"/>
  <c r="O126" i="7"/>
  <c r="P126" i="7"/>
  <c r="Q126" i="7"/>
  <c r="L127" i="7"/>
  <c r="M127" i="7"/>
  <c r="N127" i="7"/>
  <c r="O127" i="7"/>
  <c r="P127" i="7"/>
  <c r="Q127" i="7"/>
  <c r="L128" i="7"/>
  <c r="M128" i="7"/>
  <c r="N128" i="7"/>
  <c r="O128" i="7"/>
  <c r="P128" i="7"/>
  <c r="Q128" i="7"/>
  <c r="L132" i="7"/>
  <c r="M132" i="7"/>
  <c r="N132" i="7"/>
  <c r="O132" i="7"/>
  <c r="P132" i="7"/>
  <c r="Q132" i="7"/>
  <c r="L133" i="7"/>
  <c r="M133" i="7"/>
  <c r="N133" i="7"/>
  <c r="O133" i="7"/>
  <c r="P133" i="7"/>
  <c r="Q133" i="7"/>
  <c r="L134" i="7"/>
  <c r="M134" i="7"/>
  <c r="N134" i="7"/>
  <c r="O134" i="7"/>
  <c r="P134" i="7"/>
  <c r="Q134" i="7"/>
  <c r="L135" i="7"/>
  <c r="M135" i="7"/>
  <c r="N135" i="7"/>
  <c r="O135" i="7"/>
  <c r="P135" i="7"/>
  <c r="Q135" i="7"/>
  <c r="L136" i="7"/>
  <c r="M136" i="7"/>
  <c r="N136" i="7"/>
  <c r="O136" i="7"/>
  <c r="P136" i="7"/>
  <c r="Q136" i="7"/>
  <c r="L137" i="7"/>
  <c r="M137" i="7"/>
  <c r="N137" i="7"/>
  <c r="O137" i="7"/>
  <c r="P137" i="7"/>
  <c r="Q137" i="7"/>
  <c r="L138" i="7"/>
  <c r="M138" i="7"/>
  <c r="N138" i="7"/>
  <c r="O138" i="7"/>
  <c r="P138" i="7"/>
  <c r="Q138" i="7"/>
  <c r="L139" i="7"/>
  <c r="M139" i="7"/>
  <c r="N139" i="7"/>
  <c r="O139" i="7"/>
  <c r="P139" i="7"/>
  <c r="Q139" i="7"/>
  <c r="L140" i="7"/>
  <c r="M140" i="7"/>
  <c r="N140" i="7"/>
  <c r="O140" i="7"/>
  <c r="P140" i="7"/>
  <c r="Q140" i="7"/>
  <c r="L141" i="7"/>
  <c r="M141" i="7"/>
  <c r="N141" i="7"/>
  <c r="O141" i="7"/>
  <c r="P141" i="7"/>
  <c r="Q141" i="7"/>
  <c r="L142" i="7"/>
  <c r="M142" i="7"/>
  <c r="N142" i="7"/>
  <c r="O142" i="7"/>
  <c r="P142" i="7"/>
  <c r="Q142" i="7"/>
  <c r="L143" i="7"/>
  <c r="M143" i="7"/>
  <c r="N143" i="7"/>
  <c r="O143" i="7"/>
  <c r="P143" i="7"/>
  <c r="Q143" i="7"/>
  <c r="L144" i="7"/>
  <c r="M144" i="7"/>
  <c r="N144" i="7"/>
  <c r="O144" i="7"/>
  <c r="P144" i="7"/>
  <c r="Q144" i="7"/>
  <c r="L145" i="7"/>
  <c r="M145" i="7"/>
  <c r="N145" i="7"/>
  <c r="O145" i="7"/>
  <c r="P145" i="7"/>
  <c r="Q145" i="7"/>
  <c r="L146" i="7"/>
  <c r="M146" i="7"/>
  <c r="N146" i="7"/>
  <c r="O146" i="7"/>
  <c r="P146" i="7"/>
  <c r="Q146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N72" i="7"/>
  <c r="O72" i="7"/>
  <c r="P72" i="7"/>
  <c r="Q72" i="7"/>
  <c r="N73" i="7"/>
  <c r="O73" i="7"/>
  <c r="P73" i="7"/>
  <c r="Q73" i="7"/>
  <c r="N74" i="7"/>
  <c r="O74" i="7"/>
  <c r="P74" i="7"/>
  <c r="Q74" i="7"/>
  <c r="N75" i="7"/>
  <c r="O75" i="7"/>
  <c r="P75" i="7"/>
  <c r="Q75" i="7"/>
  <c r="N76" i="7"/>
  <c r="O76" i="7"/>
  <c r="P76" i="7"/>
  <c r="Q76" i="7"/>
  <c r="N77" i="7"/>
  <c r="O77" i="7"/>
  <c r="P77" i="7"/>
  <c r="Q77" i="7"/>
  <c r="N78" i="7"/>
  <c r="O78" i="7"/>
  <c r="P78" i="7"/>
  <c r="Q78" i="7"/>
  <c r="N79" i="7"/>
  <c r="O79" i="7"/>
  <c r="P79" i="7"/>
  <c r="Q79" i="7"/>
  <c r="N80" i="7"/>
  <c r="O80" i="7"/>
  <c r="P80" i="7"/>
  <c r="Q80" i="7"/>
  <c r="N81" i="7"/>
  <c r="O81" i="7"/>
  <c r="P81" i="7"/>
  <c r="Q81" i="7"/>
  <c r="N82" i="7"/>
  <c r="O82" i="7"/>
  <c r="P82" i="7"/>
  <c r="Q82" i="7"/>
  <c r="N83" i="7"/>
  <c r="O83" i="7"/>
  <c r="P83" i="7"/>
  <c r="Q83" i="7"/>
  <c r="N84" i="7"/>
  <c r="O84" i="7"/>
  <c r="P84" i="7"/>
  <c r="Q84" i="7"/>
  <c r="N85" i="7"/>
  <c r="O85" i="7"/>
  <c r="P85" i="7"/>
  <c r="Q85" i="7"/>
  <c r="N86" i="7"/>
  <c r="O86" i="7"/>
  <c r="P86" i="7"/>
  <c r="Q86" i="7"/>
  <c r="N87" i="7"/>
  <c r="O87" i="7"/>
  <c r="P87" i="7"/>
  <c r="Q87" i="7"/>
  <c r="N88" i="7"/>
  <c r="O88" i="7"/>
  <c r="P88" i="7"/>
  <c r="Q88" i="7"/>
  <c r="N89" i="7"/>
  <c r="O89" i="7"/>
  <c r="P89" i="7"/>
  <c r="Q89" i="7"/>
  <c r="N90" i="7"/>
  <c r="O90" i="7"/>
  <c r="P90" i="7"/>
  <c r="Q90" i="7"/>
  <c r="N91" i="7"/>
  <c r="O91" i="7"/>
  <c r="P91" i="7"/>
  <c r="Q91" i="7"/>
  <c r="N92" i="7"/>
  <c r="O92" i="7"/>
  <c r="P92" i="7"/>
  <c r="Q92" i="7"/>
  <c r="N93" i="7"/>
  <c r="O93" i="7"/>
  <c r="P93" i="7"/>
  <c r="Q93" i="7"/>
  <c r="N94" i="7"/>
  <c r="O94" i="7"/>
  <c r="P94" i="7"/>
  <c r="Q94" i="7"/>
  <c r="N95" i="7"/>
  <c r="O95" i="7"/>
  <c r="P95" i="7"/>
  <c r="Q95" i="7"/>
  <c r="N96" i="7"/>
  <c r="O96" i="7"/>
  <c r="P96" i="7"/>
  <c r="Q96" i="7"/>
  <c r="N97" i="7"/>
  <c r="O97" i="7"/>
  <c r="P97" i="7"/>
  <c r="Q97" i="7"/>
  <c r="N98" i="7"/>
  <c r="O98" i="7"/>
  <c r="P98" i="7"/>
  <c r="Q98" i="7"/>
  <c r="N99" i="7"/>
  <c r="O99" i="7"/>
  <c r="P99" i="7"/>
  <c r="Q99" i="7"/>
  <c r="N100" i="7"/>
  <c r="O100" i="7"/>
  <c r="P100" i="7"/>
  <c r="Q100" i="7"/>
  <c r="N101" i="7"/>
  <c r="O101" i="7"/>
  <c r="P101" i="7"/>
  <c r="Q101" i="7"/>
  <c r="N102" i="7"/>
  <c r="O102" i="7"/>
  <c r="P102" i="7"/>
  <c r="Q102" i="7"/>
  <c r="N103" i="7"/>
  <c r="O103" i="7"/>
  <c r="P103" i="7"/>
  <c r="Q103" i="7"/>
  <c r="N104" i="7"/>
  <c r="O104" i="7"/>
  <c r="P104" i="7"/>
  <c r="Q104" i="7"/>
  <c r="N105" i="7"/>
  <c r="O105" i="7"/>
  <c r="P105" i="7"/>
  <c r="Q105" i="7"/>
  <c r="N106" i="7"/>
  <c r="O106" i="7"/>
  <c r="P106" i="7"/>
  <c r="Q106" i="7"/>
  <c r="N107" i="7"/>
  <c r="O107" i="7"/>
  <c r="P107" i="7"/>
  <c r="Q107" i="7"/>
  <c r="L72" i="7"/>
  <c r="M72" i="7"/>
  <c r="L73" i="7"/>
  <c r="M73" i="7"/>
  <c r="L74" i="7"/>
  <c r="M74" i="7"/>
  <c r="L75" i="7"/>
  <c r="M75" i="7"/>
  <c r="L76" i="7"/>
  <c r="M76" i="7"/>
  <c r="L77" i="7"/>
  <c r="M77" i="7"/>
  <c r="L78" i="7"/>
  <c r="M78" i="7"/>
  <c r="L79" i="7"/>
  <c r="M79" i="7"/>
  <c r="L80" i="7"/>
  <c r="M80" i="7"/>
  <c r="L81" i="7"/>
  <c r="M81" i="7"/>
  <c r="L82" i="7"/>
  <c r="M82" i="7"/>
  <c r="L83" i="7"/>
  <c r="M83" i="7"/>
  <c r="L84" i="7"/>
  <c r="M84" i="7"/>
  <c r="L85" i="7"/>
  <c r="M85" i="7"/>
  <c r="L86" i="7"/>
  <c r="M86" i="7"/>
  <c r="L87" i="7"/>
  <c r="M87" i="7"/>
  <c r="L88" i="7"/>
  <c r="M88" i="7"/>
  <c r="L89" i="7"/>
  <c r="M89" i="7"/>
  <c r="L90" i="7"/>
  <c r="M90" i="7"/>
  <c r="L91" i="7"/>
  <c r="M91" i="7"/>
  <c r="L92" i="7"/>
  <c r="M92" i="7"/>
  <c r="L93" i="7"/>
  <c r="M93" i="7"/>
  <c r="L94" i="7"/>
  <c r="M94" i="7"/>
  <c r="L95" i="7"/>
  <c r="M95" i="7"/>
  <c r="L96" i="7"/>
  <c r="M96" i="7"/>
  <c r="L97" i="7"/>
  <c r="M97" i="7"/>
  <c r="L98" i="7"/>
  <c r="M98" i="7"/>
  <c r="L99" i="7"/>
  <c r="M99" i="7"/>
  <c r="L100" i="7"/>
  <c r="M100" i="7"/>
  <c r="L101" i="7"/>
  <c r="M101" i="7"/>
  <c r="L102" i="7"/>
  <c r="M102" i="7"/>
  <c r="L103" i="7"/>
  <c r="M103" i="7"/>
  <c r="L104" i="7"/>
  <c r="M104" i="7"/>
  <c r="L105" i="7"/>
  <c r="M105" i="7"/>
  <c r="L106" i="7"/>
  <c r="M106" i="7"/>
  <c r="L107" i="7"/>
  <c r="M107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N28" i="7"/>
  <c r="O28" i="7"/>
  <c r="P28" i="7"/>
  <c r="Q28" i="7"/>
  <c r="N29" i="7"/>
  <c r="O29" i="7"/>
  <c r="P29" i="7"/>
  <c r="Q29" i="7"/>
  <c r="N30" i="7"/>
  <c r="O30" i="7"/>
  <c r="P30" i="7"/>
  <c r="Q30" i="7"/>
  <c r="N31" i="7"/>
  <c r="O31" i="7"/>
  <c r="P31" i="7"/>
  <c r="Q31" i="7"/>
  <c r="N32" i="7"/>
  <c r="O32" i="7"/>
  <c r="P32" i="7"/>
  <c r="Q32" i="7"/>
  <c r="N33" i="7"/>
  <c r="O33" i="7"/>
  <c r="P33" i="7"/>
  <c r="Q33" i="7"/>
  <c r="N34" i="7"/>
  <c r="O34" i="7"/>
  <c r="P34" i="7"/>
  <c r="Q34" i="7"/>
  <c r="N35" i="7"/>
  <c r="O35" i="7"/>
  <c r="P35" i="7"/>
  <c r="Q35" i="7"/>
  <c r="N36" i="7"/>
  <c r="O36" i="7"/>
  <c r="P36" i="7"/>
  <c r="Q36" i="7"/>
  <c r="N37" i="7"/>
  <c r="O37" i="7"/>
  <c r="P37" i="7"/>
  <c r="Q37" i="7"/>
  <c r="N38" i="7"/>
  <c r="O38" i="7"/>
  <c r="P38" i="7"/>
  <c r="Q38" i="7"/>
  <c r="N39" i="7"/>
  <c r="O39" i="7"/>
  <c r="P39" i="7"/>
  <c r="Q39" i="7"/>
  <c r="N40" i="7"/>
  <c r="O40" i="7"/>
  <c r="P40" i="7"/>
  <c r="Q40" i="7"/>
  <c r="N41" i="7"/>
  <c r="O41" i="7"/>
  <c r="P41" i="7"/>
  <c r="Q41" i="7"/>
  <c r="N42" i="7"/>
  <c r="O42" i="7"/>
  <c r="P42" i="7"/>
  <c r="Q42" i="7"/>
  <c r="N43" i="7"/>
  <c r="O43" i="7"/>
  <c r="P43" i="7"/>
  <c r="Q43" i="7"/>
  <c r="N44" i="7"/>
  <c r="O44" i="7"/>
  <c r="P44" i="7"/>
  <c r="Q44" i="7"/>
  <c r="N45" i="7"/>
  <c r="O45" i="7"/>
  <c r="P45" i="7"/>
  <c r="Q45" i="7"/>
  <c r="N46" i="7"/>
  <c r="O46" i="7"/>
  <c r="P46" i="7"/>
  <c r="Q46" i="7"/>
  <c r="N47" i="7"/>
  <c r="O47" i="7"/>
  <c r="P47" i="7"/>
  <c r="Q47" i="7"/>
  <c r="N48" i="7"/>
  <c r="O48" i="7"/>
  <c r="P48" i="7"/>
  <c r="Q48" i="7"/>
  <c r="N49" i="7"/>
  <c r="O49" i="7"/>
  <c r="P49" i="7"/>
  <c r="Q49" i="7"/>
  <c r="N50" i="7"/>
  <c r="O50" i="7"/>
  <c r="P50" i="7"/>
  <c r="Q50" i="7"/>
  <c r="N51" i="7"/>
  <c r="O51" i="7"/>
  <c r="P51" i="7"/>
  <c r="Q51" i="7"/>
  <c r="N52" i="7"/>
  <c r="O52" i="7"/>
  <c r="P52" i="7"/>
  <c r="Q52" i="7"/>
  <c r="N53" i="7"/>
  <c r="O53" i="7"/>
  <c r="P53" i="7"/>
  <c r="Q53" i="7"/>
  <c r="N54" i="7"/>
  <c r="O54" i="7"/>
  <c r="P54" i="7"/>
  <c r="Q54" i="7"/>
  <c r="N55" i="7"/>
  <c r="O55" i="7"/>
  <c r="P55" i="7"/>
  <c r="Q55" i="7"/>
  <c r="N56" i="7"/>
  <c r="O56" i="7"/>
  <c r="P56" i="7"/>
  <c r="Q56" i="7"/>
  <c r="N57" i="7"/>
  <c r="O57" i="7"/>
  <c r="P57" i="7"/>
  <c r="Q57" i="7"/>
  <c r="N58" i="7"/>
  <c r="O58" i="7"/>
  <c r="P58" i="7"/>
  <c r="Q58" i="7"/>
  <c r="N59" i="7"/>
  <c r="O59" i="7"/>
  <c r="P59" i="7"/>
  <c r="Q59" i="7"/>
  <c r="N60" i="7"/>
  <c r="O60" i="7"/>
  <c r="P60" i="7"/>
  <c r="Q60" i="7"/>
  <c r="N61" i="7"/>
  <c r="O61" i="7"/>
  <c r="P61" i="7"/>
  <c r="Q61" i="7"/>
  <c r="N62" i="7"/>
  <c r="O62" i="7"/>
  <c r="P62" i="7"/>
  <c r="Q62" i="7"/>
  <c r="N63" i="7"/>
  <c r="O63" i="7"/>
  <c r="P63" i="7"/>
  <c r="Q63" i="7"/>
  <c r="N64" i="7"/>
  <c r="O64" i="7"/>
  <c r="P64" i="7"/>
  <c r="Q64" i="7"/>
  <c r="N65" i="7"/>
  <c r="O65" i="7"/>
  <c r="P65" i="7"/>
  <c r="Q65" i="7"/>
  <c r="N66" i="7"/>
  <c r="O66" i="7"/>
  <c r="P66" i="7"/>
  <c r="Q66" i="7"/>
  <c r="N67" i="7"/>
  <c r="O67" i="7"/>
  <c r="P67" i="7"/>
  <c r="Q67" i="7"/>
  <c r="L28" i="7"/>
  <c r="M28" i="7"/>
  <c r="L29" i="7"/>
  <c r="M29" i="7"/>
  <c r="L30" i="7"/>
  <c r="M30" i="7"/>
  <c r="L31" i="7"/>
  <c r="M31" i="7"/>
  <c r="L32" i="7"/>
  <c r="M32" i="7"/>
  <c r="L33" i="7"/>
  <c r="M33" i="7"/>
  <c r="L34" i="7"/>
  <c r="M34" i="7"/>
  <c r="L35" i="7"/>
  <c r="M35" i="7"/>
  <c r="L36" i="7"/>
  <c r="M36" i="7"/>
  <c r="L37" i="7"/>
  <c r="M37" i="7"/>
  <c r="L38" i="7"/>
  <c r="M38" i="7"/>
  <c r="L39" i="7"/>
  <c r="M39" i="7"/>
  <c r="L40" i="7"/>
  <c r="M40" i="7"/>
  <c r="L41" i="7"/>
  <c r="M41" i="7"/>
  <c r="L42" i="7"/>
  <c r="M42" i="7"/>
  <c r="L43" i="7"/>
  <c r="M43" i="7"/>
  <c r="L44" i="7"/>
  <c r="M44" i="7"/>
  <c r="L45" i="7"/>
  <c r="M45" i="7"/>
  <c r="L46" i="7"/>
  <c r="M46" i="7"/>
  <c r="L47" i="7"/>
  <c r="M47" i="7"/>
  <c r="L48" i="7"/>
  <c r="M48" i="7"/>
  <c r="L49" i="7"/>
  <c r="M49" i="7"/>
  <c r="L50" i="7"/>
  <c r="M50" i="7"/>
  <c r="L51" i="7"/>
  <c r="M51" i="7"/>
  <c r="L52" i="7"/>
  <c r="M52" i="7"/>
  <c r="L53" i="7"/>
  <c r="M53" i="7"/>
  <c r="L54" i="7"/>
  <c r="M54" i="7"/>
  <c r="L55" i="7"/>
  <c r="M55" i="7"/>
  <c r="L56" i="7"/>
  <c r="M56" i="7"/>
  <c r="L57" i="7"/>
  <c r="M57" i="7"/>
  <c r="L58" i="7"/>
  <c r="M58" i="7"/>
  <c r="L59" i="7"/>
  <c r="M59" i="7"/>
  <c r="L60" i="7"/>
  <c r="M60" i="7"/>
  <c r="L61" i="7"/>
  <c r="M61" i="7"/>
  <c r="L62" i="7"/>
  <c r="M62" i="7"/>
  <c r="L63" i="7"/>
  <c r="M63" i="7"/>
  <c r="L64" i="7"/>
  <c r="M64" i="7"/>
  <c r="L65" i="7"/>
  <c r="M65" i="7"/>
  <c r="L66" i="7"/>
  <c r="M66" i="7"/>
  <c r="L67" i="7"/>
  <c r="M6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N6" i="7"/>
  <c r="O6" i="7"/>
  <c r="P6" i="7"/>
  <c r="Q6" i="7"/>
  <c r="N7" i="7"/>
  <c r="O7" i="7"/>
  <c r="P7" i="7"/>
  <c r="Q7" i="7"/>
  <c r="N8" i="7"/>
  <c r="O8" i="7"/>
  <c r="P8" i="7"/>
  <c r="Q8" i="7"/>
  <c r="N9" i="7"/>
  <c r="O9" i="7"/>
  <c r="P9" i="7"/>
  <c r="Q9" i="7"/>
  <c r="N10" i="7"/>
  <c r="O10" i="7"/>
  <c r="P10" i="7"/>
  <c r="Q10" i="7"/>
  <c r="N11" i="7"/>
  <c r="O11" i="7"/>
  <c r="P11" i="7"/>
  <c r="Q11" i="7"/>
  <c r="N12" i="7"/>
  <c r="O12" i="7"/>
  <c r="P12" i="7"/>
  <c r="Q12" i="7"/>
  <c r="N13" i="7"/>
  <c r="O13" i="7"/>
  <c r="P13" i="7"/>
  <c r="Q13" i="7"/>
  <c r="N14" i="7"/>
  <c r="O14" i="7"/>
  <c r="P14" i="7"/>
  <c r="Q14" i="7"/>
  <c r="N15" i="7"/>
  <c r="O15" i="7"/>
  <c r="P15" i="7"/>
  <c r="Q15" i="7"/>
  <c r="N16" i="7"/>
  <c r="O16" i="7"/>
  <c r="P16" i="7"/>
  <c r="Q16" i="7"/>
  <c r="N17" i="7"/>
  <c r="O17" i="7"/>
  <c r="P17" i="7"/>
  <c r="Q17" i="7"/>
  <c r="N18" i="7"/>
  <c r="O18" i="7"/>
  <c r="P18" i="7"/>
  <c r="Q18" i="7"/>
  <c r="N19" i="7"/>
  <c r="O19" i="7"/>
  <c r="P19" i="7"/>
  <c r="Q19" i="7"/>
  <c r="N20" i="7"/>
  <c r="O20" i="7"/>
  <c r="P20" i="7"/>
  <c r="Q20" i="7"/>
  <c r="N21" i="7"/>
  <c r="O21" i="7"/>
  <c r="P21" i="7"/>
  <c r="Q21" i="7"/>
  <c r="N22" i="7"/>
  <c r="O22" i="7"/>
  <c r="P22" i="7"/>
  <c r="Q22" i="7"/>
  <c r="N23" i="7"/>
  <c r="O23" i="7"/>
  <c r="P23" i="7"/>
  <c r="Q23" i="7"/>
  <c r="L6" i="7"/>
  <c r="M6" i="7"/>
  <c r="L7" i="7"/>
  <c r="M7" i="7"/>
  <c r="L8" i="7"/>
  <c r="M8" i="7"/>
  <c r="L9" i="7"/>
  <c r="M9" i="7"/>
  <c r="L10" i="7"/>
  <c r="M10" i="7"/>
  <c r="L11" i="7"/>
  <c r="M11" i="7"/>
  <c r="L12" i="7"/>
  <c r="M12" i="7"/>
  <c r="L13" i="7"/>
  <c r="M13" i="7"/>
  <c r="L14" i="7"/>
  <c r="M14" i="7"/>
  <c r="L15" i="7"/>
  <c r="M15" i="7"/>
  <c r="L16" i="7"/>
  <c r="M16" i="7"/>
  <c r="L17" i="7"/>
  <c r="M17" i="7"/>
  <c r="L18" i="7"/>
  <c r="M18" i="7"/>
  <c r="L19" i="7"/>
  <c r="M19" i="7"/>
  <c r="L20" i="7"/>
  <c r="M20" i="7"/>
  <c r="L21" i="7"/>
  <c r="M21" i="7"/>
  <c r="L22" i="7"/>
  <c r="M22" i="7"/>
  <c r="L23" i="7"/>
  <c r="M23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M215" i="7"/>
  <c r="L215" i="7"/>
  <c r="I228" i="7"/>
  <c r="I227" i="7"/>
  <c r="K141" i="7"/>
  <c r="R141" i="7"/>
  <c r="S141" i="7"/>
  <c r="H141" i="7"/>
  <c r="E141" i="7"/>
  <c r="D141" i="7"/>
  <c r="H57" i="7"/>
  <c r="T218" i="7" l="1"/>
  <c r="K218" i="7"/>
  <c r="I218" i="7"/>
  <c r="H181" i="7" l="1"/>
  <c r="H143" i="7"/>
  <c r="H61" i="7" l="1"/>
  <c r="T227" i="7"/>
  <c r="B13" i="6"/>
  <c r="B12" i="6"/>
  <c r="B10" i="6"/>
  <c r="B8" i="6"/>
  <c r="B6" i="6"/>
  <c r="B7" i="3"/>
  <c r="B6" i="3"/>
  <c r="B4" i="3"/>
  <c r="B3" i="3"/>
  <c r="B2" i="3"/>
  <c r="C12" i="2"/>
  <c r="C7" i="2"/>
  <c r="C5" i="2"/>
  <c r="K145" i="7" l="1"/>
  <c r="T53" i="7" l="1"/>
  <c r="V201" i="7" l="1"/>
  <c r="K118" i="7" l="1"/>
  <c r="H10" i="7" l="1"/>
  <c r="U35" i="7" l="1"/>
  <c r="E136" i="7" l="1"/>
  <c r="K144" i="7" l="1"/>
  <c r="K126" i="7" l="1"/>
  <c r="T127" i="7" l="1"/>
  <c r="D217" i="7" l="1"/>
  <c r="S128" i="7"/>
  <c r="R128" i="7"/>
  <c r="K128" i="7"/>
  <c r="H66" i="7"/>
  <c r="K138" i="7"/>
  <c r="K116" i="7"/>
  <c r="G116" i="7"/>
  <c r="E116" i="7"/>
  <c r="D116" i="7"/>
  <c r="D83" i="7" l="1"/>
  <c r="H106" i="7"/>
  <c r="U9" i="7"/>
  <c r="V146" i="7"/>
  <c r="S146" i="7"/>
  <c r="R146" i="7"/>
  <c r="K146" i="7"/>
  <c r="G146" i="7"/>
  <c r="E146" i="7"/>
  <c r="D146" i="7"/>
  <c r="S145" i="7"/>
  <c r="R145" i="7"/>
  <c r="G145" i="7"/>
  <c r="E145" i="7"/>
  <c r="D145" i="7"/>
  <c r="T37" i="7"/>
  <c r="T165" i="7"/>
  <c r="T113" i="7"/>
  <c r="D123" i="7"/>
  <c r="H145" i="7" l="1"/>
  <c r="S134" i="7"/>
  <c r="R134" i="7"/>
  <c r="S133" i="7"/>
  <c r="R133" i="7"/>
  <c r="T133" i="7"/>
  <c r="H112" i="7"/>
  <c r="S114" i="7"/>
  <c r="S115" i="7"/>
  <c r="R114" i="7"/>
  <c r="S119" i="7" l="1"/>
  <c r="R119" i="7"/>
  <c r="T122" i="7" l="1"/>
  <c r="T5" i="7"/>
  <c r="S224" i="7" l="1"/>
  <c r="R224" i="7"/>
  <c r="H226" i="7" l="1"/>
  <c r="H225" i="7"/>
  <c r="H224" i="7"/>
  <c r="H223" i="7"/>
  <c r="S222" i="7" l="1"/>
  <c r="R222" i="7"/>
  <c r="D222" i="7"/>
  <c r="E222" i="7"/>
  <c r="G222" i="7"/>
  <c r="K222" i="7"/>
  <c r="K227" i="7" s="1"/>
  <c r="G138" i="7"/>
  <c r="H151" i="7"/>
  <c r="H222" i="7" l="1"/>
  <c r="S135" i="7"/>
  <c r="R135" i="7"/>
  <c r="K135" i="7"/>
  <c r="G135" i="7"/>
  <c r="E135" i="7"/>
  <c r="D135" i="7"/>
  <c r="T42" i="7"/>
  <c r="R121" i="7"/>
  <c r="S137" i="7"/>
  <c r="R137" i="7"/>
  <c r="K137" i="7"/>
  <c r="G137" i="7"/>
  <c r="E137" i="7"/>
  <c r="D137" i="7"/>
  <c r="H5" i="7" l="1"/>
  <c r="S138" i="7"/>
  <c r="R138" i="7"/>
  <c r="E138" i="7"/>
  <c r="D138" i="7"/>
  <c r="H44" i="7" l="1"/>
  <c r="S123" i="7"/>
  <c r="R123" i="7"/>
  <c r="K123" i="7"/>
  <c r="G123" i="7"/>
  <c r="E123" i="7"/>
  <c r="H123" i="7" l="1"/>
  <c r="G128" i="7"/>
  <c r="E128" i="7"/>
  <c r="D128" i="7"/>
  <c r="H18" i="7"/>
  <c r="H163" i="7" l="1"/>
  <c r="H217" i="7" l="1"/>
  <c r="H215" i="7"/>
  <c r="H216" i="7"/>
  <c r="H212" i="7"/>
  <c r="F114" i="7" l="1"/>
  <c r="G113" i="7"/>
  <c r="S121" i="7"/>
  <c r="S142" i="7" l="1"/>
  <c r="R142" i="7"/>
  <c r="K142" i="7"/>
  <c r="G142" i="7"/>
  <c r="E142" i="7"/>
  <c r="D142" i="7"/>
  <c r="H20" i="7"/>
  <c r="S132" i="7"/>
  <c r="R132" i="7"/>
  <c r="K132" i="7"/>
  <c r="G132" i="7"/>
  <c r="E132" i="7"/>
  <c r="D132" i="7"/>
  <c r="R115" i="7" l="1"/>
  <c r="K115" i="7"/>
  <c r="G115" i="7"/>
  <c r="E115" i="7"/>
  <c r="D115" i="7"/>
  <c r="K114" i="7" l="1"/>
  <c r="G114" i="7"/>
  <c r="E114" i="7"/>
  <c r="D114" i="7"/>
  <c r="S124" i="7"/>
  <c r="R124" i="7"/>
  <c r="K124" i="7"/>
  <c r="G124" i="7"/>
  <c r="D124" i="7"/>
  <c r="S140" i="7"/>
  <c r="R140" i="7"/>
  <c r="K140" i="7"/>
  <c r="G140" i="7"/>
  <c r="F140" i="7"/>
  <c r="E140" i="7"/>
  <c r="D140" i="7"/>
  <c r="S139" i="7"/>
  <c r="R139" i="7"/>
  <c r="K139" i="7"/>
  <c r="G139" i="7"/>
  <c r="F139" i="7"/>
  <c r="E139" i="7"/>
  <c r="D139" i="7"/>
  <c r="S126" i="7" l="1"/>
  <c r="R126" i="7"/>
  <c r="G126" i="7"/>
  <c r="E126" i="7"/>
  <c r="D126" i="7"/>
  <c r="R144" i="7" l="1"/>
  <c r="S144" i="7"/>
  <c r="G144" i="7"/>
  <c r="E144" i="7"/>
  <c r="D144" i="7"/>
  <c r="S117" i="7" l="1"/>
  <c r="R117" i="7"/>
  <c r="K117" i="7"/>
  <c r="G117" i="7"/>
  <c r="E117" i="7"/>
  <c r="D117" i="7"/>
  <c r="S120" i="7"/>
  <c r="R120" i="7"/>
  <c r="K120" i="7"/>
  <c r="G120" i="7"/>
  <c r="E120" i="7"/>
  <c r="D120" i="7"/>
  <c r="S116" i="7"/>
  <c r="R116" i="7"/>
  <c r="S131" i="7"/>
  <c r="R131" i="7"/>
  <c r="K131" i="7"/>
  <c r="G131" i="7"/>
  <c r="E131" i="7"/>
  <c r="D131" i="7"/>
  <c r="S118" i="7"/>
  <c r="R118" i="7"/>
  <c r="G118" i="7"/>
  <c r="E118" i="7"/>
  <c r="D118" i="7"/>
  <c r="S125" i="7"/>
  <c r="R125" i="7"/>
  <c r="K125" i="7"/>
  <c r="G125" i="7"/>
  <c r="E125" i="7"/>
  <c r="D125" i="7"/>
  <c r="D136" i="7" l="1"/>
  <c r="G136" i="7"/>
  <c r="S122" i="7" l="1"/>
  <c r="R122" i="7"/>
  <c r="K119" i="7"/>
  <c r="G119" i="7"/>
  <c r="E119" i="7"/>
  <c r="H119" i="7" s="1"/>
  <c r="D119" i="7"/>
  <c r="K133" i="7"/>
  <c r="G133" i="7"/>
  <c r="E133" i="7"/>
  <c r="H133" i="7" s="1"/>
  <c r="D133" i="7"/>
  <c r="S113" i="7" l="1"/>
  <c r="R113" i="7"/>
  <c r="K113" i="7"/>
  <c r="E113" i="7"/>
  <c r="D113" i="7"/>
  <c r="S112" i="7"/>
  <c r="R112" i="7"/>
  <c r="S136" i="7"/>
  <c r="R136" i="7"/>
  <c r="K136" i="7"/>
  <c r="F138" i="7" l="1"/>
  <c r="H51" i="7" l="1"/>
  <c r="M190" i="7" l="1"/>
  <c r="N190" i="7"/>
  <c r="P190" i="7"/>
  <c r="H201" i="7" l="1"/>
  <c r="H115" i="7"/>
  <c r="H33" i="7" l="1"/>
  <c r="H31" i="7" l="1"/>
  <c r="H136" i="7" l="1"/>
  <c r="H48" i="7" l="1"/>
  <c r="H43" i="7" l="1"/>
  <c r="H150" i="7" l="1"/>
  <c r="H96" i="7" l="1"/>
  <c r="H104" i="7" l="1"/>
  <c r="T156" i="7" l="1"/>
  <c r="K156" i="7"/>
  <c r="P200" i="7"/>
  <c r="N200" i="7"/>
  <c r="M200" i="7"/>
  <c r="I156" i="7"/>
  <c r="M156" i="7" l="1"/>
  <c r="C9" i="2"/>
  <c r="H204" i="7"/>
  <c r="H15" i="7" l="1"/>
  <c r="H134" i="7" l="1"/>
  <c r="H81" i="7"/>
  <c r="H175" i="7"/>
  <c r="H22" i="7"/>
  <c r="H161" i="7" l="1"/>
  <c r="H162" i="7"/>
  <c r="H164" i="7"/>
  <c r="H165" i="7"/>
  <c r="H166" i="7"/>
  <c r="H168" i="7"/>
  <c r="H169" i="7"/>
  <c r="H172" i="7"/>
  <c r="H174" i="7"/>
  <c r="H173" i="7"/>
  <c r="H176" i="7"/>
  <c r="H177" i="7"/>
  <c r="H178" i="7"/>
  <c r="H179" i="7"/>
  <c r="H180" i="7"/>
  <c r="H182" i="7"/>
  <c r="H183" i="7"/>
  <c r="H184" i="7"/>
  <c r="H185" i="7"/>
  <c r="H186" i="7"/>
  <c r="H159" i="7"/>
  <c r="P150" i="7" l="1"/>
  <c r="N150" i="7"/>
  <c r="M150" i="7"/>
  <c r="H202" i="7" l="1"/>
  <c r="H203" i="7"/>
  <c r="H205" i="7"/>
  <c r="H206" i="7"/>
  <c r="H207" i="7"/>
  <c r="H209" i="7"/>
  <c r="H210" i="7"/>
  <c r="H211" i="7"/>
  <c r="H200" i="7" l="1"/>
  <c r="H197" i="7"/>
  <c r="H196" i="7"/>
  <c r="H190" i="7"/>
  <c r="H191" i="7"/>
  <c r="H152" i="7"/>
  <c r="H153" i="7"/>
  <c r="H154" i="7"/>
  <c r="H155" i="7"/>
  <c r="H132" i="7"/>
  <c r="H135" i="7"/>
  <c r="H137" i="7"/>
  <c r="H138" i="7"/>
  <c r="H139" i="7"/>
  <c r="H140" i="7"/>
  <c r="H142" i="7"/>
  <c r="H144" i="7"/>
  <c r="H146" i="7"/>
  <c r="H131" i="7"/>
  <c r="H113" i="7"/>
  <c r="H114" i="7"/>
  <c r="H116" i="7"/>
  <c r="H117" i="7"/>
  <c r="H118" i="7"/>
  <c r="H120" i="7"/>
  <c r="H121" i="7"/>
  <c r="H122" i="7"/>
  <c r="H124" i="7"/>
  <c r="H125" i="7"/>
  <c r="H126" i="7"/>
  <c r="H127" i="7"/>
  <c r="H128" i="7"/>
  <c r="O190" i="7" l="1"/>
  <c r="Q190" i="7"/>
  <c r="Q200" i="7"/>
  <c r="O200" i="7"/>
  <c r="Q150" i="7"/>
  <c r="O150" i="7"/>
  <c r="H72" i="7"/>
  <c r="H73" i="7"/>
  <c r="H74" i="7"/>
  <c r="H75" i="7"/>
  <c r="H76" i="7"/>
  <c r="H77" i="7"/>
  <c r="H78" i="7"/>
  <c r="H79" i="7"/>
  <c r="H80" i="7"/>
  <c r="H82" i="7"/>
  <c r="H83" i="7"/>
  <c r="H84" i="7"/>
  <c r="H85" i="7"/>
  <c r="H86" i="7"/>
  <c r="H88" i="7"/>
  <c r="H89" i="7"/>
  <c r="H90" i="7"/>
  <c r="H91" i="7"/>
  <c r="H92" i="7"/>
  <c r="H93" i="7"/>
  <c r="H94" i="7"/>
  <c r="H95" i="7"/>
  <c r="H97" i="7"/>
  <c r="H98" i="7"/>
  <c r="H99" i="7"/>
  <c r="H100" i="7"/>
  <c r="H101" i="7"/>
  <c r="H102" i="7"/>
  <c r="H103" i="7"/>
  <c r="H107" i="7"/>
  <c r="H8" i="7"/>
  <c r="H9" i="7"/>
  <c r="H11" i="7"/>
  <c r="H12" i="7"/>
  <c r="H13" i="7"/>
  <c r="H14" i="7"/>
  <c r="H16" i="7"/>
  <c r="H17" i="7"/>
  <c r="H19" i="7"/>
  <c r="H21" i="7"/>
  <c r="H23" i="7"/>
  <c r="H6" i="7"/>
  <c r="H7" i="7"/>
  <c r="H28" i="7" l="1"/>
  <c r="H30" i="7"/>
  <c r="H32" i="7"/>
  <c r="H34" i="7"/>
  <c r="H35" i="7"/>
  <c r="H36" i="7"/>
  <c r="H37" i="7"/>
  <c r="H38" i="7"/>
  <c r="H39" i="7"/>
  <c r="H40" i="7"/>
  <c r="H41" i="7"/>
  <c r="H42" i="7"/>
  <c r="H46" i="7"/>
  <c r="H47" i="7"/>
  <c r="H49" i="7"/>
  <c r="H50" i="7"/>
  <c r="H52" i="7"/>
  <c r="H53" i="7"/>
  <c r="H54" i="7"/>
  <c r="H55" i="7"/>
  <c r="H56" i="7"/>
  <c r="H58" i="7"/>
  <c r="H59" i="7"/>
  <c r="H60" i="7"/>
  <c r="H62" i="7"/>
  <c r="H63" i="7"/>
  <c r="H64" i="7"/>
  <c r="H65" i="7"/>
  <c r="H67" i="7"/>
  <c r="Q196" i="7" l="1"/>
  <c r="P196" i="7"/>
  <c r="O196" i="7"/>
  <c r="N196" i="7"/>
  <c r="M196" i="7"/>
  <c r="T192" i="7"/>
  <c r="K192" i="7"/>
  <c r="I192" i="7"/>
  <c r="K187" i="7"/>
  <c r="I187" i="7"/>
  <c r="T187" i="7"/>
  <c r="B11" i="6" s="1"/>
  <c r="P159" i="7"/>
  <c r="N159" i="7"/>
  <c r="M159" i="7"/>
  <c r="Q159" i="7"/>
  <c r="L150" i="7"/>
  <c r="T147" i="7"/>
  <c r="B9" i="6" s="1"/>
  <c r="P112" i="7"/>
  <c r="N112" i="7"/>
  <c r="M112" i="7"/>
  <c r="Q112" i="7"/>
  <c r="T108" i="7"/>
  <c r="K108" i="7"/>
  <c r="I108" i="7"/>
  <c r="P71" i="7"/>
  <c r="N71" i="7"/>
  <c r="M71" i="7"/>
  <c r="T68" i="7"/>
  <c r="B7" i="6" s="1"/>
  <c r="K68" i="7"/>
  <c r="I68" i="7"/>
  <c r="P27" i="7"/>
  <c r="N27" i="7"/>
  <c r="M27" i="7"/>
  <c r="H27" i="7"/>
  <c r="Q27" i="7" s="1"/>
  <c r="T24" i="7"/>
  <c r="K24" i="7"/>
  <c r="I24" i="7"/>
  <c r="P5" i="7"/>
  <c r="N5" i="7"/>
  <c r="M5" i="7"/>
  <c r="Q5" i="7"/>
  <c r="C6" i="2" l="1"/>
  <c r="B9" i="3"/>
  <c r="J215" i="7"/>
  <c r="L190" i="7"/>
  <c r="J190" i="7"/>
  <c r="B5" i="3"/>
  <c r="C11" i="2"/>
  <c r="M192" i="7"/>
  <c r="L200" i="7"/>
  <c r="J200" i="7"/>
  <c r="C10" i="2"/>
  <c r="M24" i="7"/>
  <c r="M68" i="7"/>
  <c r="M108" i="7"/>
  <c r="M187" i="7"/>
  <c r="J150" i="7"/>
  <c r="Q131" i="7"/>
  <c r="N131" i="7"/>
  <c r="J71" i="7"/>
  <c r="L196" i="7"/>
  <c r="O112" i="7"/>
  <c r="J159" i="7"/>
  <c r="L27" i="7"/>
  <c r="J196" i="7"/>
  <c r="M218" i="7"/>
  <c r="T219" i="7"/>
  <c r="T228" i="7" s="1"/>
  <c r="L71" i="7"/>
  <c r="M131" i="7"/>
  <c r="P131" i="7"/>
  <c r="O159" i="7"/>
  <c r="L5" i="7"/>
  <c r="Q71" i="7"/>
  <c r="O71" i="7"/>
  <c r="K147" i="7"/>
  <c r="B8" i="3" s="1"/>
  <c r="J5" i="7"/>
  <c r="O5" i="7"/>
  <c r="J27" i="7"/>
  <c r="O27" i="7"/>
  <c r="I147" i="7"/>
  <c r="L159" i="7"/>
  <c r="C8" i="2" l="1"/>
  <c r="J131" i="7"/>
  <c r="M147" i="7"/>
  <c r="O131" i="7"/>
  <c r="K219" i="7"/>
  <c r="J112" i="7"/>
  <c r="L112" i="7"/>
  <c r="L131" i="7"/>
  <c r="I219" i="7"/>
  <c r="J147" i="7" s="1"/>
  <c r="L218" i="7" l="1"/>
  <c r="K228" i="7"/>
  <c r="L156" i="7"/>
  <c r="L108" i="7"/>
  <c r="L192" i="7"/>
  <c r="L68" i="7"/>
  <c r="L24" i="7"/>
  <c r="L147" i="7"/>
  <c r="L187" i="7"/>
  <c r="J218" i="7"/>
  <c r="J156" i="7"/>
  <c r="J108" i="7"/>
  <c r="J187" i="7"/>
  <c r="J68" i="7"/>
  <c r="J24" i="7"/>
  <c r="J192" i="7"/>
</calcChain>
</file>

<file path=xl/sharedStrings.xml><?xml version="1.0" encoding="utf-8"?>
<sst xmlns="http://schemas.openxmlformats.org/spreadsheetml/2006/main" count="462" uniqueCount="311">
  <si>
    <t>S/N</t>
  </si>
  <si>
    <t>FUND</t>
  </si>
  <si>
    <t>FUND MANAGER</t>
  </si>
  <si>
    <t>TOTAL VALUE OF INVESTMENT (N)</t>
  </si>
  <si>
    <t>TOTAL INCOME (N)</t>
  </si>
  <si>
    <t>UNREALIZED CAPITAL GAIN/LOSS (N)</t>
  </si>
  <si>
    <t>TOTAL EXPENSES (N)</t>
  </si>
  <si>
    <t>NET INCOME/LOSS (N)</t>
  </si>
  <si>
    <t>% ON TOTAL</t>
  </si>
  <si>
    <t xml:space="preserve">NET ASSET VALUE (N) </t>
  </si>
  <si>
    <t>% CHANGE IN NAV</t>
  </si>
  <si>
    <t>EXPENSE RATIO</t>
  </si>
  <si>
    <t>RETURN ON EQUITY (ROE)</t>
  </si>
  <si>
    <t>NET ASSET PER UNIT</t>
  </si>
  <si>
    <t>EARNINGS PER UNIT (EPU)</t>
  </si>
  <si>
    <t>BID PRICE (N)</t>
  </si>
  <si>
    <t>OFFER PRICE (N)</t>
  </si>
  <si>
    <t>NUMBER OF UNIT HOLDERS</t>
  </si>
  <si>
    <t>OPENING NUMBER OF UNITS</t>
  </si>
  <si>
    <t>CLOSING NUMBER OF UNITS</t>
  </si>
  <si>
    <t>EQUITY BASED FUNDS</t>
  </si>
  <si>
    <t>Afrinvest Equity Fund</t>
  </si>
  <si>
    <t>Afrinvest Asset Management Ltd.</t>
  </si>
  <si>
    <t>Anchoria Equity Fund</t>
  </si>
  <si>
    <t>Anchoria Asset Management Limited</t>
  </si>
  <si>
    <t>ARM Aggressive Growth Fund</t>
  </si>
  <si>
    <t xml:space="preserve">ARM Investment Managers Limited </t>
  </si>
  <si>
    <t>AXA Mansard Equity Income Fund</t>
  </si>
  <si>
    <t>AXA Mansard Investments Limited</t>
  </si>
  <si>
    <t>FBN Nigeria Smart Beta Equity Fund</t>
  </si>
  <si>
    <t>FBN Capital Asset Mgt</t>
  </si>
  <si>
    <t>Frontier Fund</t>
  </si>
  <si>
    <t>SCM Capital Limited</t>
  </si>
  <si>
    <t>Futureview Equity Fund</t>
  </si>
  <si>
    <t xml:space="preserve">Futureview Asset Management Limited </t>
  </si>
  <si>
    <t>Guaranty Trust Equity Income Fund</t>
  </si>
  <si>
    <t>Guaranty Trust Fund Managers Limited</t>
  </si>
  <si>
    <t>Legacy Equity Fund</t>
  </si>
  <si>
    <t>First City Asset Management Plc</t>
  </si>
  <si>
    <t>Meristem Equity Market Fund</t>
  </si>
  <si>
    <t>Meristem Wealth Management Limited</t>
  </si>
  <si>
    <t>Pacam Equity Fund</t>
  </si>
  <si>
    <t>PAC Asset Management Ltd.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</si>
  <si>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</si>
  <si>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</si>
  <si>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</si>
  <si>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</si>
  <si>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</si>
  <si>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Cowry Treasurers Limited</t>
  </si>
  <si>
    <t>United Capital Equity Fund</t>
  </si>
  <si>
    <t>United Capital Asset Mgt. Ltd</t>
  </si>
  <si>
    <t>Sub 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</si>
  <si>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</si>
  <si>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</si>
  <si>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</si>
  <si>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</si>
  <si>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</si>
  <si>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</si>
  <si>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ARM Investment Managers Limited</t>
  </si>
  <si>
    <t>AXA Mansard Money Market Fund</t>
  </si>
  <si>
    <t>FSDH Asset Management Ltd</t>
  </si>
  <si>
    <t>Cordros Money Market Fund</t>
  </si>
  <si>
    <t>Cordros Asset Management Limited</t>
  </si>
  <si>
    <t>Coronation Money Market Fund</t>
  </si>
  <si>
    <t>Coronation Asset Management Limited</t>
  </si>
  <si>
    <t>EDC Money Market Class A</t>
  </si>
  <si>
    <t>EDC Fund Management</t>
  </si>
  <si>
    <t>EDC Money Market Class B</t>
  </si>
  <si>
    <t>Emerging Africa Money Market Fund</t>
  </si>
  <si>
    <t>Emerging Africa Asset Management Limited</t>
  </si>
  <si>
    <t>FAAM Money Market Fund</t>
  </si>
  <si>
    <t>First Ally Asset Management Limited</t>
  </si>
  <si>
    <t>FBN Money Market Fund</t>
  </si>
  <si>
    <t>FBN Capital Asset Mgt. Limited</t>
  </si>
  <si>
    <t>GDL Money Market Fund</t>
  </si>
  <si>
    <t xml:space="preserve">Growth and Development Asset Management Limited </t>
  </si>
  <si>
    <t>Greenwich Plus Money Market</t>
  </si>
  <si>
    <t xml:space="preserve">Greenwich Asst Management Ltd </t>
  </si>
  <si>
    <t>Guaranty Trust Money Market Fund</t>
  </si>
  <si>
    <t>Legacy Money Market Fund</t>
  </si>
  <si>
    <t>Meristem Money Market Fund</t>
  </si>
  <si>
    <t>Norrenberger Money Market Fund</t>
  </si>
  <si>
    <t>NOVA Prime Money Market Fund</t>
  </si>
  <si>
    <t>NOVAMBL Asset Management Limited</t>
  </si>
  <si>
    <t>PACAM Money Market Fund</t>
  </si>
  <si>
    <t>Stanbic IBTC Money Market Fund</t>
  </si>
  <si>
    <t>Trustbanc Money Market Fund</t>
  </si>
  <si>
    <t>Trustbanc Asset Management Limited</t>
  </si>
  <si>
    <t>United Capital Money Market Fund</t>
  </si>
  <si>
    <t>ValuAlliance Money Market Fund</t>
  </si>
  <si>
    <t>ValuAlliance Asset Management Limited</t>
  </si>
  <si>
    <t>Vetiva Money Market Fund</t>
  </si>
  <si>
    <t>Vetiva Fund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</si>
  <si>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</si>
  <si>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</si>
  <si>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</si>
  <si>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</si>
  <si>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</si>
  <si>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Term-Bond Fund</t>
  </si>
  <si>
    <t>ARM Investment Managers</t>
  </si>
  <si>
    <t>AVA GAM Fixed Income Naira Fund</t>
  </si>
  <si>
    <t>AVA Global Asset Managers Limited</t>
  </si>
  <si>
    <t>CardinalStone Fixed Income Alpha Fund</t>
  </si>
  <si>
    <t>CardinalStone Asset Mgt. Limited</t>
  </si>
  <si>
    <t>CEAT Fixed Income Fund</t>
  </si>
  <si>
    <t>Capital Express Assset &amp; Trust Limited</t>
  </si>
  <si>
    <t>Coral Income Fund</t>
  </si>
  <si>
    <t>Cordros Fixed Income Fund</t>
  </si>
  <si>
    <t>Coronation Fixed Income Fund</t>
  </si>
  <si>
    <t>DLM Fixed Income Fund</t>
  </si>
  <si>
    <t>DLM Asset Management Limited</t>
  </si>
  <si>
    <t>EDC Nigeria Fixed Income Fund</t>
  </si>
  <si>
    <t>Emerging Africa Bond Fund</t>
  </si>
  <si>
    <t>GDL Income Fund</t>
  </si>
  <si>
    <t xml:space="preserve">Lead Fixed Income Fund </t>
  </si>
  <si>
    <t>Lead Asset Mgt Ltd</t>
  </si>
  <si>
    <t>Legacy Debt Fund</t>
  </si>
  <si>
    <t>Lotus Halal Fixed Income Fund</t>
  </si>
  <si>
    <t>Lotus Capital Limited</t>
  </si>
  <si>
    <t>Nigeria International Debt Fund</t>
  </si>
  <si>
    <t>PACAM Fixed Income Fund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</si>
  <si>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</si>
  <si>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</si>
  <si>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</si>
  <si>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</si>
  <si>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</si>
  <si>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</si>
  <si>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</si>
  <si>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</si>
  <si>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Zenith Income Fund</t>
  </si>
  <si>
    <t>DOLLAR FUND</t>
  </si>
  <si>
    <t>EUROBONDS</t>
  </si>
  <si>
    <t>Afrinvest Dollar Fund</t>
  </si>
  <si>
    <t>ARM Eurobond Fund</t>
  </si>
  <si>
    <t>Emerging Africa Eurobond Fund</t>
  </si>
  <si>
    <t>FBN Dollar Fund (Retail)</t>
  </si>
  <si>
    <t>FBNQuest Asset Management Limited</t>
  </si>
  <si>
    <t>FBN Specialized Dollar Fund</t>
  </si>
  <si>
    <t>Futureview Dollar Fund</t>
  </si>
  <si>
    <t>Futureview Asset Management Limited</t>
  </si>
  <si>
    <t>Legacy USD Bond Fund</t>
  </si>
  <si>
    <t>First City Asset Management Ltd.</t>
  </si>
  <si>
    <t>Nigerian Eurobond Fund</t>
  </si>
  <si>
    <t>Norrenberger Dollar Fund</t>
  </si>
  <si>
    <t>Norrenberger Investment &amp; Capital Management Limited</t>
  </si>
  <si>
    <t>Pacam Eurobond Fund</t>
  </si>
  <si>
    <t>FIXED INCOME</t>
  </si>
  <si>
    <t>AVA GAM Fixed Income Dollar Fund</t>
  </si>
  <si>
    <t>AXA Mansard Dollar Bond Fund</t>
  </si>
  <si>
    <t>Cordros Dollar Fund</t>
  </si>
  <si>
    <t>FSDH Dollar Fund</t>
  </si>
  <si>
    <t>Nigeria Dollar Income Fund</t>
  </si>
  <si>
    <t>NOVA Dollar Fixed Income Fund</t>
  </si>
  <si>
    <t>Stanbic IBTC Dollar Fund</t>
  </si>
  <si>
    <t xml:space="preserve">United Capital Global Fixed Income Fund </t>
  </si>
  <si>
    <t>REAL ESTATE FUNDS</t>
  </si>
  <si>
    <t>Nigeria Real Estate Investment Trust</t>
  </si>
  <si>
    <t>SFS Real Estate Investment Trust Fund</t>
  </si>
  <si>
    <t>Union Homes REITS</t>
  </si>
  <si>
    <t>UPDC Real Estate Investment Fund</t>
  </si>
  <si>
    <t>Stanbic IBTC Asset Management Limited</t>
  </si>
  <si>
    <t>BALANCED FUNDS</t>
  </si>
  <si>
    <t>AIICO Balanced Fund</t>
  </si>
  <si>
    <t>ARM Discovery Balanced Fund</t>
  </si>
  <si>
    <t>Capital Express Balanced Fund</t>
  </si>
  <si>
    <t>Coral Balanced Fund</t>
  </si>
  <si>
    <t>Cordros Milestone Fund</t>
  </si>
  <si>
    <t>Coronation Balanced Fund</t>
  </si>
  <si>
    <t>EDC Balanced Fund</t>
  </si>
  <si>
    <t>EDC Fund Management Limited</t>
  </si>
  <si>
    <t>Emerging Africa Balanced-Diversity Fund</t>
  </si>
  <si>
    <t>FBN Balanced Fund</t>
  </si>
  <si>
    <t>GDL Canary Balanced Fund</t>
  </si>
  <si>
    <t>Greenwich Balanced Fund</t>
  </si>
  <si>
    <t>Guaranty Trust Balanced Fund</t>
  </si>
  <si>
    <t xml:space="preserve">Lead Balanced Fund </t>
  </si>
  <si>
    <t>Nigeria Energy Sector Fund</t>
  </si>
  <si>
    <t>NOVA Hybrid Balanced Fund</t>
  </si>
  <si>
    <t>PACAM Balanced Fund</t>
  </si>
  <si>
    <t>Stanbic IBTC Balanced Fund</t>
  </si>
  <si>
    <t>United Capital Balanced Fund</t>
  </si>
  <si>
    <t>ValuAlliance Value Fund</t>
  </si>
  <si>
    <t>Wealth For Women Fund</t>
  </si>
  <si>
    <t>Zenith Balanced Strategy Fund</t>
  </si>
  <si>
    <t>ETHICAL FUNDS</t>
  </si>
  <si>
    <t>Stanbic IBTC Ethical Fund</t>
  </si>
  <si>
    <t>Zenith ESG Impact Fund</t>
  </si>
  <si>
    <t>SHARI'AH COMPLIANT FUNDS</t>
  </si>
  <si>
    <t>EQUITIES</t>
  </si>
  <si>
    <t>Lotus Halal Investment  Fund</t>
  </si>
  <si>
    <t>Stanbic IBTC Imaan Fund</t>
  </si>
  <si>
    <t>Capital Trust Halal Fixed Income Fund</t>
  </si>
  <si>
    <t>Capital Trust Investments &amp; Asset Mgt. Ltd</t>
  </si>
  <si>
    <t>Cordros Halal Fixed Income Fund</t>
  </si>
  <si>
    <t>EDC Halal Fund</t>
  </si>
  <si>
    <t>FBN Halal Fund</t>
  </si>
  <si>
    <t>Norrenberger Islamic Fund</t>
  </si>
  <si>
    <t>Stanbic IBTC Shariah Fixed Income Fund</t>
  </si>
  <si>
    <t>United Capital Sukuk Fund</t>
  </si>
  <si>
    <t>Grand Total</t>
  </si>
  <si>
    <t>Note:</t>
  </si>
  <si>
    <t>FUNDS</t>
  </si>
  <si>
    <t>BONDS/FIXED INCOME FUNDS</t>
  </si>
  <si>
    <t>DOLLAR FUNDS</t>
  </si>
  <si>
    <t>REAL ESTATE INVESTMENT TRUST</t>
  </si>
  <si>
    <t>SHARI'AH COMPLAINT FUNDS</t>
  </si>
  <si>
    <t>UNIT HOLDERS</t>
  </si>
  <si>
    <t>Cowry Equity Fund</t>
  </si>
  <si>
    <t>CardinalStone Equity Fund</t>
  </si>
  <si>
    <t>Page Money Market Fund</t>
  </si>
  <si>
    <t>Page Asset Management Limited</t>
  </si>
  <si>
    <t>RMBN Money Market Fund</t>
  </si>
  <si>
    <t>RMB Nigeria Asset Management Ltd.</t>
  </si>
  <si>
    <t>RT Briscoe Savings &amp; Investment Fund</t>
  </si>
  <si>
    <t>Comercio Partners Money Market Fund</t>
  </si>
  <si>
    <t>Comercio Partners Asset Management Limited</t>
  </si>
  <si>
    <t>BALANCED</t>
  </si>
  <si>
    <t>Lotus Waqf (Endowment) Fund</t>
  </si>
  <si>
    <t>Marble Halal Commodities Fund</t>
  </si>
  <si>
    <t xml:space="preserve">Marble Capital Limited </t>
  </si>
  <si>
    <t>Marble Halal Fixed Income Fund</t>
  </si>
  <si>
    <t>FSDH Halal Fund</t>
  </si>
  <si>
    <t>Alpha Morgan Balanced Fund</t>
  </si>
  <si>
    <t>Alpha Morgan Capital Managers Limited</t>
  </si>
  <si>
    <t>Cowry Balanced Fund</t>
  </si>
  <si>
    <t>The Nigeria Football Fund</t>
  </si>
  <si>
    <t>GTI Asset Management &amp; Trust Limited</t>
  </si>
  <si>
    <t>GTI Balanced Fund</t>
  </si>
  <si>
    <t>Housing Solution Fund</t>
  </si>
  <si>
    <t>FUNDCO Capital Managers Limited</t>
  </si>
  <si>
    <t>Coral Money Market Fund</t>
  </si>
  <si>
    <t>AIICO Eurobond Fund</t>
  </si>
  <si>
    <t>RMBN Dollar Fixed Income Fund</t>
  </si>
  <si>
    <t>Lead Dollar Fixed Income Fund</t>
  </si>
  <si>
    <t>Lead Asset Management Limited</t>
  </si>
  <si>
    <t>Meristem Dollar Fund</t>
  </si>
  <si>
    <t>CardinalStone Dollar Fund</t>
  </si>
  <si>
    <t>Comercio Partners Dollar Fund</t>
  </si>
  <si>
    <t>Cowry Eurobond Fund</t>
  </si>
  <si>
    <t>EDC Dollar Fund</t>
  </si>
  <si>
    <t>Cowry Fixed Income Fund</t>
  </si>
  <si>
    <t>Guaranty Trust Fixed Income Fund</t>
  </si>
  <si>
    <t>Utica Custodian Assured Fixed Income Fund</t>
  </si>
  <si>
    <t>Utica Capital Limited</t>
  </si>
  <si>
    <t>Nigeria Bond Fund</t>
  </si>
  <si>
    <t>Meristem Fixed Income Fund</t>
  </si>
  <si>
    <t>Comercio Partners Fixed Income Fund</t>
  </si>
  <si>
    <t>FBN Bond Fund</t>
  </si>
  <si>
    <t>Norrenberger Turbo Fixed Income Fund</t>
  </si>
  <si>
    <t>Norrenberger Investment &amp; Capital Mgt. Ltd.</t>
  </si>
  <si>
    <t>GTI  Money Market Fund</t>
  </si>
  <si>
    <t>Growth and Development Asset Management Limited</t>
  </si>
  <si>
    <t>Halo Equity Fund</t>
  </si>
  <si>
    <t>Zrosk Magna Equity Fund</t>
  </si>
  <si>
    <t>Zrosk Investment Management Limited</t>
  </si>
  <si>
    <t>Hillcrest Balanced Fund</t>
  </si>
  <si>
    <t>Hillcrest Capital Management Limited</t>
  </si>
  <si>
    <t>Coronation Dollar Fund</t>
  </si>
  <si>
    <t>Coronation Premium Fixed Income Fund</t>
  </si>
  <si>
    <t>Emerging Africa Halal Fund</t>
  </si>
  <si>
    <t>Chapel Hill Denham Money Market Fund</t>
  </si>
  <si>
    <t>Norrenberger Investment and Capital Mgt Limited</t>
  </si>
  <si>
    <t>United Capital Stable Fixed Income Fund</t>
  </si>
  <si>
    <t>Radix Horizon Fund</t>
  </si>
  <si>
    <t>Radix Capital Partners Limited</t>
  </si>
  <si>
    <t>CardinalStone Money Market Fund</t>
  </si>
  <si>
    <t>FSL Money Market Fund</t>
  </si>
  <si>
    <t>FSL  Asset Management Limited</t>
  </si>
  <si>
    <t>Guaranty Trust Investment Fund 724</t>
  </si>
  <si>
    <t>Guaranty Trust Dollar Fund</t>
  </si>
  <si>
    <t>AVA GAM Money Market Fund</t>
  </si>
  <si>
    <t>ARM Short-Term Eurobond Fund</t>
  </si>
  <si>
    <t>ARM Sharia Compliant Fixed Income Fund</t>
  </si>
  <si>
    <t>FSL Eurobond Fund</t>
  </si>
  <si>
    <t>FSL Asset Management Limited</t>
  </si>
  <si>
    <t>Halo Nigeria Capital Management Limited</t>
  </si>
  <si>
    <t>Mango Naira Money Maket Fund</t>
  </si>
  <si>
    <t>Mango Asset Management Limited</t>
  </si>
  <si>
    <t>MONTHLY UPDATE ON REGISTERED MUTUAL FUNDS AS AT 31ST MAY, 2025</t>
  </si>
  <si>
    <r>
      <t>US$/NG</t>
    </r>
    <r>
      <rPr>
        <strike/>
        <sz val="8"/>
        <color theme="0"/>
        <rFont val="Times New Roman"/>
        <family val="1"/>
      </rPr>
      <t>N</t>
    </r>
    <r>
      <rPr>
        <sz val="8"/>
        <color theme="0"/>
        <rFont val="Times New Roman"/>
        <family val="1"/>
      </rPr>
      <t xml:space="preserve"> I&amp;E as at 30th May, 2025 = N1586.1524</t>
    </r>
  </si>
  <si>
    <t>NET ASSET VALUE (N) PREVIOUS - APRIL</t>
  </si>
  <si>
    <t>CardinalStone Balanced Fund</t>
  </si>
  <si>
    <t>One17 Halal Fund</t>
  </si>
  <si>
    <t>One17 Capital Limited</t>
  </si>
  <si>
    <t>ARM Halal Balanced Fund</t>
  </si>
  <si>
    <t>MOFI Real Estate Investment Fund</t>
  </si>
  <si>
    <t>2 ,500,000,000</t>
  </si>
  <si>
    <t>SPECIALISED FUNDS</t>
  </si>
  <si>
    <t>ARM Specialized Dollar Fund</t>
  </si>
  <si>
    <t>Clean Energy Fund</t>
  </si>
  <si>
    <t>Fundco Capital Managers Limited</t>
  </si>
  <si>
    <t>FBN Blended Dollar Fund</t>
  </si>
  <si>
    <t>FCMB-TLG Private Debt Fund</t>
  </si>
  <si>
    <t>FCMB Asset Management Limited</t>
  </si>
  <si>
    <t>United Capital Children Investment Fund</t>
  </si>
  <si>
    <t>Zedcrest Dollar Fund</t>
  </si>
  <si>
    <t>Zedcrest Investment Managers Limited</t>
  </si>
  <si>
    <t>Zedcrest Fixed Income Fund</t>
  </si>
  <si>
    <t>Zedcrest Money Market Fund</t>
  </si>
  <si>
    <t xml:space="preserve"> </t>
  </si>
  <si>
    <t>Apr 2025</t>
  </si>
  <si>
    <t>May 2025</t>
  </si>
  <si>
    <t>Mutual Fund Total</t>
  </si>
  <si>
    <t>Parthian Money Market Fund</t>
  </si>
  <si>
    <t>Parthian Capital Ltd.</t>
  </si>
  <si>
    <t>STL Money Market Fund</t>
  </si>
  <si>
    <t>STL Asset Mgt. Limited</t>
  </si>
  <si>
    <t>STL Dollar Fund</t>
  </si>
  <si>
    <t>STL Balanced Fund</t>
  </si>
  <si>
    <t>Parthian Dollar Fixed Income Fund</t>
  </si>
  <si>
    <t>BALANCED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</si>
</sst>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5" formatCode="&quot;$&quot;#,##0_);\(&quot;$&quot;#,##0\)"/>
    <numFmt numFmtId="43" formatCode="_(* #,##0.00_);_(* \(#,##0.00\);_(* &quot;-&quot;??_);_(@_)"/>
    <numFmt numFmtId="164" formatCode="_-* #,##0.00_-;\-* #,##0.00_-;_-* &quot;-&quot;??_-;_-@_-"/>
    <numFmt numFmtId="165" formatCode="0;[Red]0"/>
    <numFmt numFmtId="166" formatCode="mmm\-yyyy"/>
    <numFmt numFmtId="167" formatCode="dd/mm/yy;@"/>
    <numFmt numFmtId="168" formatCode="[$-409]d\-mmm\-yy;@"/>
    <numFmt numFmtId="169" formatCode="&quot;Yes&quot;;&quot;Yes&quot;;&quot;No&quot;"/>
    <numFmt numFmtId="170" formatCode="0.00_)"/>
    <numFmt numFmtId="171" formatCode="_(* #,##0_);_(* \(#,##0\);_(* &quot;-&quot;??_);_(@_)"/>
    <numFmt numFmtId="172" formatCode="&quot; &quot;* #,##0.00&quot; &quot;;&quot;-&quot;* #,##0.00&quot; &quot;;&quot; &quot;* &quot;-&quot;??&quot; &quot;"/>
    <numFmt numFmtId="173" formatCode="&quot; &quot;* #,##0&quot; &quot;;&quot;-&quot;* #,##0&quot; &quot;;&quot; &quot;* &quot;-&quot;??&quot; &quot;"/>
    <numFmt numFmtId="174" formatCode="_-* #,##0_-;\-* #,##0_-;_-* &quot;-&quot;??_-;_-@_-"/>
    <numFmt numFmtId="175" formatCode="&quot; &quot;* #,##0.00&quot; &quot;;&quot; &quot;* \(#,##0.00\);&quot; &quot;* &quot;-&quot;??&quot; &quot;"/>
  </numFmts>
  <fonts count="4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Century Gothic"/>
      <family val="2"/>
    </font>
    <font>
      <sz val="10"/>
      <color indexed="8"/>
      <name val="Calibri"/>
      <family val="2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imes New Roman"/>
      <family val="1"/>
    </font>
    <font>
      <sz val="11"/>
      <color rgb="FF9C5700"/>
      <name val="Calibri"/>
      <family val="2"/>
      <scheme val="minor"/>
    </font>
    <font>
      <b/>
      <i/>
      <sz val="16"/>
      <name val="Helv"/>
      <charset val="134"/>
    </font>
    <font>
      <sz val="10"/>
      <color theme="1"/>
      <name val="Futura Bk BT"/>
      <family val="2"/>
    </font>
    <font>
      <sz val="18"/>
      <color theme="3"/>
      <name val="Calibri Light"/>
      <family val="2"/>
      <scheme val="major"/>
    </font>
    <font>
      <b/>
      <sz val="18"/>
      <color theme="3"/>
      <name val="Calibri Light"/>
      <family val="2"/>
      <scheme val="major"/>
    </font>
    <font>
      <sz val="8"/>
      <name val="Century Gothic"/>
      <family val="2"/>
    </font>
    <font>
      <b/>
      <sz val="8"/>
      <name val="Century Gothic"/>
      <family val="2"/>
    </font>
    <font>
      <b/>
      <sz val="10"/>
      <color rgb="FFFF0000"/>
      <name val="Calibri"/>
      <family val="2"/>
    </font>
    <font>
      <sz val="10"/>
      <color rgb="FFFF0000"/>
      <name val="Calibri"/>
      <family val="2"/>
      <scheme val="minor"/>
    </font>
    <font>
      <sz val="8"/>
      <color theme="0"/>
      <name val="Times New Roman"/>
      <family val="1"/>
    </font>
    <font>
      <strike/>
      <sz val="8"/>
      <color theme="0"/>
      <name val="Times New Roman"/>
      <family val="1"/>
    </font>
    <font>
      <b/>
      <sz val="11"/>
      <name val="Arial Narrow"/>
      <family val="2"/>
    </font>
    <font>
      <sz val="8"/>
      <name val="Arial Narrow"/>
      <family val="2"/>
    </font>
    <font>
      <sz val="11"/>
      <name val="Arial Narrow"/>
      <family val="2"/>
    </font>
    <font>
      <sz val="11"/>
      <color theme="0"/>
      <name val="Calibri"/>
      <family val="2"/>
      <scheme val="minor"/>
    </font>
    <font>
      <b/>
      <sz val="28"/>
      <color theme="0"/>
      <name val="Segoe UI Black"/>
      <family val="2"/>
    </font>
    <font>
      <sz val="10"/>
      <color theme="0"/>
      <name val="Arial Narrow"/>
      <family val="2"/>
    </font>
    <font>
      <sz val="11"/>
      <color theme="9"/>
      <name val="Calibri"/>
      <family val="2"/>
      <scheme val="minor"/>
    </font>
    <font>
      <sz val="8"/>
      <color theme="1"/>
      <name val="Century Gothic"/>
      <family val="2"/>
    </font>
    <font>
      <b/>
      <sz val="10"/>
      <name val="Calibri"/>
      <family val="2"/>
    </font>
    <font>
      <b/>
      <sz val="8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indexed="8"/>
      <name val="Century Gothic"/>
      <family val="2"/>
    </font>
    <font>
      <b/>
      <sz val="11"/>
      <color theme="0"/>
      <name val="Calibri"/>
      <family val="2"/>
      <scheme val="minor"/>
    </font>
    <font>
      <b/>
      <sz val="9"/>
      <name val="Century Gothic"/>
      <family val="2"/>
    </font>
    <font>
      <sz val="10"/>
      <color theme="1"/>
      <name val="Century Gothic"/>
      <family val="2"/>
    </font>
    <font>
      <b/>
      <sz val="10"/>
      <color theme="0"/>
      <name val="Arial Narrow"/>
      <family val="2"/>
    </font>
    <font>
      <b/>
      <sz val="12"/>
      <color theme="0"/>
      <name val="Arial Narrow"/>
      <family val="2"/>
    </font>
    <font>
      <b/>
      <sz val="11"/>
      <color theme="0"/>
      <name val="Arial Narrow"/>
      <family val="2"/>
    </font>
    <font>
      <sz val="11"/>
      <name val="Calibri"/>
      <charset val="134"/>
      <scheme val="minor"/>
    </font>
    <font>
      <sz val="8"/>
      <color theme="0"/>
      <name val="Arial Narrow"/>
      <family val="2"/>
    </font>
    <font>
      <sz val="8"/>
      <color theme="0"/>
      <name val="Century Gothic"/>
      <family val="2"/>
    </font>
    <font>
      <sz val="11"/>
      <color theme="0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76805932798245"/>
        <bgColor indexed="64"/>
      </patternFill>
    </fill>
    <fill>
      <patternFill patternType="solid">
        <fgColor theme="5" tint="0.7997680593279824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5" tint="0.7997985778374584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79857783745845"/>
        <bgColor indexed="64"/>
      </patternFill>
    </fill>
    <fill>
      <patternFill patternType="solid">
        <fgColor theme="6" tint="0.79979857783745845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8" tint="0.79979857783745845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4" tint="0.59999389629810485"/>
      </left>
      <right/>
      <top style="thin">
        <color theme="4" tint="0.59999389629810485"/>
      </top>
      <bottom style="thin">
        <color theme="4" tint="0.59999389629810485"/>
      </bottom>
      <diagonal/>
    </border>
    <border>
      <left/>
      <right/>
      <top style="thin">
        <color theme="4" tint="0.59999389629810485"/>
      </top>
      <bottom style="thin">
        <color theme="4" tint="0.59999389629810485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</borders>
  <cellStyleXfs count="465">
    <xf numFmtId="0" fontId="0" fillId="0" borderId="0"/>
    <xf numFmtId="164" fontId="10" fillId="0" borderId="0" applyFont="0" applyFill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165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3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5" fontId="12" fillId="0" borderId="0" applyFont="0" applyFill="0" applyBorder="0" applyAlignment="0" applyProtection="0"/>
    <xf numFmtId="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3" fillId="27" borderId="0" applyNumberFormat="0" applyBorder="0" applyAlignment="0" applyProtection="0"/>
    <xf numFmtId="17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49" fontId="6" fillId="0" borderId="0"/>
    <xf numFmtId="49" fontId="6" fillId="0" borderId="0"/>
    <xf numFmtId="49" fontId="6" fillId="0" borderId="0"/>
    <xf numFmtId="49" fontId="6" fillId="0" borderId="0"/>
    <xf numFmtId="0" fontId="6" fillId="0" borderId="0"/>
    <xf numFmtId="37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9" fontId="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0"/>
    <xf numFmtId="9" fontId="34" fillId="0" borderId="0" applyFont="0" applyFill="0" applyBorder="0" applyAlignment="0" applyProtection="0"/>
  </cellStyleXfs>
  <cellXfs count="155">
    <xf numFmtId="0" fontId="0" fillId="0" borderId="0" xfId="0"/>
    <xf numFmtId="0" fontId="2" fillId="2" borderId="0" xfId="0" applyFont="1" applyFill="1" applyAlignment="1">
      <alignment wrapText="1"/>
    </xf>
    <xf numFmtId="0" fontId="4" fillId="0" borderId="0" xfId="0" applyFont="1"/>
    <xf numFmtId="0" fontId="5" fillId="3" borderId="0" xfId="0" applyFont="1" applyFill="1"/>
    <xf numFmtId="0" fontId="5" fillId="0" borderId="0" xfId="0" applyFont="1"/>
    <xf numFmtId="0" fontId="9" fillId="0" borderId="0" xfId="0" applyFont="1"/>
    <xf numFmtId="0" fontId="5" fillId="2" borderId="0" xfId="0" applyFont="1" applyFill="1"/>
    <xf numFmtId="164" fontId="5" fillId="2" borderId="0" xfId="1" applyFont="1" applyFill="1" applyBorder="1" applyAlignment="1"/>
    <xf numFmtId="172" fontId="8" fillId="2" borderId="0" xfId="0" applyNumberFormat="1" applyFont="1" applyFill="1"/>
    <xf numFmtId="175" fontId="8" fillId="2" borderId="0" xfId="0" applyNumberFormat="1" applyFont="1" applyFill="1"/>
    <xf numFmtId="164" fontId="18" fillId="2" borderId="2" xfId="1" applyFont="1" applyFill="1" applyBorder="1"/>
    <xf numFmtId="172" fontId="18" fillId="2" borderId="2" xfId="0" applyNumberFormat="1" applyFont="1" applyFill="1" applyBorder="1" applyAlignment="1">
      <alignment horizontal="right"/>
    </xf>
    <xf numFmtId="164" fontId="18" fillId="2" borderId="2" xfId="1" applyFont="1" applyFill="1" applyBorder="1" applyAlignment="1"/>
    <xf numFmtId="10" fontId="18" fillId="2" borderId="2" xfId="0" applyNumberFormat="1" applyFont="1" applyFill="1" applyBorder="1" applyAlignment="1">
      <alignment horizontal="center"/>
    </xf>
    <xf numFmtId="0" fontId="20" fillId="2" borderId="0" xfId="0" applyFont="1" applyFill="1"/>
    <xf numFmtId="0" fontId="21" fillId="0" borderId="0" xfId="0" applyFont="1"/>
    <xf numFmtId="164" fontId="18" fillId="2" borderId="2" xfId="1" applyFont="1" applyFill="1" applyBorder="1" applyAlignment="1">
      <alignment horizontal="right"/>
    </xf>
    <xf numFmtId="164" fontId="18" fillId="0" borderId="2" xfId="1" applyFont="1" applyBorder="1"/>
    <xf numFmtId="164" fontId="18" fillId="0" borderId="2" xfId="1" applyFont="1" applyFill="1" applyBorder="1"/>
    <xf numFmtId="49" fontId="18" fillId="2" borderId="2" xfId="0" applyNumberFormat="1" applyFont="1" applyFill="1" applyBorder="1" applyAlignment="1">
      <alignment wrapText="1"/>
    </xf>
    <xf numFmtId="172" fontId="18" fillId="2" borderId="2" xfId="0" applyNumberFormat="1" applyFont="1" applyFill="1" applyBorder="1" applyAlignment="1">
      <alignment horizontal="left"/>
    </xf>
    <xf numFmtId="10" fontId="19" fillId="6" borderId="2" xfId="0" applyNumberFormat="1" applyFont="1" applyFill="1" applyBorder="1" applyAlignment="1">
      <alignment horizontal="center" vertical="center"/>
    </xf>
    <xf numFmtId="10" fontId="18" fillId="6" borderId="2" xfId="0" applyNumberFormat="1" applyFont="1" applyFill="1" applyBorder="1" applyAlignment="1">
      <alignment horizontal="center" vertical="center"/>
    </xf>
    <xf numFmtId="172" fontId="18" fillId="6" borderId="2" xfId="0" applyNumberFormat="1" applyFont="1" applyFill="1" applyBorder="1" applyAlignment="1">
      <alignment horizontal="right" vertical="center"/>
    </xf>
    <xf numFmtId="172" fontId="18" fillId="2" borderId="2" xfId="0" applyNumberFormat="1" applyFont="1" applyFill="1" applyBorder="1"/>
    <xf numFmtId="172" fontId="18" fillId="6" borderId="2" xfId="0" applyNumberFormat="1" applyFont="1" applyFill="1" applyBorder="1" applyAlignment="1">
      <alignment horizontal="center" vertical="center"/>
    </xf>
    <xf numFmtId="164" fontId="18" fillId="2" borderId="2" xfId="1" applyFont="1" applyFill="1" applyBorder="1" applyAlignment="1">
      <alignment wrapText="1"/>
    </xf>
    <xf numFmtId="172" fontId="19" fillId="2" borderId="2" xfId="0" applyNumberFormat="1" applyFont="1" applyFill="1" applyBorder="1"/>
    <xf numFmtId="164" fontId="18" fillId="2" borderId="2" xfId="1" applyFont="1" applyFill="1" applyBorder="1" applyAlignment="1">
      <alignment horizontal="right" vertical="top" wrapText="1"/>
    </xf>
    <xf numFmtId="164" fontId="18" fillId="2" borderId="2" xfId="1" applyFont="1" applyFill="1" applyBorder="1" applyAlignment="1">
      <alignment horizontal="center" vertical="top" wrapText="1"/>
    </xf>
    <xf numFmtId="172" fontId="18" fillId="2" borderId="2" xfId="0" applyNumberFormat="1" applyFont="1" applyFill="1" applyBorder="1" applyAlignment="1">
      <alignment horizontal="right" wrapText="1"/>
    </xf>
    <xf numFmtId="164" fontId="18" fillId="2" borderId="2" xfId="1" applyFont="1" applyFill="1" applyBorder="1" applyAlignment="1">
      <alignment horizontal="left"/>
    </xf>
    <xf numFmtId="49" fontId="7" fillId="5" borderId="2" xfId="0" applyNumberFormat="1" applyFont="1" applyFill="1" applyBorder="1" applyAlignment="1">
      <alignment horizontal="center" vertical="top" wrapText="1"/>
    </xf>
    <xf numFmtId="4" fontId="18" fillId="0" borderId="2" xfId="0" applyNumberFormat="1" applyFont="1" applyBorder="1"/>
    <xf numFmtId="171" fontId="18" fillId="0" borderId="2" xfId="0" applyNumberFormat="1" applyFont="1" applyBorder="1"/>
    <xf numFmtId="174" fontId="18" fillId="0" borderId="2" xfId="0" applyNumberFormat="1" applyFont="1" applyBorder="1"/>
    <xf numFmtId="164" fontId="7" fillId="5" borderId="2" xfId="1" applyFont="1" applyFill="1" applyBorder="1" applyAlignment="1">
      <alignment horizontal="center" vertical="top" wrapText="1"/>
    </xf>
    <xf numFmtId="172" fontId="19" fillId="2" borderId="2" xfId="0" applyNumberFormat="1" applyFont="1" applyFill="1" applyBorder="1" applyAlignment="1">
      <alignment horizontal="left"/>
    </xf>
    <xf numFmtId="10" fontId="19" fillId="2" borderId="2" xfId="0" applyNumberFormat="1" applyFont="1" applyFill="1" applyBorder="1" applyAlignment="1">
      <alignment horizontal="center"/>
    </xf>
    <xf numFmtId="172" fontId="19" fillId="6" borderId="2" xfId="0" applyNumberFormat="1" applyFont="1" applyFill="1" applyBorder="1" applyAlignment="1">
      <alignment horizontal="right" vertical="center"/>
    </xf>
    <xf numFmtId="164" fontId="19" fillId="2" borderId="2" xfId="1" applyFont="1" applyFill="1" applyBorder="1"/>
    <xf numFmtId="172" fontId="19" fillId="6" borderId="2" xfId="0" applyNumberFormat="1" applyFont="1" applyFill="1" applyBorder="1" applyAlignment="1">
      <alignment horizontal="center" vertical="center"/>
    </xf>
    <xf numFmtId="164" fontId="19" fillId="2" borderId="2" xfId="1" applyFont="1" applyFill="1" applyBorder="1" applyAlignment="1"/>
    <xf numFmtId="164" fontId="19" fillId="2" borderId="2" xfId="1" applyFont="1" applyFill="1" applyBorder="1" applyAlignment="1">
      <alignment wrapText="1"/>
    </xf>
    <xf numFmtId="10" fontId="19" fillId="6" borderId="2" xfId="0" applyNumberFormat="1" applyFont="1" applyFill="1" applyBorder="1" applyAlignment="1">
      <alignment horizontal="right" vertical="center"/>
    </xf>
    <xf numFmtId="173" fontId="18" fillId="2" borderId="2" xfId="0" applyNumberFormat="1" applyFont="1" applyFill="1" applyBorder="1"/>
    <xf numFmtId="0" fontId="22" fillId="9" borderId="0" xfId="0" applyFont="1" applyFill="1" applyAlignment="1">
      <alignment horizontal="left"/>
    </xf>
    <xf numFmtId="164" fontId="18" fillId="0" borderId="2" xfId="1" applyFont="1" applyBorder="1" applyAlignment="1"/>
    <xf numFmtId="164" fontId="18" fillId="7" borderId="2" xfId="1" applyFont="1" applyFill="1" applyBorder="1"/>
    <xf numFmtId="164" fontId="18" fillId="0" borderId="2" xfId="1" applyFont="1" applyFill="1" applyBorder="1" applyAlignment="1">
      <alignment horizontal="right"/>
    </xf>
    <xf numFmtId="164" fontId="25" fillId="2" borderId="0" xfId="1" applyFont="1" applyFill="1" applyBorder="1"/>
    <xf numFmtId="4" fontId="26" fillId="2" borderId="0" xfId="0" applyNumberFormat="1" applyFont="1" applyFill="1"/>
    <xf numFmtId="4" fontId="26" fillId="2" borderId="0" xfId="0" applyNumberFormat="1" applyFont="1" applyFill="1" applyAlignment="1">
      <alignment horizontal="right"/>
    </xf>
    <xf numFmtId="4" fontId="25" fillId="2" borderId="0" xfId="0" applyNumberFormat="1" applyFont="1" applyFill="1" applyAlignment="1">
      <alignment horizontal="right"/>
    </xf>
    <xf numFmtId="0" fontId="24" fillId="0" borderId="0" xfId="0" applyFont="1" applyAlignment="1">
      <alignment horizontal="right"/>
    </xf>
    <xf numFmtId="4" fontId="25" fillId="2" borderId="0" xfId="0" applyNumberFormat="1" applyFont="1" applyFill="1"/>
    <xf numFmtId="164" fontId="26" fillId="2" borderId="0" xfId="1" applyFont="1" applyFill="1" applyBorder="1" applyAlignment="1">
      <alignment horizontal="right" vertical="top" wrapText="1"/>
    </xf>
    <xf numFmtId="164" fontId="25" fillId="2" borderId="0" xfId="1" applyFont="1" applyFill="1" applyBorder="1" applyAlignment="1">
      <alignment horizontal="right" vertical="top" wrapText="1"/>
    </xf>
    <xf numFmtId="164" fontId="19" fillId="2" borderId="2" xfId="1" applyFont="1" applyFill="1" applyBorder="1" applyAlignment="1">
      <alignment horizontal="left"/>
    </xf>
    <xf numFmtId="164" fontId="18" fillId="0" borderId="2" xfId="1" applyFont="1" applyFill="1" applyBorder="1" applyAlignment="1" applyProtection="1"/>
    <xf numFmtId="0" fontId="27" fillId="0" borderId="0" xfId="0" applyFont="1"/>
    <xf numFmtId="0" fontId="30" fillId="0" borderId="0" xfId="0" applyFont="1"/>
    <xf numFmtId="164" fontId="31" fillId="2" borderId="2" xfId="1" applyFont="1" applyFill="1" applyBorder="1"/>
    <xf numFmtId="164" fontId="31" fillId="2" borderId="2" xfId="1" applyFont="1" applyFill="1" applyBorder="1" applyAlignment="1"/>
    <xf numFmtId="164" fontId="31" fillId="0" borderId="2" xfId="1" applyFont="1" applyBorder="1"/>
    <xf numFmtId="0" fontId="32" fillId="2" borderId="0" xfId="0" applyFont="1" applyFill="1"/>
    <xf numFmtId="0" fontId="33" fillId="9" borderId="0" xfId="0" applyFont="1" applyFill="1" applyAlignment="1">
      <alignment horizontal="right" vertical="center"/>
    </xf>
    <xf numFmtId="49" fontId="18" fillId="2" borderId="2" xfId="0" applyNumberFormat="1" applyFont="1" applyFill="1" applyBorder="1"/>
    <xf numFmtId="4" fontId="18" fillId="2" borderId="2" xfId="0" applyNumberFormat="1" applyFont="1" applyFill="1" applyBorder="1" applyAlignment="1">
      <alignment wrapText="1"/>
    </xf>
    <xf numFmtId="0" fontId="18" fillId="2" borderId="2" xfId="0" applyFont="1" applyFill="1" applyBorder="1" applyAlignment="1">
      <alignment wrapText="1"/>
    </xf>
    <xf numFmtId="2" fontId="18" fillId="2" borderId="2" xfId="0" applyNumberFormat="1" applyFont="1" applyFill="1" applyBorder="1"/>
    <xf numFmtId="2" fontId="18" fillId="2" borderId="2" xfId="0" applyNumberFormat="1" applyFont="1" applyFill="1" applyBorder="1" applyAlignment="1">
      <alignment wrapText="1"/>
    </xf>
    <xf numFmtId="164" fontId="18" fillId="2" borderId="2" xfId="1" applyFont="1" applyFill="1" applyBorder="1" applyAlignment="1">
      <alignment horizontal="left" vertical="top" wrapText="1"/>
    </xf>
    <xf numFmtId="2" fontId="18" fillId="2" borderId="2" xfId="463" applyNumberFormat="1" applyFont="1" applyFill="1" applyBorder="1" applyAlignment="1">
      <alignment wrapText="1"/>
    </xf>
    <xf numFmtId="49" fontId="18" fillId="2" borderId="2" xfId="0" applyNumberFormat="1" applyFont="1" applyFill="1" applyBorder="1" applyAlignment="1">
      <alignment vertical="center" wrapText="1"/>
    </xf>
    <xf numFmtId="164" fontId="18" fillId="2" borderId="2" xfId="1" applyFont="1" applyFill="1" applyBorder="1" applyAlignment="1">
      <alignment horizontal="center" wrapText="1"/>
    </xf>
    <xf numFmtId="10" fontId="18" fillId="2" borderId="2" xfId="464" applyNumberFormat="1" applyFont="1" applyFill="1" applyBorder="1" applyAlignment="1">
      <alignment horizontal="center" wrapText="1"/>
    </xf>
    <xf numFmtId="0" fontId="29" fillId="2" borderId="0" xfId="0" applyFont="1" applyFill="1" applyAlignment="1">
      <alignment horizontal="left"/>
    </xf>
    <xf numFmtId="164" fontId="7" fillId="5" borderId="2" xfId="1" applyFont="1" applyFill="1" applyBorder="1"/>
    <xf numFmtId="10" fontId="7" fillId="5" borderId="2" xfId="0" applyNumberFormat="1" applyFont="1" applyFill="1" applyBorder="1"/>
    <xf numFmtId="10" fontId="19" fillId="5" borderId="2" xfId="0" applyNumberFormat="1" applyFont="1" applyFill="1" applyBorder="1"/>
    <xf numFmtId="10" fontId="19" fillId="5" borderId="2" xfId="0" applyNumberFormat="1" applyFont="1" applyFill="1" applyBorder="1" applyAlignment="1">
      <alignment horizontal="right" vertical="center"/>
    </xf>
    <xf numFmtId="172" fontId="19" fillId="5" borderId="2" xfId="0" applyNumberFormat="1" applyFont="1" applyFill="1" applyBorder="1" applyAlignment="1">
      <alignment horizontal="right" vertical="center"/>
    </xf>
    <xf numFmtId="164" fontId="19" fillId="5" borderId="2" xfId="1" applyFont="1" applyFill="1" applyBorder="1"/>
    <xf numFmtId="10" fontId="19" fillId="2" borderId="2" xfId="0" applyNumberFormat="1" applyFont="1" applyFill="1" applyBorder="1"/>
    <xf numFmtId="10" fontId="19" fillId="2" borderId="2" xfId="0" applyNumberFormat="1" applyFont="1" applyFill="1" applyBorder="1" applyAlignment="1">
      <alignment horizontal="right" vertical="center"/>
    </xf>
    <xf numFmtId="172" fontId="19" fillId="2" borderId="2" xfId="0" applyNumberFormat="1" applyFont="1" applyFill="1" applyBorder="1" applyAlignment="1">
      <alignment horizontal="right" vertical="center"/>
    </xf>
    <xf numFmtId="49" fontId="18" fillId="2" borderId="2" xfId="0" applyNumberFormat="1" applyFont="1" applyFill="1" applyBorder="1" applyAlignment="1">
      <alignment vertical="top" wrapText="1"/>
    </xf>
    <xf numFmtId="172" fontId="35" fillId="29" borderId="0" xfId="0" applyNumberFormat="1" applyFont="1" applyFill="1"/>
    <xf numFmtId="49" fontId="19" fillId="2" borderId="2" xfId="0" applyNumberFormat="1" applyFont="1" applyFill="1" applyBorder="1" applyAlignment="1">
      <alignment horizontal="right"/>
    </xf>
    <xf numFmtId="173" fontId="18" fillId="2" borderId="2" xfId="0" applyNumberFormat="1" applyFont="1" applyFill="1" applyBorder="1" applyAlignment="1">
      <alignment horizontal="center" wrapText="1"/>
    </xf>
    <xf numFmtId="0" fontId="38" fillId="29" borderId="0" xfId="0" applyFont="1" applyFill="1"/>
    <xf numFmtId="4" fontId="18" fillId="2" borderId="2" xfId="0" applyNumberFormat="1" applyFont="1" applyFill="1" applyBorder="1" applyAlignment="1">
      <alignment horizontal="right"/>
    </xf>
    <xf numFmtId="164" fontId="19" fillId="2" borderId="2" xfId="1" applyFont="1" applyFill="1" applyBorder="1" applyAlignment="1">
      <alignment horizontal="right"/>
    </xf>
    <xf numFmtId="0" fontId="31" fillId="29" borderId="0" xfId="0" applyFont="1" applyFill="1"/>
    <xf numFmtId="0" fontId="18" fillId="2" borderId="2" xfId="0" applyFont="1" applyFill="1" applyBorder="1" applyAlignment="1">
      <alignment horizontal="right" wrapText="1"/>
    </xf>
    <xf numFmtId="173" fontId="18" fillId="2" borderId="2" xfId="0" applyNumberFormat="1" applyFont="1" applyFill="1" applyBorder="1" applyAlignment="1">
      <alignment horizontal="right" vertical="center" wrapText="1"/>
    </xf>
    <xf numFmtId="0" fontId="18" fillId="2" borderId="2" xfId="0" applyFont="1" applyFill="1" applyBorder="1"/>
    <xf numFmtId="173" fontId="18" fillId="2" borderId="2" xfId="0" applyNumberFormat="1" applyFont="1" applyFill="1" applyBorder="1" applyAlignment="1">
      <alignment horizontal="right" wrapText="1"/>
    </xf>
    <xf numFmtId="174" fontId="18" fillId="2" borderId="2" xfId="1" applyNumberFormat="1" applyFont="1" applyFill="1" applyBorder="1" applyAlignment="1">
      <alignment horizontal="center" wrapText="1"/>
    </xf>
    <xf numFmtId="0" fontId="39" fillId="2" borderId="0" xfId="0" applyFont="1" applyFill="1" applyAlignment="1">
      <alignment horizontal="right"/>
    </xf>
    <xf numFmtId="16" fontId="39" fillId="2" borderId="0" xfId="0" quotePrefix="1" applyNumberFormat="1" applyFont="1" applyFill="1" applyAlignment="1">
      <alignment horizontal="right" wrapText="1"/>
    </xf>
    <xf numFmtId="0" fontId="39" fillId="2" borderId="0" xfId="0" applyFont="1" applyFill="1" applyAlignment="1">
      <alignment horizontal="right" wrapText="1"/>
    </xf>
    <xf numFmtId="43" fontId="29" fillId="2" borderId="0" xfId="200" applyFont="1" applyFill="1" applyBorder="1"/>
    <xf numFmtId="0" fontId="39" fillId="0" borderId="2" xfId="0" applyFont="1" applyBorder="1" applyAlignment="1">
      <alignment horizontal="right"/>
    </xf>
    <xf numFmtId="16" fontId="39" fillId="2" borderId="2" xfId="0" quotePrefix="1" applyNumberFormat="1" applyFont="1" applyFill="1" applyBorder="1" applyAlignment="1">
      <alignment horizontal="right"/>
    </xf>
    <xf numFmtId="164" fontId="29" fillId="2" borderId="2" xfId="1" applyFont="1" applyFill="1" applyBorder="1" applyAlignment="1">
      <alignment horizontal="right" vertical="top" wrapText="1"/>
    </xf>
    <xf numFmtId="164" fontId="29" fillId="2" borderId="2" xfId="1" applyFont="1" applyFill="1" applyBorder="1"/>
    <xf numFmtId="4" fontId="29" fillId="2" borderId="2" xfId="0" applyNumberFormat="1" applyFont="1" applyFill="1" applyBorder="1"/>
    <xf numFmtId="4" fontId="29" fillId="2" borderId="2" xfId="0" applyNumberFormat="1" applyFont="1" applyFill="1" applyBorder="1" applyAlignment="1">
      <alignment horizontal="right"/>
    </xf>
    <xf numFmtId="0" fontId="40" fillId="0" borderId="1" xfId="0" applyFont="1" applyBorder="1" applyAlignment="1">
      <alignment horizontal="right"/>
    </xf>
    <xf numFmtId="0" fontId="36" fillId="0" borderId="0" xfId="0" applyFont="1" applyAlignment="1">
      <alignment horizontal="right"/>
    </xf>
    <xf numFmtId="0" fontId="41" fillId="0" borderId="1" xfId="0" applyFont="1" applyBorder="1" applyAlignment="1">
      <alignment horizontal="right"/>
    </xf>
    <xf numFmtId="171" fontId="27" fillId="0" borderId="0" xfId="200" applyNumberFormat="1" applyFont="1"/>
    <xf numFmtId="164" fontId="31" fillId="29" borderId="0" xfId="1" applyFont="1" applyFill="1"/>
    <xf numFmtId="2" fontId="18" fillId="2" borderId="2" xfId="1" applyNumberFormat="1" applyFont="1" applyFill="1" applyBorder="1"/>
    <xf numFmtId="0" fontId="18" fillId="2" borderId="2" xfId="0" applyFont="1" applyFill="1" applyBorder="1" applyAlignment="1">
      <alignment horizontal="right"/>
    </xf>
    <xf numFmtId="164" fontId="35" fillId="29" borderId="0" xfId="1" applyFont="1" applyFill="1"/>
    <xf numFmtId="49" fontId="7" fillId="2" borderId="2" xfId="0" applyNumberFormat="1" applyFont="1" applyFill="1" applyBorder="1" applyAlignment="1">
      <alignment horizontal="center" vertical="top" wrapText="1"/>
    </xf>
    <xf numFmtId="49" fontId="19" fillId="2" borderId="2" xfId="0" applyNumberFormat="1" applyFont="1" applyFill="1" applyBorder="1" applyAlignment="1">
      <alignment horizontal="right"/>
    </xf>
    <xf numFmtId="49" fontId="7" fillId="5" borderId="2" xfId="0" applyNumberFormat="1" applyFont="1" applyFill="1" applyBorder="1" applyAlignment="1">
      <alignment horizontal="right"/>
    </xf>
    <xf numFmtId="173" fontId="18" fillId="2" borderId="2" xfId="0" applyNumberFormat="1" applyFont="1" applyFill="1" applyBorder="1" applyAlignment="1">
      <alignment horizontal="center" wrapText="1"/>
    </xf>
    <xf numFmtId="0" fontId="37" fillId="2" borderId="2" xfId="0" applyFont="1" applyFill="1" applyBorder="1" applyAlignment="1">
      <alignment horizontal="center" wrapText="1"/>
    </xf>
    <xf numFmtId="2" fontId="37" fillId="2" borderId="2" xfId="0" applyNumberFormat="1" applyFont="1" applyFill="1" applyBorder="1" applyAlignment="1">
      <alignment horizontal="center" wrapText="1"/>
    </xf>
    <xf numFmtId="173" fontId="19" fillId="2" borderId="2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vertical="top" wrapText="1"/>
    </xf>
    <xf numFmtId="49" fontId="7" fillId="2" borderId="5" xfId="0" applyNumberFormat="1" applyFont="1" applyFill="1" applyBorder="1" applyAlignment="1">
      <alignment horizontal="center" vertical="top" wrapText="1"/>
    </xf>
    <xf numFmtId="49" fontId="7" fillId="2" borderId="6" xfId="0" applyNumberFormat="1" applyFont="1" applyFill="1" applyBorder="1" applyAlignment="1">
      <alignment horizontal="center" vertical="top" wrapText="1"/>
    </xf>
    <xf numFmtId="172" fontId="37" fillId="2" borderId="2" xfId="0" applyNumberFormat="1" applyFont="1" applyFill="1" applyBorder="1" applyAlignment="1">
      <alignment horizontal="center" wrapText="1"/>
    </xf>
    <xf numFmtId="49" fontId="7" fillId="29" borderId="2" xfId="0" applyNumberFormat="1" applyFont="1" applyFill="1" applyBorder="1" applyAlignment="1">
      <alignment horizontal="right"/>
    </xf>
    <xf numFmtId="49" fontId="7" fillId="2" borderId="2" xfId="0" applyNumberFormat="1" applyFont="1" applyFill="1" applyBorder="1" applyAlignment="1">
      <alignment horizontal="center"/>
    </xf>
    <xf numFmtId="49" fontId="28" fillId="4" borderId="2" xfId="0" applyNumberFormat="1" applyFont="1" applyFill="1" applyBorder="1" applyAlignment="1">
      <alignment horizontal="center"/>
    </xf>
    <xf numFmtId="0" fontId="28" fillId="4" borderId="2" xfId="0" applyFont="1" applyFill="1" applyBorder="1" applyAlignment="1">
      <alignment horizontal="center"/>
    </xf>
    <xf numFmtId="173" fontId="19" fillId="2" borderId="2" xfId="0" applyNumberFormat="1" applyFont="1" applyFill="1" applyBorder="1" applyAlignment="1">
      <alignment horizontal="center"/>
    </xf>
    <xf numFmtId="49" fontId="19" fillId="2" borderId="2" xfId="0" applyNumberFormat="1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42" fillId="0" borderId="0" xfId="0" applyFont="1"/>
    <xf numFmtId="164" fontId="43" fillId="2" borderId="2" xfId="1" applyFont="1" applyFill="1" applyBorder="1"/>
    <xf numFmtId="43" fontId="27" fillId="0" borderId="0" xfId="200" applyFont="1"/>
    <xf numFmtId="4" fontId="43" fillId="2" borderId="2" xfId="0" applyNumberFormat="1" applyFont="1" applyFill="1" applyBorder="1"/>
    <xf numFmtId="4" fontId="43" fillId="2" borderId="2" xfId="0" applyNumberFormat="1" applyFont="1" applyFill="1" applyBorder="1" applyAlignment="1">
      <alignment horizontal="right"/>
    </xf>
    <xf numFmtId="172" fontId="44" fillId="2" borderId="2" xfId="0" applyNumberFormat="1" applyFont="1" applyFill="1" applyBorder="1"/>
    <xf numFmtId="0" fontId="45" fillId="0" borderId="0" xfId="0" applyFont="1" applyAlignment="1">
      <alignment horizontal="right"/>
    </xf>
    <xf numFmtId="0" fontId="41" fillId="0" borderId="0" xfId="0" applyFont="1" applyAlignment="1">
      <alignment horizontal="right"/>
    </xf>
    <xf numFmtId="4" fontId="45" fillId="2" borderId="1" xfId="0" applyNumberFormat="1" applyFont="1" applyFill="1" applyBorder="1" applyAlignment="1">
      <alignment horizontal="right"/>
    </xf>
    <xf numFmtId="4" fontId="45" fillId="2" borderId="0" xfId="0" applyNumberFormat="1" applyFont="1" applyFill="1" applyAlignment="1">
      <alignment horizontal="right"/>
    </xf>
    <xf numFmtId="0" fontId="29" fillId="0" borderId="0" xfId="0" applyFont="1"/>
    <xf numFmtId="16" fontId="39" fillId="2" borderId="0" xfId="0" applyNumberFormat="1" applyFont="1" applyFill="1"/>
    <xf numFmtId="164" fontId="29" fillId="0" borderId="0" xfId="1" applyFont="1" applyBorder="1"/>
    <xf numFmtId="4" fontId="29" fillId="2" borderId="0" xfId="0" applyNumberFormat="1" applyFont="1" applyFill="1"/>
    <xf numFmtId="172" fontId="29" fillId="2" borderId="0" xfId="0" applyNumberFormat="1" applyFont="1" applyFill="1"/>
    <xf numFmtId="0" fontId="40" fillId="0" borderId="0" xfId="0" applyFont="1" applyAlignment="1">
      <alignment horizontal="right"/>
    </xf>
    <xf numFmtId="4" fontId="43" fillId="2" borderId="0" xfId="0" applyNumberFormat="1" applyFont="1" applyFill="1" applyAlignment="1">
      <alignment horizontal="right"/>
    </xf>
    <xf numFmtId="4" fontId="45" fillId="2" borderId="0" xfId="0" applyNumberFormat="1" applyFont="1" applyFill="1"/>
    <xf numFmtId="4" fontId="43" fillId="2" borderId="0" xfId="0" applyNumberFormat="1" applyFont="1" applyFill="1"/>
  </cellXfs>
  <cellStyles count="465">
    <cellStyle name="20% - Accent1 2" xfId="2"/>
    <cellStyle name="20% - Accent1 2 2" xfId="3"/>
    <cellStyle name="20% - Accent1 2 3" xfId="4"/>
    <cellStyle name="20% - Accent1 3" xfId="5"/>
    <cellStyle name="20% - Accent1 3 2" xfId="6"/>
    <cellStyle name="20% - Accent1 3 3" xfId="7"/>
    <cellStyle name="20% - Accent1 4" xfId="8"/>
    <cellStyle name="20% - Accent1 4 2" xfId="9"/>
    <cellStyle name="20% - Accent1 5" xfId="10"/>
    <cellStyle name="20% - Accent1 6" xfId="11"/>
    <cellStyle name="20% - Accent2 2" xfId="12"/>
    <cellStyle name="20% - Accent2 2 2" xfId="13"/>
    <cellStyle name="20% - Accent2 2 3" xfId="14"/>
    <cellStyle name="20% - Accent2 3" xfId="15"/>
    <cellStyle name="20% - Accent2 3 2" xfId="16"/>
    <cellStyle name="20% - Accent2 3 3" xfId="17"/>
    <cellStyle name="20% - Accent2 4" xfId="18"/>
    <cellStyle name="20% - Accent2 4 2" xfId="19"/>
    <cellStyle name="20% - Accent2 5" xfId="20"/>
    <cellStyle name="20% - Accent2 6" xfId="21"/>
    <cellStyle name="20% - Accent3 2" xfId="22"/>
    <cellStyle name="20% - Accent3 2 2" xfId="23"/>
    <cellStyle name="20% - Accent3 2 3" xfId="24"/>
    <cellStyle name="20% - Accent3 3" xfId="25"/>
    <cellStyle name="20% - Accent3 3 2" xfId="26"/>
    <cellStyle name="20% - Accent3 3 3" xfId="27"/>
    <cellStyle name="20% - Accent3 4" xfId="28"/>
    <cellStyle name="20% - Accent3 4 2" xfId="29"/>
    <cellStyle name="20% - Accent3 5" xfId="30"/>
    <cellStyle name="20% - Accent3 6" xfId="31"/>
    <cellStyle name="20% - Accent4 2" xfId="32"/>
    <cellStyle name="20% - Accent4 2 2" xfId="33"/>
    <cellStyle name="20% - Accent4 2 3" xfId="34"/>
    <cellStyle name="20% - Accent4 3" xfId="35"/>
    <cellStyle name="20% - Accent4 3 2" xfId="36"/>
    <cellStyle name="20% - Accent4 3 3" xfId="37"/>
    <cellStyle name="20% - Accent4 4" xfId="38"/>
    <cellStyle name="20% - Accent4 4 2" xfId="39"/>
    <cellStyle name="20% - Accent4 5" xfId="40"/>
    <cellStyle name="20% - Accent4 6" xfId="41"/>
    <cellStyle name="20% - Accent5 2" xfId="42"/>
    <cellStyle name="20% - Accent5 2 2" xfId="43"/>
    <cellStyle name="20% - Accent5 2 3" xfId="44"/>
    <cellStyle name="20% - Accent5 3" xfId="45"/>
    <cellStyle name="20% - Accent5 3 2" xfId="46"/>
    <cellStyle name="20% - Accent5 3 3" xfId="47"/>
    <cellStyle name="20% - Accent5 4" xfId="48"/>
    <cellStyle name="20% - Accent5 4 2" xfId="49"/>
    <cellStyle name="20% - Accent5 5" xfId="50"/>
    <cellStyle name="20% - Accent5 6" xfId="51"/>
    <cellStyle name="20% - Accent6 2" xfId="52"/>
    <cellStyle name="20% - Accent6 2 2" xfId="53"/>
    <cellStyle name="20% - Accent6 2 3" xfId="54"/>
    <cellStyle name="20% - Accent6 3" xfId="55"/>
    <cellStyle name="20% - Accent6 3 2" xfId="56"/>
    <cellStyle name="20% - Accent6 3 3" xfId="57"/>
    <cellStyle name="20% - Accent6 4" xfId="58"/>
    <cellStyle name="20% - Accent6 4 2" xfId="59"/>
    <cellStyle name="20% - Accent6 5" xfId="60"/>
    <cellStyle name="20% - Accent6 6" xfId="61"/>
    <cellStyle name="40% - Accent1 2" xfId="62"/>
    <cellStyle name="40% - Accent1 2 2" xfId="63"/>
    <cellStyle name="40% - Accent1 2 3" xfId="64"/>
    <cellStyle name="40% - Accent1 3" xfId="65"/>
    <cellStyle name="40% - Accent1 3 2" xfId="66"/>
    <cellStyle name="40% - Accent1 3 3" xfId="67"/>
    <cellStyle name="40% - Accent1 4" xfId="68"/>
    <cellStyle name="40% - Accent1 4 2" xfId="69"/>
    <cellStyle name="40% - Accent1 5" xfId="70"/>
    <cellStyle name="40% - Accent1 6" xfId="71"/>
    <cellStyle name="40% - Accent2 2" xfId="72"/>
    <cellStyle name="40% - Accent2 2 2" xfId="73"/>
    <cellStyle name="40% - Accent2 2 3" xfId="74"/>
    <cellStyle name="40% - Accent2 3" xfId="75"/>
    <cellStyle name="40% - Accent2 3 2" xfId="76"/>
    <cellStyle name="40% - Accent2 3 3" xfId="77"/>
    <cellStyle name="40% - Accent2 4" xfId="78"/>
    <cellStyle name="40% - Accent2 4 2" xfId="79"/>
    <cellStyle name="40% - Accent2 5" xfId="80"/>
    <cellStyle name="40% - Accent2 6" xfId="81"/>
    <cellStyle name="40% - Accent3 2" xfId="82"/>
    <cellStyle name="40% - Accent3 2 2" xfId="83"/>
    <cellStyle name="40% - Accent3 2 3" xfId="84"/>
    <cellStyle name="40% - Accent3 3" xfId="85"/>
    <cellStyle name="40% - Accent3 3 2" xfId="86"/>
    <cellStyle name="40% - Accent3 3 3" xfId="87"/>
    <cellStyle name="40% - Accent3 4" xfId="88"/>
    <cellStyle name="40% - Accent3 4 2" xfId="89"/>
    <cellStyle name="40% - Accent3 5" xfId="90"/>
    <cellStyle name="40% - Accent3 6" xfId="91"/>
    <cellStyle name="40% - Accent4 2" xfId="92"/>
    <cellStyle name="40% - Accent4 2 2" xfId="93"/>
    <cellStyle name="40% - Accent4 2 3" xfId="94"/>
    <cellStyle name="40% - Accent4 3" xfId="95"/>
    <cellStyle name="40% - Accent4 3 2" xfId="96"/>
    <cellStyle name="40% - Accent4 3 3" xfId="97"/>
    <cellStyle name="40% - Accent4 4" xfId="98"/>
    <cellStyle name="40% - Accent4 4 2" xfId="99"/>
    <cellStyle name="40% - Accent4 5" xfId="100"/>
    <cellStyle name="40% - Accent4 6" xfId="101"/>
    <cellStyle name="40% - Accent5 2" xfId="102"/>
    <cellStyle name="40% - Accent5 2 2" xfId="103"/>
    <cellStyle name="40% - Accent5 2 3" xfId="104"/>
    <cellStyle name="40% - Accent5 3" xfId="105"/>
    <cellStyle name="40% - Accent5 3 2" xfId="106"/>
    <cellStyle name="40% - Accent5 3 3" xfId="107"/>
    <cellStyle name="40% - Accent5 4" xfId="108"/>
    <cellStyle name="40% - Accent5 4 2" xfId="109"/>
    <cellStyle name="40% - Accent5 5" xfId="110"/>
    <cellStyle name="40% - Accent5 6" xfId="111"/>
    <cellStyle name="40% - Accent6 2" xfId="112"/>
    <cellStyle name="40% - Accent6 2 2" xfId="113"/>
    <cellStyle name="40% - Accent6 2 3" xfId="114"/>
    <cellStyle name="40% - Accent6 3" xfId="115"/>
    <cellStyle name="40% - Accent6 3 2" xfId="116"/>
    <cellStyle name="40% - Accent6 3 3" xfId="117"/>
    <cellStyle name="40% - Accent6 4" xfId="118"/>
    <cellStyle name="40% - Accent6 4 2" xfId="119"/>
    <cellStyle name="40% - Accent6 5" xfId="120"/>
    <cellStyle name="40% - Accent6 6" xfId="121"/>
    <cellStyle name="60% - Accent1 2" xfId="122"/>
    <cellStyle name="60% - Accent1 2 2" xfId="123"/>
    <cellStyle name="60% - Accent1 2 3" xfId="124"/>
    <cellStyle name="60% - Accent1 3" xfId="125"/>
    <cellStyle name="60% - Accent1 3 2" xfId="126"/>
    <cellStyle name="60% - Accent1 3 3" xfId="127"/>
    <cellStyle name="60% - Accent1 4" xfId="128"/>
    <cellStyle name="60% - Accent1 4 2" xfId="129"/>
    <cellStyle name="60% - Accent1 5" xfId="130"/>
    <cellStyle name="60% - Accent1 6" xfId="131"/>
    <cellStyle name="60% - Accent2 2" xfId="132"/>
    <cellStyle name="60% - Accent2 2 2" xfId="133"/>
    <cellStyle name="60% - Accent2 2 3" xfId="134"/>
    <cellStyle name="60% - Accent2 3" xfId="135"/>
    <cellStyle name="60% - Accent2 3 2" xfId="136"/>
    <cellStyle name="60% - Accent2 3 3" xfId="137"/>
    <cellStyle name="60% - Accent2 4" xfId="138"/>
    <cellStyle name="60% - Accent2 4 2" xfId="139"/>
    <cellStyle name="60% - Accent2 5" xfId="140"/>
    <cellStyle name="60% - Accent2 6" xfId="141"/>
    <cellStyle name="60% - Accent3 2" xfId="142"/>
    <cellStyle name="60% - Accent3 2 2" xfId="143"/>
    <cellStyle name="60% - Accent3 2 3" xfId="144"/>
    <cellStyle name="60% - Accent3 3" xfId="145"/>
    <cellStyle name="60% - Accent3 3 2" xfId="146"/>
    <cellStyle name="60% - Accent3 3 3" xfId="147"/>
    <cellStyle name="60% - Accent3 4" xfId="148"/>
    <cellStyle name="60% - Accent3 4 2" xfId="149"/>
    <cellStyle name="60% - Accent3 5" xfId="150"/>
    <cellStyle name="60% - Accent3 6" xfId="151"/>
    <cellStyle name="60% - Accent4 2" xfId="152"/>
    <cellStyle name="60% - Accent4 2 2" xfId="153"/>
    <cellStyle name="60% - Accent4 2 3" xfId="154"/>
    <cellStyle name="60% - Accent4 3" xfId="155"/>
    <cellStyle name="60% - Accent4 3 2" xfId="156"/>
    <cellStyle name="60% - Accent4 3 3" xfId="157"/>
    <cellStyle name="60% - Accent4 4" xfId="158"/>
    <cellStyle name="60% - Accent4 4 2" xfId="159"/>
    <cellStyle name="60% - Accent4 5" xfId="160"/>
    <cellStyle name="60% - Accent4 6" xfId="161"/>
    <cellStyle name="60% - Accent5 2" xfId="162"/>
    <cellStyle name="60% - Accent5 2 2" xfId="163"/>
    <cellStyle name="60% - Accent5 2 3" xfId="164"/>
    <cellStyle name="60% - Accent5 3" xfId="165"/>
    <cellStyle name="60% - Accent5 3 2" xfId="166"/>
    <cellStyle name="60% - Accent5 3 3" xfId="167"/>
    <cellStyle name="60% - Accent5 4" xfId="168"/>
    <cellStyle name="60% - Accent5 4 2" xfId="169"/>
    <cellStyle name="60% - Accent5 5" xfId="170"/>
    <cellStyle name="60% - Accent5 6" xfId="171"/>
    <cellStyle name="60% - Accent6 2" xfId="172"/>
    <cellStyle name="60% - Accent6 2 2" xfId="173"/>
    <cellStyle name="60% - Accent6 2 3" xfId="174"/>
    <cellStyle name="60% - Accent6 3" xfId="175"/>
    <cellStyle name="60% - Accent6 3 2" xfId="176"/>
    <cellStyle name="60% - Accent6 3 3" xfId="177"/>
    <cellStyle name="60% - Accent6 4" xfId="178"/>
    <cellStyle name="60% - Accent6 4 2" xfId="179"/>
    <cellStyle name="60% - Accent6 5" xfId="180"/>
    <cellStyle name="60% - Accent6 6" xfId="181"/>
    <cellStyle name="Comma" xfId="1" builtinId="3"/>
    <cellStyle name="Comma 10" xfId="182"/>
    <cellStyle name="Comma 10 13" xfId="183"/>
    <cellStyle name="Comma 11" xfId="184"/>
    <cellStyle name="Comma 12" xfId="185"/>
    <cellStyle name="Comma 12 2" xfId="186"/>
    <cellStyle name="Comma 12 3" xfId="187"/>
    <cellStyle name="Comma 13" xfId="188"/>
    <cellStyle name="Comma 13 2" xfId="189"/>
    <cellStyle name="Comma 13 3" xfId="190"/>
    <cellStyle name="Comma 14" xfId="191"/>
    <cellStyle name="Comma 15" xfId="192"/>
    <cellStyle name="Comma 15 2" xfId="193"/>
    <cellStyle name="Comma 15 3" xfId="194"/>
    <cellStyle name="Comma 16" xfId="195"/>
    <cellStyle name="Comma 16 2" xfId="196"/>
    <cellStyle name="Comma 16 3" xfId="197"/>
    <cellStyle name="Comma 17" xfId="198"/>
    <cellStyle name="Comma 18" xfId="199"/>
    <cellStyle name="Comma 2" xfId="200"/>
    <cellStyle name="Comma 2 10" xfId="201"/>
    <cellStyle name="Comma 2 10 2" xfId="202"/>
    <cellStyle name="Comma 2 11" xfId="203"/>
    <cellStyle name="Comma 2 11 2" xfId="204"/>
    <cellStyle name="Comma 2 12" xfId="205"/>
    <cellStyle name="Comma 2 13" xfId="206"/>
    <cellStyle name="Comma 2 2" xfId="207"/>
    <cellStyle name="Comma 2 2 2" xfId="208"/>
    <cellStyle name="Comma 2 2 2 2" xfId="209"/>
    <cellStyle name="Comma 2 2 2 2 2" xfId="210"/>
    <cellStyle name="Comma 2 2 2 2 3" xfId="211"/>
    <cellStyle name="Comma 2 2 2 3" xfId="212"/>
    <cellStyle name="Comma 2 3" xfId="213"/>
    <cellStyle name="Comma 2 3 2" xfId="214"/>
    <cellStyle name="Comma 2 4" xfId="215"/>
    <cellStyle name="Comma 2 4 2" xfId="216"/>
    <cellStyle name="Comma 2 5" xfId="217"/>
    <cellStyle name="Comma 2 5 2" xfId="218"/>
    <cellStyle name="Comma 2 6" xfId="219"/>
    <cellStyle name="Comma 2 6 2" xfId="220"/>
    <cellStyle name="Comma 2 7" xfId="221"/>
    <cellStyle name="Comma 2 7 2" xfId="222"/>
    <cellStyle name="Comma 2 8" xfId="223"/>
    <cellStyle name="Comma 2 8 2" xfId="224"/>
    <cellStyle name="Comma 2 9" xfId="225"/>
    <cellStyle name="Comma 2 9 2" xfId="226"/>
    <cellStyle name="Comma 3" xfId="227"/>
    <cellStyle name="Comma 3 2" xfId="228"/>
    <cellStyle name="Comma 3 2 2" xfId="229"/>
    <cellStyle name="Comma 3 3" xfId="230"/>
    <cellStyle name="Comma 3 4" xfId="231"/>
    <cellStyle name="Comma 3 4 3" xfId="232"/>
    <cellStyle name="Comma 3 4 4" xfId="233"/>
    <cellStyle name="Comma 4" xfId="234"/>
    <cellStyle name="Comma 4 2" xfId="235"/>
    <cellStyle name="Comma 4 3" xfId="236"/>
    <cellStyle name="Comma 5" xfId="237"/>
    <cellStyle name="Comma 6" xfId="238"/>
    <cellStyle name="Comma 7" xfId="239"/>
    <cellStyle name="Comma 8" xfId="240"/>
    <cellStyle name="Comma 8 2" xfId="241"/>
    <cellStyle name="Comma 9" xfId="242"/>
    <cellStyle name="Neutral 2" xfId="243"/>
    <cellStyle name="Normal" xfId="0" builtinId="0"/>
    <cellStyle name="Normal - Style1" xfId="244"/>
    <cellStyle name="Normal 10" xfId="245"/>
    <cellStyle name="Normal 10 2" xfId="246"/>
    <cellStyle name="Normal 10 3" xfId="247"/>
    <cellStyle name="Normal 11" xfId="248"/>
    <cellStyle name="Normal 11 2" xfId="249"/>
    <cellStyle name="Normal 11 3" xfId="250"/>
    <cellStyle name="Normal 12" xfId="251"/>
    <cellStyle name="Normal 12 2" xfId="252"/>
    <cellStyle name="Normal 12 2 2" xfId="253"/>
    <cellStyle name="Normal 12 2 3" xfId="254"/>
    <cellStyle name="Normal 12 3" xfId="255"/>
    <cellStyle name="Normal 12 4" xfId="256"/>
    <cellStyle name="Normal 13" xfId="257"/>
    <cellStyle name="Normal 13 2" xfId="258"/>
    <cellStyle name="Normal 13 3" xfId="259"/>
    <cellStyle name="Normal 14" xfId="260"/>
    <cellStyle name="Normal 14 2" xfId="261"/>
    <cellStyle name="Normal 15" xfId="262"/>
    <cellStyle name="Normal 15 2" xfId="263"/>
    <cellStyle name="Normal 15 3" xfId="264"/>
    <cellStyle name="Normal 16" xfId="265"/>
    <cellStyle name="Normal 16 2" xfId="266"/>
    <cellStyle name="Normal 16 3" xfId="267"/>
    <cellStyle name="Normal 17" xfId="268"/>
    <cellStyle name="Normal 17 2" xfId="269"/>
    <cellStyle name="Normal 17 3" xfId="270"/>
    <cellStyle name="Normal 18" xfId="271"/>
    <cellStyle name="Normal 18 2" xfId="272"/>
    <cellStyle name="Normal 18 3" xfId="273"/>
    <cellStyle name="Normal 19" xfId="274"/>
    <cellStyle name="Normal 19 2" xfId="275"/>
    <cellStyle name="Normal 19 3" xfId="276"/>
    <cellStyle name="Normal 2" xfId="277"/>
    <cellStyle name="Normal 2 2" xfId="278"/>
    <cellStyle name="Normal 2 2 2" xfId="279"/>
    <cellStyle name="Normal 2 3" xfId="280"/>
    <cellStyle name="Normal 2 4" xfId="281"/>
    <cellStyle name="Normal 2 5" xfId="282"/>
    <cellStyle name="Normal 2 6" xfId="283"/>
    <cellStyle name="Normal 20" xfId="284"/>
    <cellStyle name="Normal 20 2" xfId="285"/>
    <cellStyle name="Normal 20 3" xfId="286"/>
    <cellStyle name="Normal 21" xfId="287"/>
    <cellStyle name="Normal 21 2" xfId="288"/>
    <cellStyle name="Normal 21 3" xfId="289"/>
    <cellStyle name="Normal 22" xfId="290"/>
    <cellStyle name="Normal 22 2" xfId="291"/>
    <cellStyle name="Normal 22 3" xfId="292"/>
    <cellStyle name="Normal 23" xfId="293"/>
    <cellStyle name="Normal 23 2" xfId="294"/>
    <cellStyle name="Normal 23 3" xfId="295"/>
    <cellStyle name="Normal 24" xfId="296"/>
    <cellStyle name="Normal 24 2" xfId="297"/>
    <cellStyle name="Normal 24 3" xfId="298"/>
    <cellStyle name="Normal 25" xfId="299"/>
    <cellStyle name="Normal 25 2" xfId="300"/>
    <cellStyle name="Normal 25 3" xfId="301"/>
    <cellStyle name="Normal 26" xfId="302"/>
    <cellStyle name="Normal 26 2" xfId="303"/>
    <cellStyle name="Normal 26 3" xfId="304"/>
    <cellStyle name="Normal 27" xfId="305"/>
    <cellStyle name="Normal 27 2" xfId="306"/>
    <cellStyle name="Normal 27 2 2" xfId="307"/>
    <cellStyle name="Normal 27 3" xfId="308"/>
    <cellStyle name="Normal 28" xfId="309"/>
    <cellStyle name="Normal 28 2" xfId="310"/>
    <cellStyle name="Normal 29" xfId="311"/>
    <cellStyle name="Normal 29 2" xfId="312"/>
    <cellStyle name="Normal 3" xfId="313"/>
    <cellStyle name="Normal 3 2" xfId="314"/>
    <cellStyle name="Normal 3 2 2" xfId="315"/>
    <cellStyle name="Normal 3 2 3" xfId="316"/>
    <cellStyle name="Normal 3 3" xfId="317"/>
    <cellStyle name="Normal 3 4" xfId="318"/>
    <cellStyle name="Normal 30" xfId="319"/>
    <cellStyle name="Normal 30 2" xfId="320"/>
    <cellStyle name="Normal 31" xfId="321"/>
    <cellStyle name="Normal 31 2" xfId="322"/>
    <cellStyle name="Normal 32" xfId="323"/>
    <cellStyle name="Normal 32 2" xfId="324"/>
    <cellStyle name="Normal 33" xfId="325"/>
    <cellStyle name="Normal 33 2" xfId="326"/>
    <cellStyle name="Normal 34" xfId="327"/>
    <cellStyle name="Normal 34 2" xfId="328"/>
    <cellStyle name="Normal 35" xfId="329"/>
    <cellStyle name="Normal 35 2" xfId="330"/>
    <cellStyle name="Normal 36" xfId="331"/>
    <cellStyle name="Normal 36 2" xfId="332"/>
    <cellStyle name="Normal 37" xfId="333"/>
    <cellStyle name="Normal 37 2" xfId="334"/>
    <cellStyle name="Normal 38" xfId="335"/>
    <cellStyle name="Normal 38 2" xfId="336"/>
    <cellStyle name="Normal 39" xfId="337"/>
    <cellStyle name="Normal 39 2" xfId="338"/>
    <cellStyle name="Normal 4" xfId="339"/>
    <cellStyle name="Normal 4 2" xfId="340"/>
    <cellStyle name="Normal 40" xfId="341"/>
    <cellStyle name="Normal 40 2" xfId="342"/>
    <cellStyle name="Normal 41" xfId="343"/>
    <cellStyle name="Normal 41 2" xfId="344"/>
    <cellStyle name="Normal 42" xfId="345"/>
    <cellStyle name="Normal 42 2" xfId="346"/>
    <cellStyle name="Normal 43" xfId="347"/>
    <cellStyle name="Normal 43 2" xfId="348"/>
    <cellStyle name="Normal 44" xfId="349"/>
    <cellStyle name="Normal 44 2" xfId="350"/>
    <cellStyle name="Normal 45" xfId="351"/>
    <cellStyle name="Normal 45 2" xfId="352"/>
    <cellStyle name="Normal 46" xfId="353"/>
    <cellStyle name="Normal 46 2" xfId="354"/>
    <cellStyle name="Normal 47" xfId="355"/>
    <cellStyle name="Normal 47 2" xfId="356"/>
    <cellStyle name="Normal 48" xfId="357"/>
    <cellStyle name="Normal 48 2" xfId="358"/>
    <cellStyle name="Normal 49" xfId="359"/>
    <cellStyle name="Normal 49 2" xfId="360"/>
    <cellStyle name="Normal 5" xfId="361"/>
    <cellStyle name="Normal 50" xfId="362"/>
    <cellStyle name="Normal 50 2" xfId="363"/>
    <cellStyle name="Normal 51" xfId="364"/>
    <cellStyle name="Normal 51 2" xfId="365"/>
    <cellStyle name="Normal 52" xfId="366"/>
    <cellStyle name="Normal 52 2" xfId="367"/>
    <cellStyle name="Normal 53" xfId="368"/>
    <cellStyle name="Normal 53 2" xfId="369"/>
    <cellStyle name="Normal 54" xfId="370"/>
    <cellStyle name="Normal 54 2" xfId="371"/>
    <cellStyle name="Normal 55" xfId="372"/>
    <cellStyle name="Normal 55 2" xfId="373"/>
    <cellStyle name="Normal 56" xfId="374"/>
    <cellStyle name="Normal 56 2" xfId="375"/>
    <cellStyle name="Normal 57" xfId="376"/>
    <cellStyle name="Normal 57 2" xfId="377"/>
    <cellStyle name="Normal 58" xfId="378"/>
    <cellStyle name="Normal 58 2" xfId="379"/>
    <cellStyle name="Normal 59" xfId="380"/>
    <cellStyle name="Normal 59 2" xfId="381"/>
    <cellStyle name="Normal 6" xfId="382"/>
    <cellStyle name="Normal 6 2" xfId="383"/>
    <cellStyle name="Normal 6 3" xfId="384"/>
    <cellStyle name="Normal 60" xfId="385"/>
    <cellStyle name="Normal 60 2" xfId="386"/>
    <cellStyle name="Normal 61" xfId="387"/>
    <cellStyle name="Normal 61 2" xfId="388"/>
    <cellStyle name="Normal 62" xfId="389"/>
    <cellStyle name="Normal 62 2" xfId="390"/>
    <cellStyle name="Normal 63" xfId="391"/>
    <cellStyle name="Normal 63 2" xfId="392"/>
    <cellStyle name="Normal 64" xfId="393"/>
    <cellStyle name="Normal 64 2" xfId="394"/>
    <cellStyle name="Normal 65" xfId="395"/>
    <cellStyle name="Normal 65 2" xfId="396"/>
    <cellStyle name="Normal 66" xfId="397"/>
    <cellStyle name="Normal 66 2" xfId="398"/>
    <cellStyle name="Normal 67" xfId="399"/>
    <cellStyle name="Normal 67 2" xfId="400"/>
    <cellStyle name="Normal 68" xfId="401"/>
    <cellStyle name="Normal 68 2" xfId="402"/>
    <cellStyle name="Normal 69" xfId="403"/>
    <cellStyle name="Normal 69 2" xfId="404"/>
    <cellStyle name="Normal 7" xfId="405"/>
    <cellStyle name="Normal 7 2" xfId="406"/>
    <cellStyle name="Normal 7 3" xfId="407"/>
    <cellStyle name="Normal 70" xfId="408"/>
    <cellStyle name="Normal 71" xfId="409"/>
    <cellStyle name="Normal 72" xfId="410"/>
    <cellStyle name="Normal 73" xfId="411"/>
    <cellStyle name="Normal 74" xfId="412"/>
    <cellStyle name="Normal 75" xfId="463"/>
    <cellStyle name="Normal 8" xfId="413"/>
    <cellStyle name="Normal 8 2" xfId="414"/>
    <cellStyle name="Normal 8 3" xfId="415"/>
    <cellStyle name="Normal 9" xfId="416"/>
    <cellStyle name="Normal 9 2" xfId="417"/>
    <cellStyle name="Normal 9 3" xfId="418"/>
    <cellStyle name="Note 10" xfId="419"/>
    <cellStyle name="Note 10 2" xfId="420"/>
    <cellStyle name="Note 10 3" xfId="421"/>
    <cellStyle name="Note 11" xfId="422"/>
    <cellStyle name="Note 11 2" xfId="423"/>
    <cellStyle name="Note 11 3" xfId="424"/>
    <cellStyle name="Note 12" xfId="425"/>
    <cellStyle name="Note 12 2" xfId="426"/>
    <cellStyle name="Note 12 3" xfId="427"/>
    <cellStyle name="Note 13" xfId="428"/>
    <cellStyle name="Note 13 2" xfId="429"/>
    <cellStyle name="Note 14" xfId="430"/>
    <cellStyle name="Note 14 2" xfId="431"/>
    <cellStyle name="Note 2" xfId="432"/>
    <cellStyle name="Note 2 2" xfId="433"/>
    <cellStyle name="Note 2 3" xfId="434"/>
    <cellStyle name="Note 3" xfId="435"/>
    <cellStyle name="Note 3 2" xfId="436"/>
    <cellStyle name="Note 3 3" xfId="437"/>
    <cellStyle name="Note 4" xfId="438"/>
    <cellStyle name="Note 4 2" xfId="439"/>
    <cellStyle name="Note 4 3" xfId="440"/>
    <cellStyle name="Note 5" xfId="441"/>
    <cellStyle name="Note 5 2" xfId="442"/>
    <cellStyle name="Note 5 3" xfId="443"/>
    <cellStyle name="Note 6" xfId="444"/>
    <cellStyle name="Note 6 2" xfId="445"/>
    <cellStyle name="Note 6 3" xfId="446"/>
    <cellStyle name="Note 7" xfId="447"/>
    <cellStyle name="Note 7 2" xfId="448"/>
    <cellStyle name="Note 7 3" xfId="449"/>
    <cellStyle name="Note 8" xfId="450"/>
    <cellStyle name="Note 8 2" xfId="451"/>
    <cellStyle name="Note 8 3" xfId="452"/>
    <cellStyle name="Note 9" xfId="453"/>
    <cellStyle name="Note 9 2" xfId="454"/>
    <cellStyle name="Note 9 3" xfId="455"/>
    <cellStyle name="Percent" xfId="464" builtinId="5"/>
    <cellStyle name="Percent 2" xfId="456"/>
    <cellStyle name="Percent 2 2" xfId="457"/>
    <cellStyle name="Percent 2 2 2" xfId="458"/>
    <cellStyle name="Percent 3" xfId="459"/>
    <cellStyle name="Percent 4" xfId="460"/>
    <cellStyle name="Title 2" xfId="461"/>
    <cellStyle name="Title 3" xfId="462"/>
  </cellStyles>
  <dxfs count="0"/>
  <tableStyles count="0" defaultTableStyle="TableStyleMedium2" defaultPivotStyle="PivotStyleLight16"/>
  <colors>
    <mruColors>
      <color rgb="FF66CCFF"/>
      <color rgb="FF0C68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43659116963828E-2"/>
          <c:y val="0.127049928301395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Comparison'!$B$4</c:f>
              <c:strCache>
                <c:ptCount val="1"/>
                <c:pt idx="0">
                  <c:v>Apr 2025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Comparison'!$B$5:$B$12</c:f>
              <c:numCache>
                <c:formatCode>_(* #,##0.00_);_(* \(#,##0.00\);_(* "-"??_);_(@_)</c:formatCode>
                <c:ptCount val="8"/>
                <c:pt idx="0">
                  <c:v>38.4092374166</c:v>
                </c:pt>
                <c:pt idx="1">
                  <c:v>2770.932964702899</c:v>
                </c:pt>
                <c:pt idx="2">
                  <c:v>204.98454964474001</c:v>
                </c:pt>
                <c:pt idx="3">
                  <c:v>1951.2396774693273</c:v>
                </c:pt>
                <c:pt idx="4">
                  <c:v>355.82549393045997</c:v>
                </c:pt>
                <c:pt idx="5">
                  <c:v>58.687519196020006</c:v>
                </c:pt>
                <c:pt idx="6">
                  <c:v>6.8343344776499997</c:v>
                </c:pt>
                <c:pt idx="7">
                  <c:v>57.934627993589999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86-46ED-89A2-2B50ABB45C22}"/>
            </c:ext>
          </c:extLst>
        </c:ser>
        <c:ser>
          <c:idx val="1"/>
          <c:order val="1"/>
          <c:tx>
            <c:strRef>
              <c:f>'NAV Comparison'!$C$4</c:f>
              <c:strCache>
                <c:ptCount val="1"/>
                <c:pt idx="0">
                  <c:v>May 2025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Comparison'!$C$5:$C$12</c:f>
              <c:numCache>
                <c:formatCode>_(* #,##0.00_);_(* \(#,##0.00\);_(* "-"??_);_(@_)</c:formatCode>
                <c:ptCount val="8"/>
                <c:pt idx="0">
                  <c:v>42.132274390619997</c:v>
                </c:pt>
                <c:pt idx="1">
                  <c:v>2990.538782123167</c:v>
                </c:pt>
                <c:pt idx="2">
                  <c:v>208.27970153560997</c:v>
                </c:pt>
                <c:pt idx="3">
                  <c:v>1940.4180649409723</c:v>
                </c:pt>
                <c:pt idx="4">
                  <c:v>359.22122360003004</c:v>
                </c:pt>
                <c:pt idx="5">
                  <c:v>60.953985544470001</c:v>
                </c:pt>
                <c:pt idx="6">
                  <c:v>6.0075058756699997</c:v>
                </c:pt>
                <c:pt idx="7">
                  <c:v>58.595245128711447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86-46ED-89A2-2B50ABB45C2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23657176"/>
        <c:axId val="323654824"/>
      </c:barChart>
      <c:catAx>
        <c:axId val="323657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323654824"/>
        <c:crosses val="autoZero"/>
        <c:auto val="1"/>
        <c:lblAlgn val="ctr"/>
        <c:lblOffset val="100"/>
        <c:noMultiLvlLbl val="0"/>
      </c:catAx>
      <c:valAx>
        <c:axId val="323654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323657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</c:rich>
      </c:tx>
      <c:layout>
        <c:manualLayout>
          <c:xMode val="edge"/>
          <c:yMode val="edge"/>
          <c:x val="0.231843809708693"/>
          <c:y val="9.3377148481089307E-3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430612036398778"/>
          <c:y val="0.16516634114243717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May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C18-4D5B-93F2-F392B61358B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C18-4D5B-93F2-F392B61358BF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9C18-4D5B-93F2-F392B61358BF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9C18-4D5B-93F2-F392B61358BF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9C18-4D5B-93F2-F392B61358BF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9C18-4D5B-93F2-F392B61358BF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9C18-4D5B-93F2-F392B61358BF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9C18-4D5B-93F2-F392B61358BF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599855860808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C18-4D5B-93F2-F392B61358BF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C18-4D5B-93F2-F392B61358BF}"/>
                </c:ext>
              </c:extLst>
            </c:dLbl>
            <c:dLbl>
              <c:idx val="2"/>
              <c:layout>
                <c:manualLayout>
                  <c:x val="-6.3908902826365604E-2"/>
                  <c:y val="-8.285611329149060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C18-4D5B-93F2-F392B61358BF}"/>
                </c:ext>
              </c:extLst>
            </c:dLbl>
            <c:dLbl>
              <c:idx val="3"/>
              <c:layout>
                <c:manualLayout>
                  <c:x val="-2.6526955148730099E-2"/>
                  <c:y val="-6.35230201901428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C18-4D5B-93F2-F392B61358BF}"/>
                </c:ext>
              </c:extLst>
            </c:dLbl>
            <c:dLbl>
              <c:idx val="4"/>
              <c:layout>
                <c:manualLayout>
                  <c:x val="-2.2105334402515699E-2"/>
                  <c:y val="-0.1021892063928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C18-4D5B-93F2-F392B61358BF}"/>
                </c:ext>
              </c:extLst>
            </c:dLbl>
            <c:dLbl>
              <c:idx val="5"/>
              <c:layout>
                <c:manualLayout>
                  <c:x val="2.964929024123427E-2"/>
                  <c:y val="-0.1520708413635106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9C18-4D5B-93F2-F392B61358BF}"/>
                </c:ext>
              </c:extLst>
            </c:dLbl>
            <c:dLbl>
              <c:idx val="6"/>
              <c:layout>
                <c:manualLayout>
                  <c:x val="5.3676088568821612E-2"/>
                  <c:y val="0.1182830959417287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9C18-4D5B-93F2-F392B61358BF}"/>
                </c:ext>
              </c:extLst>
            </c:dLbl>
            <c:dLbl>
              <c:idx val="7"/>
              <c:layout>
                <c:manualLayout>
                  <c:x val="-0.23830211161977197"/>
                  <c:y val="-0.3190834213100031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9C18-4D5B-93F2-F392B61358BF}"/>
                </c:ext>
              </c:extLst>
            </c:dLbl>
            <c:dLbl>
              <c:idx val="8"/>
              <c:layout>
                <c:manualLayout>
                  <c:x val="-0.19174734845962124"/>
                  <c:y val="-0.344957348471139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C612-485C-B4A4-AAD79CF83ADE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SHARI'AH COMPLAINT FUNDS</c:v>
                </c:pt>
                <c:pt idx="3">
                  <c:v>BALANCED FUNDS</c:v>
                </c:pt>
                <c:pt idx="4">
                  <c:v>BONDS/FIXED INCOME FUNDS</c:v>
                </c:pt>
                <c:pt idx="5">
                  <c:v>REAL ESTATE INVESTMENT TRUST</c:v>
                </c:pt>
                <c:pt idx="6">
                  <c:v>DOLLAR FUNDS</c:v>
                </c:pt>
                <c:pt idx="7">
                  <c:v>MONEY MARKET FUNDS</c:v>
                </c:pt>
              </c:strCache>
            </c:strRef>
          </c:cat>
          <c:val>
            <c:numRef>
              <c:f>'Market Share'!$B$2:$B$9</c:f>
              <c:numCache>
                <c:formatCode>_-* #,##0.00_-;\-* #,##0.00_-;_-* "-"??_-;_-@_-</c:formatCode>
                <c:ptCount val="8"/>
                <c:pt idx="0">
                  <c:v>6007505875.6700001</c:v>
                </c:pt>
                <c:pt idx="1">
                  <c:v>42132274390.619995</c:v>
                </c:pt>
                <c:pt idx="2" formatCode="#,##0.00">
                  <c:v>58595245128.711449</c:v>
                </c:pt>
                <c:pt idx="3" formatCode="#,##0.00">
                  <c:v>60953985544.470001</c:v>
                </c:pt>
                <c:pt idx="4" formatCode="#,##0.00">
                  <c:v>208279701535.60999</c:v>
                </c:pt>
                <c:pt idx="5" formatCode="#,##0.00">
                  <c:v>359221223600.03003</c:v>
                </c:pt>
                <c:pt idx="6" formatCode="#,##0.00">
                  <c:v>1940418064940.9722</c:v>
                </c:pt>
                <c:pt idx="7" formatCode="#,##0.00">
                  <c:v>2990538782123.167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C18-4D5B-93F2-F392B61358BF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UNITHOLDERS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Unitholders!$B$5</c:f>
              <c:strCache>
                <c:ptCount val="1"/>
                <c:pt idx="0">
                  <c:v>UNIT HOLDERS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Unitholders!$A$6:$A$13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Unitholders!$B$6:$B$13</c:f>
              <c:numCache>
                <c:formatCode>_(* #,##0_);_(* \(#,##0\);_(* "-"??_);_(@_)</c:formatCode>
                <c:ptCount val="8"/>
                <c:pt idx="0">
                  <c:v>51154</c:v>
                </c:pt>
                <c:pt idx="1">
                  <c:v>408111</c:v>
                </c:pt>
                <c:pt idx="2">
                  <c:v>45210</c:v>
                </c:pt>
                <c:pt idx="3">
                  <c:v>21223</c:v>
                </c:pt>
                <c:pt idx="4">
                  <c:v>217575</c:v>
                </c:pt>
                <c:pt idx="5">
                  <c:v>68296</c:v>
                </c:pt>
                <c:pt idx="6">
                  <c:v>11932</c:v>
                </c:pt>
                <c:pt idx="7">
                  <c:v>32509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B9-4D7C-AC55-08D88FE24A4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axId val="323655216"/>
        <c:axId val="323657960"/>
      </c:barChart>
      <c:catAx>
        <c:axId val="3236552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900" b="0" i="0" u="none" strike="noStrike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CLASSES OF FUNDS</a:t>
                </a:r>
                <a:endParaRPr lang="en-US" sz="1200"/>
              </a:p>
            </c:rich>
          </c:tx>
          <c:layout>
            <c:manualLayout>
              <c:xMode val="edge"/>
              <c:yMode val="edge"/>
              <c:x val="0.45444441097145799"/>
              <c:y val="0.936238322854479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900" b="0" i="0" u="none" strike="noStrike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3657960"/>
        <c:crosses val="autoZero"/>
        <c:auto val="1"/>
        <c:lblAlgn val="ctr"/>
        <c:lblOffset val="100"/>
        <c:noMultiLvlLbl val="0"/>
      </c:catAx>
      <c:valAx>
        <c:axId val="32365796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0">
                    <a:schemeClr val="lt1">
                      <a:lumMod val="75000"/>
                      <a:alpha val="36000"/>
                    </a:schemeClr>
                  </a:gs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crossAx val="323655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6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dk1"/>
    </cs:fontRef>
    <cs:defRPr sz="9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75000"/>
            <a:lumOff val="2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>
                <a:lumMod val="75000"/>
                <a:alpha val="36000"/>
              </a:schemeClr>
            </a:gs>
            <a:gs pos="100000">
              <a:schemeClr val="dk1">
                <a:lumMod val="95000"/>
                <a:lumOff val="5000"/>
                <a:alpha val="42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0">
              <a:schemeClr val="lt1">
                <a:lumMod val="75000"/>
                <a:alpha val="36000"/>
                <a:lumOff val="10000"/>
              </a:schemeClr>
            </a:gs>
            <a:gs pos="100000">
              <a:schemeClr val="dk1">
                <a:lumMod val="95000"/>
                <a:lumOff val="5000"/>
                <a:alpha val="42000"/>
                <a:lumOff val="10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chemeClr val="bg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/>
  </cs:title>
  <cs:trendline>
    <cs:lnRef idx="0"/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83820</xdr:colOff>
      <xdr:row>22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590550</xdr:colOff>
      <xdr:row>30</xdr:row>
      <xdr:rowOff>171451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19050</xdr:colOff>
      <xdr:row>19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30"/>
  <sheetViews>
    <sheetView tabSelected="1" view="pageBreakPreview" zoomScale="120" zoomScaleNormal="70" zoomScaleSheetLayoutView="120" workbookViewId="0">
      <pane ySplit="2" topLeftCell="A3" activePane="bottomLeft" state="frozen"/>
      <selection pane="bottomLeft" activeCell="A3" sqref="A3:V3"/>
    </sheetView>
  </sheetViews>
  <sheetFormatPr defaultColWidth="9" defaultRowHeight="13.8"/>
  <cols>
    <col min="1" max="1" width="6.6640625" style="5" customWidth="1"/>
    <col min="2" max="2" width="44.6640625" style="15" customWidth="1"/>
    <col min="3" max="3" width="43.88671875" style="15" customWidth="1"/>
    <col min="4" max="4" width="21.5546875" style="4" customWidth="1"/>
    <col min="5" max="6" width="19.33203125" style="4" customWidth="1"/>
    <col min="7" max="7" width="19.6640625" style="4" customWidth="1"/>
    <col min="8" max="8" width="20" style="4" customWidth="1"/>
    <col min="9" max="9" width="22" style="4" customWidth="1"/>
    <col min="10" max="10" width="9" style="4"/>
    <col min="11" max="11" width="24.5546875" style="4" customWidth="1"/>
    <col min="12" max="12" width="9" style="4"/>
    <col min="13" max="13" width="11.5546875" style="4" customWidth="1"/>
    <col min="14" max="14" width="12.109375" style="4" customWidth="1"/>
    <col min="15" max="15" width="12.5546875" style="4" customWidth="1"/>
    <col min="16" max="16" width="12.33203125" style="4" customWidth="1"/>
    <col min="17" max="17" width="12.6640625" style="4" customWidth="1"/>
    <col min="18" max="18" width="14.44140625" style="4" customWidth="1"/>
    <col min="19" max="19" width="13.33203125" style="4" customWidth="1"/>
    <col min="20" max="20" width="16.44140625" style="4" customWidth="1"/>
    <col min="21" max="22" width="20.109375" style="4" customWidth="1"/>
    <col min="23" max="16384" width="9" style="4"/>
  </cols>
  <sheetData>
    <row r="1" spans="1:23" ht="39.9" customHeight="1">
      <c r="A1" s="131" t="s">
        <v>278</v>
      </c>
      <c r="B1" s="131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5"/>
    </row>
    <row r="2" spans="1:23" ht="48" customHeight="1">
      <c r="A2" s="32" t="s">
        <v>0</v>
      </c>
      <c r="B2" s="32" t="s">
        <v>1</v>
      </c>
      <c r="C2" s="32" t="s">
        <v>2</v>
      </c>
      <c r="D2" s="32" t="s">
        <v>3</v>
      </c>
      <c r="E2" s="32" t="s">
        <v>4</v>
      </c>
      <c r="F2" s="32" t="s">
        <v>5</v>
      </c>
      <c r="G2" s="32" t="s">
        <v>6</v>
      </c>
      <c r="H2" s="36" t="s">
        <v>7</v>
      </c>
      <c r="I2" s="32" t="s">
        <v>280</v>
      </c>
      <c r="J2" s="32" t="s">
        <v>8</v>
      </c>
      <c r="K2" s="32" t="s">
        <v>9</v>
      </c>
      <c r="L2" s="32" t="s">
        <v>8</v>
      </c>
      <c r="M2" s="32" t="s">
        <v>10</v>
      </c>
      <c r="N2" s="32" t="s">
        <v>11</v>
      </c>
      <c r="O2" s="32" t="s">
        <v>12</v>
      </c>
      <c r="P2" s="32" t="s">
        <v>13</v>
      </c>
      <c r="Q2" s="32" t="s">
        <v>14</v>
      </c>
      <c r="R2" s="32" t="s">
        <v>15</v>
      </c>
      <c r="S2" s="32" t="s">
        <v>16</v>
      </c>
      <c r="T2" s="32" t="s">
        <v>17</v>
      </c>
      <c r="U2" s="32" t="s">
        <v>18</v>
      </c>
      <c r="V2" s="32" t="s">
        <v>19</v>
      </c>
    </row>
    <row r="3" spans="1:23" ht="6" customHeight="1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</row>
    <row r="4" spans="1:23" ht="16.5" customHeight="1">
      <c r="A4" s="118" t="s">
        <v>20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</row>
    <row r="5" spans="1:23" ht="15" customHeight="1">
      <c r="A5" s="90">
        <v>1</v>
      </c>
      <c r="B5" s="19" t="s">
        <v>21</v>
      </c>
      <c r="C5" s="19" t="s">
        <v>22</v>
      </c>
      <c r="D5" s="10">
        <v>1681885292.9300001</v>
      </c>
      <c r="E5" s="10">
        <v>23275536.600000001</v>
      </c>
      <c r="F5" s="10">
        <v>602046410.48000002</v>
      </c>
      <c r="G5" s="10">
        <v>3025470.58</v>
      </c>
      <c r="H5" s="12">
        <f>(E5+F5)-G5</f>
        <v>622296476.5</v>
      </c>
      <c r="I5" s="31">
        <v>1544138452.8199999</v>
      </c>
      <c r="J5" s="13">
        <f t="shared" ref="J5:J23" si="0">(I5/$I$24)</f>
        <v>4.0202267909454574E-2</v>
      </c>
      <c r="K5" s="31">
        <v>1722918656.3499999</v>
      </c>
      <c r="L5" s="13">
        <f>(K5/$K$24)</f>
        <v>4.0893084488540621E-2</v>
      </c>
      <c r="M5" s="13">
        <f t="shared" ref="M5:M24" si="1">((K5-I5)/I5)</f>
        <v>0.11577990510080274</v>
      </c>
      <c r="N5" s="21">
        <f t="shared" ref="N5" si="2">(G5/K5)</f>
        <v>1.7560147537141737E-3</v>
      </c>
      <c r="O5" s="22">
        <f t="shared" ref="O5" si="3">H5/K5</f>
        <v>0.36118738061513245</v>
      </c>
      <c r="P5" s="23">
        <f t="shared" ref="P5" si="4">K5/V5</f>
        <v>454.7794160396727</v>
      </c>
      <c r="Q5" s="23">
        <f t="shared" ref="Q5" si="5">H5/V5</f>
        <v>164.26058603704894</v>
      </c>
      <c r="R5" s="10">
        <v>454.78</v>
      </c>
      <c r="S5" s="10">
        <v>458.95</v>
      </c>
      <c r="T5" s="10">
        <f>1649+26+14</f>
        <v>1689</v>
      </c>
      <c r="U5" s="10">
        <v>3589592.97</v>
      </c>
      <c r="V5" s="10">
        <v>3788471.06</v>
      </c>
    </row>
    <row r="6" spans="1:23">
      <c r="A6" s="90">
        <v>2</v>
      </c>
      <c r="B6" s="19" t="s">
        <v>23</v>
      </c>
      <c r="C6" s="19" t="s">
        <v>24</v>
      </c>
      <c r="D6" s="10">
        <v>707338518.72000003</v>
      </c>
      <c r="E6" s="10">
        <v>2125647.2999999998</v>
      </c>
      <c r="F6" s="10">
        <v>0</v>
      </c>
      <c r="G6" s="10">
        <v>975341.49</v>
      </c>
      <c r="H6" s="12">
        <f t="shared" ref="H6:H23" si="6">(E6+F6)-G6</f>
        <v>1150305.8099999998</v>
      </c>
      <c r="I6" s="31">
        <v>680595664.53999996</v>
      </c>
      <c r="J6" s="13">
        <f t="shared" si="0"/>
        <v>1.7719582848209708E-2</v>
      </c>
      <c r="K6" s="31">
        <v>709758769.24000001</v>
      </c>
      <c r="L6" s="13">
        <f t="shared" ref="L6:L23" si="7">(K6/$K$24)</f>
        <v>1.6845963801043109E-2</v>
      </c>
      <c r="M6" s="13">
        <f t="shared" ref="M6:M23" si="8">((K6-I6)/I6)</f>
        <v>4.2849383590638598E-2</v>
      </c>
      <c r="N6" s="21">
        <f t="shared" ref="N6:N23" si="9">(G6/K6)</f>
        <v>1.3741873045744575E-3</v>
      </c>
      <c r="O6" s="22">
        <f t="shared" ref="O6:O23" si="10">H6/K6</f>
        <v>1.620699679740106E-3</v>
      </c>
      <c r="P6" s="23">
        <f t="shared" ref="P6:P23" si="11">K6/V6</f>
        <v>293.99420006626644</v>
      </c>
      <c r="Q6" s="23">
        <f t="shared" ref="Q6:Q23" si="12">H6/V6</f>
        <v>0.47647630589284667</v>
      </c>
      <c r="R6" s="10">
        <v>293.12</v>
      </c>
      <c r="S6" s="10">
        <v>296.7</v>
      </c>
      <c r="T6" s="10">
        <v>368</v>
      </c>
      <c r="U6" s="10">
        <v>2379644.37</v>
      </c>
      <c r="V6" s="10">
        <v>2414193.1</v>
      </c>
    </row>
    <row r="7" spans="1:23">
      <c r="A7" s="90">
        <v>3</v>
      </c>
      <c r="B7" s="19" t="s">
        <v>25</v>
      </c>
      <c r="C7" s="67" t="s">
        <v>26</v>
      </c>
      <c r="D7" s="10">
        <v>4063365558.21</v>
      </c>
      <c r="E7" s="10">
        <v>22964510.989999998</v>
      </c>
      <c r="F7" s="10">
        <v>176436929.97999999</v>
      </c>
      <c r="G7" s="10">
        <v>13619396.75</v>
      </c>
      <c r="H7" s="12">
        <f t="shared" si="6"/>
        <v>185782044.22</v>
      </c>
      <c r="I7" s="31">
        <v>4084541672</v>
      </c>
      <c r="J7" s="13">
        <f t="shared" si="0"/>
        <v>0.10634269115259007</v>
      </c>
      <c r="K7" s="31">
        <v>4294640214</v>
      </c>
      <c r="L7" s="13">
        <f t="shared" si="7"/>
        <v>0.10193231379306041</v>
      </c>
      <c r="M7" s="13">
        <f t="shared" si="8"/>
        <v>5.1437482800151001E-2</v>
      </c>
      <c r="N7" s="21">
        <f t="shared" si="9"/>
        <v>3.1712544174486231E-3</v>
      </c>
      <c r="O7" s="22">
        <f t="shared" si="10"/>
        <v>4.3259047315389383E-2</v>
      </c>
      <c r="P7" s="23">
        <f t="shared" si="11"/>
        <v>37.808372156261896</v>
      </c>
      <c r="Q7" s="23">
        <f t="shared" si="12"/>
        <v>1.6355541600255841</v>
      </c>
      <c r="R7" s="10">
        <v>37.619399999999999</v>
      </c>
      <c r="S7" s="10">
        <v>38.753599999999999</v>
      </c>
      <c r="T7" s="10">
        <v>6731</v>
      </c>
      <c r="U7" s="10">
        <v>110626226</v>
      </c>
      <c r="V7" s="10">
        <v>113589662</v>
      </c>
    </row>
    <row r="8" spans="1:23">
      <c r="A8" s="90">
        <v>4</v>
      </c>
      <c r="B8" s="74" t="s">
        <v>27</v>
      </c>
      <c r="C8" s="74" t="s">
        <v>28</v>
      </c>
      <c r="D8" s="10">
        <v>547216139.35000002</v>
      </c>
      <c r="E8" s="10">
        <v>5054700.3099999996</v>
      </c>
      <c r="F8" s="10">
        <v>0</v>
      </c>
      <c r="G8" s="10">
        <v>2038188.16</v>
      </c>
      <c r="H8" s="12">
        <f t="shared" si="6"/>
        <v>3016512.1499999994</v>
      </c>
      <c r="I8" s="31">
        <v>592651509.47000003</v>
      </c>
      <c r="J8" s="13">
        <f t="shared" si="0"/>
        <v>1.5429921272372447E-2</v>
      </c>
      <c r="K8" s="31">
        <v>640920493.07000005</v>
      </c>
      <c r="L8" s="13">
        <f t="shared" si="7"/>
        <v>1.5212102891190932E-2</v>
      </c>
      <c r="M8" s="13">
        <f t="shared" si="8"/>
        <v>8.144581230066604E-2</v>
      </c>
      <c r="N8" s="21">
        <f t="shared" si="9"/>
        <v>3.1800951631880386E-3</v>
      </c>
      <c r="O8" s="22">
        <f t="shared" si="10"/>
        <v>4.7065309700910782E-3</v>
      </c>
      <c r="P8" s="23">
        <f t="shared" si="11"/>
        <v>234.64055933430873</v>
      </c>
      <c r="Q8" s="23">
        <f t="shared" si="12"/>
        <v>1.1043430593464172</v>
      </c>
      <c r="R8" s="10">
        <v>234.64060000000001</v>
      </c>
      <c r="S8" s="10">
        <v>234.72649999999999</v>
      </c>
      <c r="T8" s="10">
        <v>1960</v>
      </c>
      <c r="U8" s="10">
        <v>2626216.73</v>
      </c>
      <c r="V8" s="10">
        <v>2731499.17</v>
      </c>
    </row>
    <row r="9" spans="1:23">
      <c r="A9" s="90">
        <v>5</v>
      </c>
      <c r="B9" s="19" t="s">
        <v>208</v>
      </c>
      <c r="C9" s="67" t="s">
        <v>103</v>
      </c>
      <c r="D9" s="10">
        <v>1140195692.8399999</v>
      </c>
      <c r="E9" s="10">
        <v>19236820.260000002</v>
      </c>
      <c r="F9" s="10">
        <v>40546150.509999998</v>
      </c>
      <c r="G9" s="10">
        <v>1318112.03</v>
      </c>
      <c r="H9" s="12">
        <f t="shared" si="6"/>
        <v>58464858.739999995</v>
      </c>
      <c r="I9" s="31">
        <v>977809212.11000001</v>
      </c>
      <c r="J9" s="13">
        <f t="shared" si="0"/>
        <v>2.5457657529212047E-2</v>
      </c>
      <c r="K9" s="31">
        <v>1108144872.78</v>
      </c>
      <c r="L9" s="13">
        <f t="shared" si="7"/>
        <v>2.6301567831493778E-2</v>
      </c>
      <c r="M9" s="13">
        <f t="shared" si="8"/>
        <v>0.13329354955528652</v>
      </c>
      <c r="N9" s="21">
        <f t="shared" si="9"/>
        <v>1.1894762700956744E-3</v>
      </c>
      <c r="O9" s="22">
        <f t="shared" si="10"/>
        <v>5.2759219643663889E-2</v>
      </c>
      <c r="P9" s="23">
        <f t="shared" si="11"/>
        <v>1.3789872802988739</v>
      </c>
      <c r="Q9" s="23">
        <f t="shared" si="12"/>
        <v>7.2754292807106991E-2</v>
      </c>
      <c r="R9" s="10">
        <v>1.3862000000000001</v>
      </c>
      <c r="S9" s="10">
        <v>1.4020999999999999</v>
      </c>
      <c r="T9" s="10">
        <v>518</v>
      </c>
      <c r="U9" s="10">
        <f>V9+10621447.07</f>
        <v>814214698.88</v>
      </c>
      <c r="V9" s="10">
        <v>803593251.80999994</v>
      </c>
    </row>
    <row r="10" spans="1:23">
      <c r="A10" s="90">
        <v>6</v>
      </c>
      <c r="B10" s="68" t="s">
        <v>207</v>
      </c>
      <c r="C10" s="69" t="s">
        <v>48</v>
      </c>
      <c r="D10" s="10">
        <v>92241432.379999995</v>
      </c>
      <c r="E10" s="10">
        <v>229674.02</v>
      </c>
      <c r="F10" s="17">
        <v>0</v>
      </c>
      <c r="G10" s="10">
        <v>89194.2</v>
      </c>
      <c r="H10" s="12">
        <f t="shared" si="6"/>
        <v>140479.82</v>
      </c>
      <c r="I10" s="17">
        <v>112951144.08</v>
      </c>
      <c r="J10" s="13">
        <f t="shared" si="0"/>
        <v>2.9407286287642855E-3</v>
      </c>
      <c r="K10" s="17">
        <v>118925631.89</v>
      </c>
      <c r="L10" s="13">
        <f t="shared" si="7"/>
        <v>2.8226729653236258E-3</v>
      </c>
      <c r="M10" s="13">
        <f t="shared" si="8"/>
        <v>5.2894442625286267E-2</v>
      </c>
      <c r="N10" s="21">
        <f t="shared" si="9"/>
        <v>7.4999979888692103E-4</v>
      </c>
      <c r="O10" s="22">
        <f t="shared" si="10"/>
        <v>1.1812408962429269E-3</v>
      </c>
      <c r="P10" s="23">
        <f t="shared" si="11"/>
        <v>173.67696010257262</v>
      </c>
      <c r="Q10" s="23">
        <f t="shared" si="12"/>
        <v>0.20515432800830993</v>
      </c>
      <c r="R10" s="10">
        <v>173.42830000000001</v>
      </c>
      <c r="S10" s="10">
        <v>173.42830000000001</v>
      </c>
      <c r="T10" s="10">
        <v>103</v>
      </c>
      <c r="U10" s="10">
        <v>680460.48</v>
      </c>
      <c r="V10" s="10">
        <v>684751.92</v>
      </c>
    </row>
    <row r="11" spans="1:23">
      <c r="A11" s="90">
        <v>7</v>
      </c>
      <c r="B11" s="19" t="s">
        <v>29</v>
      </c>
      <c r="C11" s="19" t="s">
        <v>30</v>
      </c>
      <c r="D11" s="10">
        <v>1607735922.3199999</v>
      </c>
      <c r="E11" s="10">
        <v>7363040.7699999996</v>
      </c>
      <c r="F11" s="10">
        <v>74979166.849999994</v>
      </c>
      <c r="G11" s="10">
        <v>2807242.61</v>
      </c>
      <c r="H11" s="12">
        <f t="shared" si="6"/>
        <v>79534965.00999999</v>
      </c>
      <c r="I11" s="31">
        <v>1492506162.95</v>
      </c>
      <c r="J11" s="13">
        <f t="shared" si="0"/>
        <v>3.8858000401355466E-2</v>
      </c>
      <c r="K11" s="31">
        <v>1584508724.1700001</v>
      </c>
      <c r="L11" s="13">
        <f t="shared" si="7"/>
        <v>3.760795606426514E-2</v>
      </c>
      <c r="M11" s="13">
        <f t="shared" si="8"/>
        <v>6.1643002557626406E-2</v>
      </c>
      <c r="N11" s="21">
        <f t="shared" si="9"/>
        <v>1.7716801221593112E-3</v>
      </c>
      <c r="O11" s="22">
        <f t="shared" si="10"/>
        <v>5.0195346858479511E-2</v>
      </c>
      <c r="P11" s="23">
        <f t="shared" si="11"/>
        <v>386.63754903888952</v>
      </c>
      <c r="Q11" s="23">
        <f t="shared" si="12"/>
        <v>19.407405882519441</v>
      </c>
      <c r="R11" s="10">
        <v>386.64</v>
      </c>
      <c r="S11" s="10">
        <v>391.66</v>
      </c>
      <c r="T11" s="10">
        <v>1684</v>
      </c>
      <c r="U11" s="10">
        <v>4072301</v>
      </c>
      <c r="V11" s="10">
        <v>4098176</v>
      </c>
    </row>
    <row r="12" spans="1:23">
      <c r="A12" s="90">
        <v>8</v>
      </c>
      <c r="B12" s="19" t="s">
        <v>31</v>
      </c>
      <c r="C12" s="67" t="s">
        <v>32</v>
      </c>
      <c r="D12" s="10">
        <v>472266105.89999998</v>
      </c>
      <c r="E12" s="10">
        <v>14423306.98</v>
      </c>
      <c r="F12" s="10">
        <v>11431438.050000001</v>
      </c>
      <c r="G12" s="10">
        <v>1437059.56</v>
      </c>
      <c r="H12" s="12">
        <f t="shared" si="6"/>
        <v>24417685.470000003</v>
      </c>
      <c r="I12" s="31">
        <v>436767750.81</v>
      </c>
      <c r="J12" s="13">
        <f t="shared" si="0"/>
        <v>1.1371424693301366E-2</v>
      </c>
      <c r="K12" s="31">
        <v>415711695.24000001</v>
      </c>
      <c r="L12" s="13">
        <f t="shared" si="7"/>
        <v>9.8668230294387069E-3</v>
      </c>
      <c r="M12" s="13">
        <f t="shared" si="8"/>
        <v>-4.820881470976475E-2</v>
      </c>
      <c r="N12" s="21">
        <f t="shared" si="9"/>
        <v>3.4568658434551672E-3</v>
      </c>
      <c r="O12" s="22">
        <f t="shared" si="10"/>
        <v>5.8737066456364923E-2</v>
      </c>
      <c r="P12" s="23">
        <f t="shared" si="11"/>
        <v>207.1691853551404</v>
      </c>
      <c r="Q12" s="23">
        <f t="shared" si="12"/>
        <v>12.168510207915864</v>
      </c>
      <c r="R12" s="10">
        <v>207.17</v>
      </c>
      <c r="S12" s="10">
        <v>216.11</v>
      </c>
      <c r="T12" s="10">
        <v>2475</v>
      </c>
      <c r="U12" s="10">
        <v>2006629</v>
      </c>
      <c r="V12" s="10">
        <v>2006629</v>
      </c>
    </row>
    <row r="13" spans="1:23">
      <c r="A13" s="90">
        <v>9</v>
      </c>
      <c r="B13" s="19" t="s">
        <v>33</v>
      </c>
      <c r="C13" s="19" t="s">
        <v>34</v>
      </c>
      <c r="D13" s="10">
        <v>69861908.010000005</v>
      </c>
      <c r="E13" s="10">
        <v>2486382.0499999998</v>
      </c>
      <c r="F13" s="10">
        <v>15970754.02</v>
      </c>
      <c r="G13" s="10">
        <v>1190465.72</v>
      </c>
      <c r="H13" s="12">
        <f t="shared" si="6"/>
        <v>17266670.350000001</v>
      </c>
      <c r="I13" s="31">
        <v>68142820.609999999</v>
      </c>
      <c r="J13" s="13">
        <f t="shared" si="0"/>
        <v>1.7741258403779065E-3</v>
      </c>
      <c r="K13" s="31">
        <v>72189691.189999998</v>
      </c>
      <c r="L13" s="13">
        <f t="shared" si="7"/>
        <v>1.7134059870755934E-3</v>
      </c>
      <c r="M13" s="13">
        <f t="shared" si="8"/>
        <v>5.9388069700861745E-2</v>
      </c>
      <c r="N13" s="21">
        <f t="shared" si="9"/>
        <v>1.6490799453162199E-2</v>
      </c>
      <c r="O13" s="22">
        <f t="shared" si="10"/>
        <v>0.23918470996855917</v>
      </c>
      <c r="P13" s="23">
        <f t="shared" si="11"/>
        <v>259.46228642566507</v>
      </c>
      <c r="Q13" s="23">
        <f t="shared" si="12"/>
        <v>62.059411726501935</v>
      </c>
      <c r="R13" s="10">
        <v>255.17</v>
      </c>
      <c r="S13" s="10">
        <v>263.12</v>
      </c>
      <c r="T13" s="10">
        <v>18</v>
      </c>
      <c r="U13" s="10">
        <v>280300.14</v>
      </c>
      <c r="V13" s="10">
        <v>278228.07</v>
      </c>
      <c r="W13" s="6"/>
    </row>
    <row r="14" spans="1:23">
      <c r="A14" s="90">
        <v>10</v>
      </c>
      <c r="B14" s="67" t="s">
        <v>35</v>
      </c>
      <c r="C14" s="67" t="s">
        <v>36</v>
      </c>
      <c r="D14" s="10">
        <v>1025620961.73</v>
      </c>
      <c r="E14" s="10">
        <v>3890281.65</v>
      </c>
      <c r="F14" s="10">
        <v>106310823.45</v>
      </c>
      <c r="G14" s="10">
        <v>1782030.97</v>
      </c>
      <c r="H14" s="12">
        <f t="shared" si="6"/>
        <v>108419074.13000001</v>
      </c>
      <c r="I14" s="31">
        <v>822014204.37</v>
      </c>
      <c r="J14" s="13">
        <f t="shared" si="0"/>
        <v>2.1401471616167407E-2</v>
      </c>
      <c r="K14" s="31">
        <v>1017337703.24</v>
      </c>
      <c r="L14" s="13">
        <f t="shared" si="7"/>
        <v>2.4146280208088938E-2</v>
      </c>
      <c r="M14" s="13">
        <f t="shared" si="8"/>
        <v>0.23761572224861724</v>
      </c>
      <c r="N14" s="21">
        <f t="shared" si="9"/>
        <v>1.7516611881429516E-3</v>
      </c>
      <c r="O14" s="22">
        <f t="shared" si="10"/>
        <v>0.10657137132017104</v>
      </c>
      <c r="P14" s="23">
        <f t="shared" si="11"/>
        <v>2.9645244804216802</v>
      </c>
      <c r="Q14" s="23">
        <f t="shared" si="12"/>
        <v>0.315933439190756</v>
      </c>
      <c r="R14" s="10">
        <v>2.96</v>
      </c>
      <c r="S14" s="10">
        <v>2.99</v>
      </c>
      <c r="T14" s="10">
        <v>592</v>
      </c>
      <c r="U14" s="10">
        <v>316805789.32999998</v>
      </c>
      <c r="V14" s="10">
        <v>343170619.75999999</v>
      </c>
    </row>
    <row r="15" spans="1:23">
      <c r="A15" s="90">
        <v>11</v>
      </c>
      <c r="B15" s="68" t="s">
        <v>252</v>
      </c>
      <c r="C15" s="69" t="s">
        <v>275</v>
      </c>
      <c r="D15" s="64">
        <v>41359705.200000003</v>
      </c>
      <c r="E15" s="62">
        <v>863379.41</v>
      </c>
      <c r="F15" s="62">
        <v>2861660.81</v>
      </c>
      <c r="G15" s="62">
        <v>152682.37</v>
      </c>
      <c r="H15" s="63">
        <f t="shared" si="6"/>
        <v>3572357.85</v>
      </c>
      <c r="I15" s="31">
        <v>39389993.859999999</v>
      </c>
      <c r="J15" s="13">
        <f t="shared" si="0"/>
        <v>1.0255343898854948E-3</v>
      </c>
      <c r="K15" s="17">
        <v>40624361.25</v>
      </c>
      <c r="L15" s="13">
        <f t="shared" si="7"/>
        <v>9.6421002278111755E-4</v>
      </c>
      <c r="M15" s="13">
        <f t="shared" si="8"/>
        <v>3.1337080030710132E-2</v>
      </c>
      <c r="N15" s="21">
        <f t="shared" si="9"/>
        <v>3.7583943550620132E-3</v>
      </c>
      <c r="O15" s="22">
        <f t="shared" si="10"/>
        <v>8.7936345091456675E-2</v>
      </c>
      <c r="P15" s="23">
        <f t="shared" si="11"/>
        <v>17.300567105536608</v>
      </c>
      <c r="Q15" s="23">
        <f t="shared" si="12"/>
        <v>1.521348639270371</v>
      </c>
      <c r="R15" s="62">
        <v>17.039300000000001</v>
      </c>
      <c r="S15" s="62">
        <v>17.574000000000002</v>
      </c>
      <c r="T15" s="62">
        <v>30</v>
      </c>
      <c r="U15" s="64">
        <v>2375337</v>
      </c>
      <c r="V15" s="64">
        <v>2348152</v>
      </c>
    </row>
    <row r="16" spans="1:23">
      <c r="A16" s="90">
        <v>12</v>
      </c>
      <c r="B16" s="19" t="s">
        <v>37</v>
      </c>
      <c r="C16" s="67" t="s">
        <v>38</v>
      </c>
      <c r="D16" s="10">
        <v>2018300338.25</v>
      </c>
      <c r="E16" s="10">
        <v>28197524.34</v>
      </c>
      <c r="F16" s="10">
        <v>0</v>
      </c>
      <c r="G16" s="10">
        <v>3629504.03</v>
      </c>
      <c r="H16" s="12">
        <f t="shared" si="6"/>
        <v>24568020.309999999</v>
      </c>
      <c r="I16" s="31">
        <v>1925529230.3599999</v>
      </c>
      <c r="J16" s="13">
        <f t="shared" si="0"/>
        <v>5.0131930750799282E-2</v>
      </c>
      <c r="K16" s="31">
        <v>2005318278.49</v>
      </c>
      <c r="L16" s="13">
        <f t="shared" si="7"/>
        <v>4.7595775625548682E-2</v>
      </c>
      <c r="M16" s="13">
        <f t="shared" si="8"/>
        <v>4.1437463982347662E-2</v>
      </c>
      <c r="N16" s="21">
        <f t="shared" si="9"/>
        <v>1.8099391348155504E-3</v>
      </c>
      <c r="O16" s="22">
        <f t="shared" si="10"/>
        <v>1.225143189164947E-2</v>
      </c>
      <c r="P16" s="23">
        <f t="shared" si="11"/>
        <v>4.1431804032092865</v>
      </c>
      <c r="Q16" s="23">
        <f t="shared" si="12"/>
        <v>5.075989252473536E-2</v>
      </c>
      <c r="R16" s="10">
        <v>4.09</v>
      </c>
      <c r="S16" s="10">
        <v>4.17</v>
      </c>
      <c r="T16" s="10">
        <v>3648</v>
      </c>
      <c r="U16" s="10">
        <v>484170172</v>
      </c>
      <c r="V16" s="10">
        <v>484004577</v>
      </c>
    </row>
    <row r="17" spans="1:23">
      <c r="A17" s="90">
        <v>13</v>
      </c>
      <c r="B17" s="19" t="s">
        <v>39</v>
      </c>
      <c r="C17" s="19" t="s">
        <v>40</v>
      </c>
      <c r="D17" s="10">
        <v>988270103.74000001</v>
      </c>
      <c r="E17" s="10">
        <v>12983507.42</v>
      </c>
      <c r="F17" s="10">
        <v>26934049.809999999</v>
      </c>
      <c r="G17" s="10">
        <v>1578271.59</v>
      </c>
      <c r="H17" s="12">
        <f t="shared" si="6"/>
        <v>38339285.639999993</v>
      </c>
      <c r="I17" s="31">
        <v>961452056.28999996</v>
      </c>
      <c r="J17" s="13">
        <f t="shared" si="0"/>
        <v>2.5031792374885117E-2</v>
      </c>
      <c r="K17" s="31">
        <v>1029304469.04</v>
      </c>
      <c r="L17" s="13">
        <f t="shared" si="7"/>
        <v>2.4430308686804632E-2</v>
      </c>
      <c r="M17" s="13">
        <f t="shared" si="8"/>
        <v>7.0572851039317847E-2</v>
      </c>
      <c r="N17" s="21">
        <f t="shared" si="9"/>
        <v>1.5333379359287196E-3</v>
      </c>
      <c r="O17" s="22">
        <f t="shared" si="10"/>
        <v>3.7247759815672271E-2</v>
      </c>
      <c r="P17" s="23">
        <f t="shared" si="11"/>
        <v>26.938064818307357</v>
      </c>
      <c r="Q17" s="23">
        <f t="shared" si="12"/>
        <v>1.0033825682513238</v>
      </c>
      <c r="R17" s="10">
        <v>27</v>
      </c>
      <c r="S17" s="10">
        <v>27.11</v>
      </c>
      <c r="T17" s="10">
        <v>489</v>
      </c>
      <c r="U17" s="10">
        <v>37696324.479999997</v>
      </c>
      <c r="V17" s="10">
        <v>38210037.579999998</v>
      </c>
    </row>
    <row r="18" spans="1:23">
      <c r="A18" s="90">
        <v>14</v>
      </c>
      <c r="B18" s="74" t="s">
        <v>41</v>
      </c>
      <c r="C18" s="74" t="s">
        <v>42</v>
      </c>
      <c r="D18" s="10">
        <v>141386935.53999999</v>
      </c>
      <c r="E18" s="10">
        <v>2211829.23</v>
      </c>
      <c r="F18" s="10">
        <v>45247975.740000002</v>
      </c>
      <c r="G18" s="10">
        <v>268527.59999999998</v>
      </c>
      <c r="H18" s="12">
        <f>(E18+F18)-G18</f>
        <v>47191277.369999997</v>
      </c>
      <c r="I18" s="31">
        <v>141528783.31</v>
      </c>
      <c r="J18" s="13">
        <f t="shared" si="0"/>
        <v>3.684759001459191E-3</v>
      </c>
      <c r="K18" s="31">
        <v>141158447.84999999</v>
      </c>
      <c r="L18" s="13">
        <f t="shared" si="7"/>
        <v>3.350363821835985E-3</v>
      </c>
      <c r="M18" s="13">
        <f t="shared" si="8"/>
        <v>-2.6166794579787892E-3</v>
      </c>
      <c r="N18" s="21">
        <f t="shared" si="9"/>
        <v>1.9023133513436405E-3</v>
      </c>
      <c r="O18" s="22">
        <f t="shared" si="10"/>
        <v>0.33431422694692092</v>
      </c>
      <c r="P18" s="23">
        <f t="shared" si="11"/>
        <v>1.5359518552351137</v>
      </c>
      <c r="Q18" s="23">
        <f t="shared" si="12"/>
        <v>0.51349055711061597</v>
      </c>
      <c r="R18" s="10">
        <v>1.5</v>
      </c>
      <c r="S18" s="10">
        <v>1.56</v>
      </c>
      <c r="T18" s="10">
        <v>22</v>
      </c>
      <c r="U18" s="10">
        <v>93160327.780000001</v>
      </c>
      <c r="V18" s="10">
        <v>91902911.780000001</v>
      </c>
    </row>
    <row r="19" spans="1:23">
      <c r="A19" s="90">
        <v>15</v>
      </c>
      <c r="B19" s="19" t="s">
        <v>43</v>
      </c>
      <c r="C19" s="19" t="s">
        <v>44</v>
      </c>
      <c r="D19" s="10">
        <v>3500729385.6799998</v>
      </c>
      <c r="E19" s="10">
        <v>30788639.59</v>
      </c>
      <c r="F19" s="10">
        <v>246570046.40000001</v>
      </c>
      <c r="G19" s="10">
        <v>5680427.46</v>
      </c>
      <c r="H19" s="12">
        <f t="shared" si="6"/>
        <v>271678258.53000003</v>
      </c>
      <c r="I19" s="31">
        <v>2695284707.5300002</v>
      </c>
      <c r="J19" s="13">
        <f t="shared" si="0"/>
        <v>7.0172825310120091E-2</v>
      </c>
      <c r="K19" s="31">
        <v>3490598396.9000001</v>
      </c>
      <c r="L19" s="13">
        <f t="shared" si="7"/>
        <v>8.2848563183124058E-2</v>
      </c>
      <c r="M19" s="13">
        <f t="shared" si="8"/>
        <v>0.29507594769045287</v>
      </c>
      <c r="N19" s="21">
        <f t="shared" si="9"/>
        <v>1.6273506184626644E-3</v>
      </c>
      <c r="O19" s="22">
        <f t="shared" si="10"/>
        <v>7.7831428207632669E-2</v>
      </c>
      <c r="P19" s="23">
        <f t="shared" si="11"/>
        <v>38.520445590584991</v>
      </c>
      <c r="Q19" s="23">
        <f t="shared" si="12"/>
        <v>2.998101295509636</v>
      </c>
      <c r="R19" s="10">
        <v>38.520000000000003</v>
      </c>
      <c r="S19" s="10">
        <v>38.61</v>
      </c>
      <c r="T19" s="10">
        <v>10024</v>
      </c>
      <c r="U19" s="10">
        <v>76160582</v>
      </c>
      <c r="V19" s="10">
        <v>90616771</v>
      </c>
    </row>
    <row r="20" spans="1:23">
      <c r="A20" s="90">
        <v>16</v>
      </c>
      <c r="B20" s="67" t="s">
        <v>45</v>
      </c>
      <c r="C20" s="19" t="s">
        <v>46</v>
      </c>
      <c r="D20" s="10">
        <v>1004139653.39</v>
      </c>
      <c r="E20" s="10">
        <v>13193046.93</v>
      </c>
      <c r="F20" s="10">
        <v>42477083.549999997</v>
      </c>
      <c r="G20" s="10">
        <v>1193104.31</v>
      </c>
      <c r="H20" s="12">
        <f>(E20+F20)-G20</f>
        <v>54477026.169999994</v>
      </c>
      <c r="I20" s="31">
        <v>947245867.94000006</v>
      </c>
      <c r="J20" s="13">
        <f t="shared" si="0"/>
        <v>2.4661928526875987E-2</v>
      </c>
      <c r="K20" s="31">
        <v>1033963063.71</v>
      </c>
      <c r="L20" s="13">
        <f t="shared" si="7"/>
        <v>2.4540879377264135E-2</v>
      </c>
      <c r="M20" s="13">
        <f t="shared" si="8"/>
        <v>9.1546660381413014E-2</v>
      </c>
      <c r="N20" s="21">
        <f t="shared" si="9"/>
        <v>1.1539138600550967E-3</v>
      </c>
      <c r="O20" s="22">
        <f t="shared" si="10"/>
        <v>5.2687594056337966E-2</v>
      </c>
      <c r="P20" s="23">
        <f t="shared" si="11"/>
        <v>9863.4160339084701</v>
      </c>
      <c r="Q20" s="23">
        <f t="shared" si="12"/>
        <v>519.67966000334445</v>
      </c>
      <c r="R20" s="10">
        <v>9788.59</v>
      </c>
      <c r="S20" s="10">
        <v>9914.7000000000007</v>
      </c>
      <c r="T20" s="10">
        <v>23</v>
      </c>
      <c r="U20" s="10">
        <v>102747.75</v>
      </c>
      <c r="V20" s="10">
        <v>104828.09</v>
      </c>
    </row>
    <row r="21" spans="1:23">
      <c r="A21" s="90">
        <v>17</v>
      </c>
      <c r="B21" s="19" t="s">
        <v>47</v>
      </c>
      <c r="C21" s="19" t="s">
        <v>46</v>
      </c>
      <c r="D21" s="10">
        <v>15234570759.73</v>
      </c>
      <c r="E21" s="10">
        <v>222201542.55000001</v>
      </c>
      <c r="F21" s="10">
        <v>546435726.03999996</v>
      </c>
      <c r="G21" s="10">
        <v>42190820.509999998</v>
      </c>
      <c r="H21" s="12">
        <f t="shared" si="6"/>
        <v>726446448.07999992</v>
      </c>
      <c r="I21" s="31">
        <v>14274527268.33</v>
      </c>
      <c r="J21" s="13">
        <f t="shared" si="0"/>
        <v>0.3716430793328046</v>
      </c>
      <c r="K21" s="31">
        <v>15275083737.07</v>
      </c>
      <c r="L21" s="13">
        <f t="shared" si="7"/>
        <v>0.36255065642672085</v>
      </c>
      <c r="M21" s="13">
        <f t="shared" si="8"/>
        <v>7.0093842684364888E-2</v>
      </c>
      <c r="N21" s="21">
        <f t="shared" si="9"/>
        <v>2.7620680342072454E-3</v>
      </c>
      <c r="O21" s="22">
        <f t="shared" si="10"/>
        <v>4.7557608232093644E-2</v>
      </c>
      <c r="P21" s="23">
        <f t="shared" si="11"/>
        <v>30492.997373085098</v>
      </c>
      <c r="Q21" s="23">
        <f t="shared" si="12"/>
        <v>1450.1740228914416</v>
      </c>
      <c r="R21" s="10">
        <v>30231.11</v>
      </c>
      <c r="S21" s="10">
        <v>30672.49</v>
      </c>
      <c r="T21" s="10">
        <v>17784</v>
      </c>
      <c r="U21" s="10">
        <v>497994.81</v>
      </c>
      <c r="V21" s="10">
        <v>500937.43</v>
      </c>
    </row>
    <row r="22" spans="1:23">
      <c r="A22" s="90">
        <v>18</v>
      </c>
      <c r="B22" s="19" t="s">
        <v>49</v>
      </c>
      <c r="C22" s="19" t="s">
        <v>50</v>
      </c>
      <c r="D22" s="10">
        <v>3503081398</v>
      </c>
      <c r="E22" s="10">
        <v>21444126</v>
      </c>
      <c r="F22" s="10">
        <v>144883103</v>
      </c>
      <c r="G22" s="10">
        <v>7116321</v>
      </c>
      <c r="H22" s="12">
        <f t="shared" ref="H22" si="13">(E22+F22)-G22</f>
        <v>159210908</v>
      </c>
      <c r="I22" s="31">
        <v>4234215178</v>
      </c>
      <c r="J22" s="13">
        <f t="shared" si="0"/>
        <v>0.11023950129689439</v>
      </c>
      <c r="K22" s="31">
        <v>4396111082</v>
      </c>
      <c r="L22" s="13">
        <f t="shared" si="7"/>
        <v>0.10434070188669227</v>
      </c>
      <c r="M22" s="13">
        <f t="shared" si="8"/>
        <v>3.8235162171533832E-2</v>
      </c>
      <c r="N22" s="21">
        <f t="shared" si="9"/>
        <v>1.6187764292713111E-3</v>
      </c>
      <c r="O22" s="22">
        <f t="shared" si="10"/>
        <v>3.6216306874476745E-2</v>
      </c>
      <c r="P22" s="23">
        <f t="shared" si="11"/>
        <v>1.7404854929286138</v>
      </c>
      <c r="Q22" s="23">
        <f t="shared" si="12"/>
        <v>6.3033956722477594E-2</v>
      </c>
      <c r="R22" s="10">
        <v>1.74</v>
      </c>
      <c r="S22" s="10">
        <v>1.76</v>
      </c>
      <c r="T22" s="10">
        <v>2959</v>
      </c>
      <c r="U22" s="10">
        <v>2533902339</v>
      </c>
      <c r="V22" s="10">
        <v>2525795876.9899998</v>
      </c>
    </row>
    <row r="23" spans="1:23">
      <c r="A23" s="90">
        <v>19</v>
      </c>
      <c r="B23" s="69" t="s">
        <v>253</v>
      </c>
      <c r="C23" s="69" t="s">
        <v>254</v>
      </c>
      <c r="D23" s="10">
        <v>3124367488.6399999</v>
      </c>
      <c r="E23" s="10">
        <v>38485743.020000003</v>
      </c>
      <c r="F23" s="10">
        <v>220439047.5</v>
      </c>
      <c r="G23" s="10">
        <v>9530150.2200000007</v>
      </c>
      <c r="H23" s="12">
        <f t="shared" si="6"/>
        <v>249394640.30000001</v>
      </c>
      <c r="I23" s="31">
        <v>2377945737.2199998</v>
      </c>
      <c r="J23" s="13">
        <f t="shared" si="0"/>
        <v>6.1910777124470608E-2</v>
      </c>
      <c r="K23" s="31">
        <v>3035056103.1399999</v>
      </c>
      <c r="L23" s="13">
        <f t="shared" si="7"/>
        <v>7.2036369909707548E-2</v>
      </c>
      <c r="M23" s="13">
        <f t="shared" si="8"/>
        <v>0.27633530725062394</v>
      </c>
      <c r="N23" s="21">
        <f t="shared" si="9"/>
        <v>3.1400244002541913E-3</v>
      </c>
      <c r="O23" s="22">
        <f t="shared" si="10"/>
        <v>8.2171344391947815E-2</v>
      </c>
      <c r="P23" s="23">
        <f t="shared" si="11"/>
        <v>155.37342547890734</v>
      </c>
      <c r="Q23" s="23">
        <f t="shared" si="12"/>
        <v>12.767243254383933</v>
      </c>
      <c r="R23" s="10">
        <v>152.01</v>
      </c>
      <c r="S23" s="10">
        <v>157.53</v>
      </c>
      <c r="T23" s="10">
        <v>37</v>
      </c>
      <c r="U23" s="10">
        <v>16642843</v>
      </c>
      <c r="V23" s="10">
        <v>19533946</v>
      </c>
    </row>
    <row r="24" spans="1:23">
      <c r="A24" s="119" t="s">
        <v>51</v>
      </c>
      <c r="B24" s="119"/>
      <c r="C24" s="119"/>
      <c r="D24" s="119"/>
      <c r="E24" s="119"/>
      <c r="F24" s="119"/>
      <c r="G24" s="119"/>
      <c r="H24" s="119"/>
      <c r="I24" s="37">
        <f>SUM(I5:I23)</f>
        <v>38409237416.599998</v>
      </c>
      <c r="J24" s="38">
        <f>(I24/$I$219)</f>
        <v>7.0542344911786658E-3</v>
      </c>
      <c r="K24" s="58">
        <f>SUM(K5:K23)</f>
        <v>42132274390.619995</v>
      </c>
      <c r="L24" s="38">
        <f>(K24/$K$219)</f>
        <v>7.4357894355989813E-3</v>
      </c>
      <c r="M24" s="38">
        <f t="shared" si="1"/>
        <v>9.6930770419590417E-2</v>
      </c>
      <c r="N24" s="21"/>
      <c r="O24" s="21"/>
      <c r="P24" s="39"/>
      <c r="Q24" s="39"/>
      <c r="R24" s="40"/>
      <c r="S24" s="40"/>
      <c r="T24" s="40">
        <f>SUM(T5:T23)</f>
        <v>51154</v>
      </c>
      <c r="U24" s="40"/>
      <c r="V24" s="40"/>
    </row>
    <row r="25" spans="1:23" ht="6" customHeight="1">
      <c r="A25" s="133"/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5"/>
    </row>
    <row r="26" spans="1:23">
      <c r="A26" s="118" t="s">
        <v>52</v>
      </c>
      <c r="B26" s="118"/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</row>
    <row r="27" spans="1:23" ht="12.9" customHeight="1">
      <c r="A27" s="90">
        <v>20</v>
      </c>
      <c r="B27" s="19" t="s">
        <v>53</v>
      </c>
      <c r="C27" s="19" t="s">
        <v>22</v>
      </c>
      <c r="D27" s="10">
        <v>3516157024.8600001</v>
      </c>
      <c r="E27" s="10">
        <v>55242273.850000001</v>
      </c>
      <c r="F27" s="10">
        <v>0</v>
      </c>
      <c r="G27" s="10">
        <v>6345548.4100000001</v>
      </c>
      <c r="H27" s="12">
        <f>(E27+F27)-G27</f>
        <v>48896725.439999998</v>
      </c>
      <c r="I27" s="48">
        <v>3086740876.4099998</v>
      </c>
      <c r="J27" s="13">
        <f t="shared" ref="J27:J67" si="14">(I27/$I$68)</f>
        <v>1.1139716895825237E-3</v>
      </c>
      <c r="K27" s="48">
        <v>3413302210.9200001</v>
      </c>
      <c r="L27" s="13">
        <f t="shared" ref="L27" si="15">(K27/$K$68)</f>
        <v>1.1413669775239255E-3</v>
      </c>
      <c r="M27" s="13">
        <f t="shared" ref="M27:M68" si="16">((K27-I27)/I27)</f>
        <v>0.10579486506486538</v>
      </c>
      <c r="N27" s="21">
        <f t="shared" ref="N27" si="17">(G27/K27)</f>
        <v>1.8590643364947345E-3</v>
      </c>
      <c r="O27" s="22">
        <f t="shared" ref="O27" si="18">H27/K27</f>
        <v>1.4325343148217949E-2</v>
      </c>
      <c r="P27" s="25">
        <f t="shared" ref="P27" si="19">K27/V27</f>
        <v>100.30241485907628</v>
      </c>
      <c r="Q27" s="25">
        <f t="shared" ref="Q27" si="20">H27/V27</f>
        <v>1.4368665114511825</v>
      </c>
      <c r="R27" s="10">
        <v>100</v>
      </c>
      <c r="S27" s="10">
        <v>100</v>
      </c>
      <c r="T27" s="10">
        <v>851</v>
      </c>
      <c r="U27" s="18">
        <v>30739660</v>
      </c>
      <c r="V27" s="18">
        <v>34030110</v>
      </c>
    </row>
    <row r="28" spans="1:23" ht="15" customHeight="1">
      <c r="A28" s="90">
        <v>21</v>
      </c>
      <c r="B28" s="19" t="s">
        <v>54</v>
      </c>
      <c r="C28" s="19" t="s">
        <v>55</v>
      </c>
      <c r="D28" s="10">
        <v>20961719492.369999</v>
      </c>
      <c r="E28" s="10">
        <v>404773756.42000002</v>
      </c>
      <c r="F28" s="10">
        <v>0</v>
      </c>
      <c r="G28" s="10">
        <v>34240689.100000001</v>
      </c>
      <c r="H28" s="12">
        <f t="shared" ref="H28:H67" si="21">(E28+F28)-G28</f>
        <v>370533067.31999999</v>
      </c>
      <c r="I28" s="48">
        <v>19612993762.400002</v>
      </c>
      <c r="J28" s="13">
        <f t="shared" si="14"/>
        <v>7.0781191794377883E-3</v>
      </c>
      <c r="K28" s="48">
        <v>20985429440.150002</v>
      </c>
      <c r="L28" s="13">
        <f t="shared" ref="L28:L67" si="22">(K28/$K$68)</f>
        <v>7.017273798820679E-3</v>
      </c>
      <c r="M28" s="13">
        <f t="shared" ref="M28:M67" si="23">((K28-I28)/I28)</f>
        <v>6.9975838180354258E-2</v>
      </c>
      <c r="N28" s="21">
        <f t="shared" ref="N28:N67" si="24">(G28/K28)</f>
        <v>1.6316410963927957E-3</v>
      </c>
      <c r="O28" s="22">
        <f t="shared" ref="O28:O67" si="25">H28/K28</f>
        <v>1.7656682622423925E-2</v>
      </c>
      <c r="P28" s="25">
        <f t="shared" ref="P28:P67" si="26">K28/V28</f>
        <v>103.40148174765876</v>
      </c>
      <c r="Q28" s="25">
        <f t="shared" ref="Q28:Q67" si="27">H28/V28</f>
        <v>1.8257271459067714</v>
      </c>
      <c r="R28" s="10">
        <v>100</v>
      </c>
      <c r="S28" s="10">
        <v>100</v>
      </c>
      <c r="T28" s="10">
        <v>2855</v>
      </c>
      <c r="U28" s="18">
        <v>191829553.08000001</v>
      </c>
      <c r="V28" s="18">
        <v>202950954.72</v>
      </c>
    </row>
    <row r="29" spans="1:23">
      <c r="A29" s="90">
        <v>22</v>
      </c>
      <c r="B29" s="19" t="s">
        <v>56</v>
      </c>
      <c r="C29" s="19" t="s">
        <v>24</v>
      </c>
      <c r="D29" s="10">
        <v>2025192340.8</v>
      </c>
      <c r="E29" s="10">
        <v>34631452.020000003</v>
      </c>
      <c r="F29" s="10">
        <v>0</v>
      </c>
      <c r="G29" s="10">
        <v>2664510.04</v>
      </c>
      <c r="H29" s="12">
        <v>31966941.98</v>
      </c>
      <c r="I29" s="48">
        <v>1916688077.8</v>
      </c>
      <c r="J29" s="13">
        <f t="shared" si="14"/>
        <v>6.9171217861111573E-4</v>
      </c>
      <c r="K29" s="48">
        <v>2084661523.75</v>
      </c>
      <c r="L29" s="13">
        <f t="shared" si="22"/>
        <v>6.9708560083276056E-4</v>
      </c>
      <c r="M29" s="13">
        <f t="shared" si="23"/>
        <v>8.7637340627068641E-2</v>
      </c>
      <c r="N29" s="21">
        <f t="shared" si="24"/>
        <v>1.2781499584675682E-3</v>
      </c>
      <c r="O29" s="22">
        <f t="shared" si="25"/>
        <v>1.5334356016940422E-2</v>
      </c>
      <c r="P29" s="25">
        <f t="shared" si="26"/>
        <v>156.18357552211245</v>
      </c>
      <c r="Q29" s="25">
        <f t="shared" si="27"/>
        <v>2.3949745510547737</v>
      </c>
      <c r="R29" s="10">
        <v>100</v>
      </c>
      <c r="S29" s="10">
        <v>100</v>
      </c>
      <c r="T29" s="10">
        <v>1578</v>
      </c>
      <c r="U29" s="18">
        <v>12072977.67</v>
      </c>
      <c r="V29" s="18">
        <v>13347508</v>
      </c>
    </row>
    <row r="30" spans="1:23">
      <c r="A30" s="90">
        <v>23</v>
      </c>
      <c r="B30" s="19" t="s">
        <v>57</v>
      </c>
      <c r="C30" s="67" t="s">
        <v>58</v>
      </c>
      <c r="D30" s="10">
        <v>82077486596.580002</v>
      </c>
      <c r="E30" s="10">
        <v>3914041602.3499999</v>
      </c>
      <c r="F30" s="10">
        <v>0</v>
      </c>
      <c r="G30" s="10">
        <v>418150073.00999999</v>
      </c>
      <c r="H30" s="12">
        <f t="shared" si="21"/>
        <v>3495891529.3400002</v>
      </c>
      <c r="I30" s="48">
        <v>196502524149</v>
      </c>
      <c r="J30" s="13">
        <f t="shared" si="14"/>
        <v>7.0915654276778622E-2</v>
      </c>
      <c r="K30" s="48">
        <v>212499330442</v>
      </c>
      <c r="L30" s="13">
        <f t="shared" si="22"/>
        <v>7.1057206050052862E-2</v>
      </c>
      <c r="M30" s="13">
        <f t="shared" si="23"/>
        <v>8.1407637699708435E-2</v>
      </c>
      <c r="N30" s="21">
        <f t="shared" si="24"/>
        <v>1.9677712496328583E-3</v>
      </c>
      <c r="O30" s="22">
        <f t="shared" si="25"/>
        <v>1.6451306091499314E-2</v>
      </c>
      <c r="P30" s="25">
        <f t="shared" si="26"/>
        <v>1</v>
      </c>
      <c r="Q30" s="25">
        <f t="shared" si="27"/>
        <v>1.6451306091499314E-2</v>
      </c>
      <c r="R30" s="10">
        <v>1</v>
      </c>
      <c r="S30" s="10">
        <v>1</v>
      </c>
      <c r="T30" s="10">
        <v>70106</v>
      </c>
      <c r="U30" s="18">
        <v>196502524149</v>
      </c>
      <c r="V30" s="18">
        <v>212499330442</v>
      </c>
    </row>
    <row r="31" spans="1:23">
      <c r="A31" s="90">
        <v>24</v>
      </c>
      <c r="B31" s="19" t="s">
        <v>270</v>
      </c>
      <c r="C31" s="67" t="s">
        <v>101</v>
      </c>
      <c r="D31" s="10">
        <v>553624263.42999995</v>
      </c>
      <c r="E31" s="10">
        <v>19692518.920000002</v>
      </c>
      <c r="F31" s="10">
        <v>0</v>
      </c>
      <c r="G31" s="10">
        <v>2083504.57</v>
      </c>
      <c r="H31" s="12">
        <f t="shared" si="21"/>
        <v>17609014.350000001</v>
      </c>
      <c r="I31" s="48">
        <v>901728134.60000002</v>
      </c>
      <c r="J31" s="13">
        <f t="shared" si="14"/>
        <v>3.2542401641848592E-4</v>
      </c>
      <c r="K31" s="48">
        <v>950025422.29999995</v>
      </c>
      <c r="L31" s="13">
        <f t="shared" si="22"/>
        <v>3.1767701123926526E-4</v>
      </c>
      <c r="M31" s="13">
        <f t="shared" si="23"/>
        <v>5.3560808237866783E-2</v>
      </c>
      <c r="N31" s="21">
        <f t="shared" si="24"/>
        <v>2.1931040171071013E-3</v>
      </c>
      <c r="O31" s="22">
        <f t="shared" si="25"/>
        <v>1.8535308568236829E-2</v>
      </c>
      <c r="P31" s="25">
        <f t="shared" si="26"/>
        <v>0.95658255850608465</v>
      </c>
      <c r="Q31" s="25">
        <f t="shared" si="27"/>
        <v>1.7730552892903741E-2</v>
      </c>
      <c r="R31" s="10">
        <v>1</v>
      </c>
      <c r="S31" s="10">
        <v>1</v>
      </c>
      <c r="T31" s="10">
        <v>261</v>
      </c>
      <c r="U31" s="18">
        <v>906317631</v>
      </c>
      <c r="V31" s="18">
        <v>993145248</v>
      </c>
    </row>
    <row r="32" spans="1:23" ht="15" customHeight="1">
      <c r="A32" s="90">
        <v>25</v>
      </c>
      <c r="B32" s="19" t="s">
        <v>59</v>
      </c>
      <c r="C32" s="19" t="s">
        <v>28</v>
      </c>
      <c r="D32" s="10">
        <v>48248663506.68</v>
      </c>
      <c r="E32" s="10">
        <v>2148275615.5300002</v>
      </c>
      <c r="F32" s="10">
        <v>0</v>
      </c>
      <c r="G32" s="10">
        <v>187405312.40000001</v>
      </c>
      <c r="H32" s="12">
        <f t="shared" si="21"/>
        <v>1960870303.1300001</v>
      </c>
      <c r="I32" s="48">
        <v>113763181064.25</v>
      </c>
      <c r="J32" s="13">
        <f t="shared" si="14"/>
        <v>4.1055912399688005E-2</v>
      </c>
      <c r="K32" s="48">
        <v>119249174008.75999</v>
      </c>
      <c r="L32" s="13">
        <f t="shared" si="22"/>
        <v>3.987548154252582E-2</v>
      </c>
      <c r="M32" s="13">
        <f t="shared" si="23"/>
        <v>4.8222921451288106E-2</v>
      </c>
      <c r="N32" s="21">
        <f t="shared" si="24"/>
        <v>1.5715439034087841E-3</v>
      </c>
      <c r="O32" s="22">
        <f t="shared" si="25"/>
        <v>1.6443470736207829E-2</v>
      </c>
      <c r="P32" s="25">
        <f t="shared" si="26"/>
        <v>1.0314403485343433</v>
      </c>
      <c r="Q32" s="25">
        <f t="shared" si="27"/>
        <v>1.6960459187268479E-2</v>
      </c>
      <c r="R32" s="10">
        <v>1</v>
      </c>
      <c r="S32" s="10">
        <v>1</v>
      </c>
      <c r="T32" s="10">
        <v>33764</v>
      </c>
      <c r="U32" s="18">
        <v>111985102611.95</v>
      </c>
      <c r="V32" s="18">
        <v>115614222556.07001</v>
      </c>
    </row>
    <row r="33" spans="1:22" ht="15" customHeight="1">
      <c r="A33" s="90">
        <v>26</v>
      </c>
      <c r="B33" s="19" t="s">
        <v>265</v>
      </c>
      <c r="C33" s="19" t="s">
        <v>103</v>
      </c>
      <c r="D33" s="10">
        <v>5573048445.71</v>
      </c>
      <c r="E33" s="10">
        <v>93353307.480000004</v>
      </c>
      <c r="F33" s="10">
        <v>0</v>
      </c>
      <c r="G33" s="10">
        <v>3482215.86</v>
      </c>
      <c r="H33" s="12">
        <f t="shared" si="21"/>
        <v>89871091.620000005</v>
      </c>
      <c r="I33" s="48">
        <v>5170230836.3599997</v>
      </c>
      <c r="J33" s="13">
        <f t="shared" si="14"/>
        <v>1.8658808791912997E-3</v>
      </c>
      <c r="K33" s="48">
        <v>5343046522.3599997</v>
      </c>
      <c r="L33" s="13">
        <f t="shared" si="22"/>
        <v>1.7866501361893869E-3</v>
      </c>
      <c r="M33" s="13">
        <f t="shared" si="23"/>
        <v>3.3425139315765545E-2</v>
      </c>
      <c r="N33" s="21">
        <f t="shared" si="24"/>
        <v>6.5172853079742995E-4</v>
      </c>
      <c r="O33" s="22">
        <f t="shared" si="25"/>
        <v>1.6820196351257737E-2</v>
      </c>
      <c r="P33" s="25">
        <f t="shared" si="26"/>
        <v>1</v>
      </c>
      <c r="Q33" s="25">
        <f t="shared" si="27"/>
        <v>1.6820196351257737E-2</v>
      </c>
      <c r="R33" s="10">
        <v>1</v>
      </c>
      <c r="S33" s="10">
        <v>1</v>
      </c>
      <c r="T33" s="10">
        <v>629</v>
      </c>
      <c r="U33" s="18">
        <v>5170230836.3599997</v>
      </c>
      <c r="V33" s="18">
        <v>5343046522.3599997</v>
      </c>
    </row>
    <row r="34" spans="1:22">
      <c r="A34" s="90">
        <v>27</v>
      </c>
      <c r="B34" s="67" t="s">
        <v>260</v>
      </c>
      <c r="C34" s="67" t="s">
        <v>44</v>
      </c>
      <c r="D34" s="10">
        <v>25094146019.07</v>
      </c>
      <c r="E34" s="10">
        <v>435306334.14999998</v>
      </c>
      <c r="F34" s="10">
        <v>0</v>
      </c>
      <c r="G34" s="10">
        <v>40319689.82</v>
      </c>
      <c r="H34" s="12">
        <f t="shared" si="21"/>
        <v>394986644.32999998</v>
      </c>
      <c r="I34" s="48">
        <v>22409956039.830002</v>
      </c>
      <c r="J34" s="13">
        <f t="shared" si="14"/>
        <v>8.08751287934272E-3</v>
      </c>
      <c r="K34" s="48">
        <v>24314871920.150002</v>
      </c>
      <c r="L34" s="13">
        <f t="shared" si="22"/>
        <v>8.1305990965572367E-3</v>
      </c>
      <c r="M34" s="13">
        <f t="shared" si="23"/>
        <v>8.5003106518117474E-2</v>
      </c>
      <c r="N34" s="21">
        <f t="shared" si="24"/>
        <v>1.6582316350425284E-3</v>
      </c>
      <c r="O34" s="22">
        <f t="shared" si="25"/>
        <v>1.6244652475535772E-2</v>
      </c>
      <c r="P34" s="25">
        <f t="shared" si="26"/>
        <v>100.00000000472963</v>
      </c>
      <c r="Q34" s="25">
        <f t="shared" si="27"/>
        <v>1.6244652476304084</v>
      </c>
      <c r="R34" s="10">
        <v>100</v>
      </c>
      <c r="S34" s="10">
        <v>100</v>
      </c>
      <c r="T34" s="10">
        <v>3393</v>
      </c>
      <c r="U34" s="18">
        <v>224099560.38</v>
      </c>
      <c r="V34" s="18">
        <v>243148719.19</v>
      </c>
    </row>
    <row r="35" spans="1:22">
      <c r="A35" s="90">
        <v>28</v>
      </c>
      <c r="B35" s="26" t="s">
        <v>214</v>
      </c>
      <c r="C35" s="26" t="s">
        <v>215</v>
      </c>
      <c r="D35" s="10">
        <v>1306077232.4400001</v>
      </c>
      <c r="E35" s="10">
        <v>36635433.780000001</v>
      </c>
      <c r="F35" s="10">
        <v>0</v>
      </c>
      <c r="G35" s="10">
        <v>1235546.6200000001</v>
      </c>
      <c r="H35" s="12">
        <f t="shared" si="21"/>
        <v>35399887.160000004</v>
      </c>
      <c r="I35" s="48">
        <v>892409889.04999995</v>
      </c>
      <c r="J35" s="13">
        <f t="shared" si="14"/>
        <v>3.2206116149969172E-4</v>
      </c>
      <c r="K35" s="48">
        <v>1266244406.9100001</v>
      </c>
      <c r="L35" s="13">
        <f t="shared" si="22"/>
        <v>4.2341681521716149E-4</v>
      </c>
      <c r="M35" s="13">
        <f t="shared" si="23"/>
        <v>0.41890449943126407</v>
      </c>
      <c r="N35" s="21">
        <f t="shared" si="24"/>
        <v>9.7575682329376567E-4</v>
      </c>
      <c r="O35" s="22">
        <f t="shared" si="25"/>
        <v>2.7956599031608669E-2</v>
      </c>
      <c r="P35" s="25">
        <f t="shared" si="26"/>
        <v>1.007570210962635</v>
      </c>
      <c r="Q35" s="25">
        <f t="shared" si="27"/>
        <v>2.8168236384075743E-2</v>
      </c>
      <c r="R35" s="10">
        <v>1</v>
      </c>
      <c r="S35" s="10">
        <v>1</v>
      </c>
      <c r="T35" s="10">
        <v>445</v>
      </c>
      <c r="U35" s="18">
        <f>V35+58534296.63</f>
        <v>1315264987.0900002</v>
      </c>
      <c r="V35" s="18">
        <v>1256730690.46</v>
      </c>
    </row>
    <row r="36" spans="1:22">
      <c r="A36" s="90">
        <v>29</v>
      </c>
      <c r="B36" s="19" t="s">
        <v>230</v>
      </c>
      <c r="C36" s="19" t="s">
        <v>60</v>
      </c>
      <c r="D36" s="10">
        <v>57114279948.709999</v>
      </c>
      <c r="E36" s="10">
        <v>1049715574.0599999</v>
      </c>
      <c r="F36" s="10">
        <v>0</v>
      </c>
      <c r="G36" s="10">
        <v>88297660.150000006</v>
      </c>
      <c r="H36" s="12">
        <f t="shared" si="21"/>
        <v>961417913.90999997</v>
      </c>
      <c r="I36" s="48">
        <v>52180754493.290001</v>
      </c>
      <c r="J36" s="13">
        <f t="shared" si="14"/>
        <v>1.8831474870733601E-2</v>
      </c>
      <c r="K36" s="48">
        <v>55168081770.440002</v>
      </c>
      <c r="L36" s="13">
        <f t="shared" si="22"/>
        <v>1.8447539319745184E-2</v>
      </c>
      <c r="M36" s="13">
        <f t="shared" si="23"/>
        <v>5.7249599132073614E-2</v>
      </c>
      <c r="N36" s="21">
        <f t="shared" si="24"/>
        <v>1.6005207597649589E-3</v>
      </c>
      <c r="O36" s="22">
        <f t="shared" si="25"/>
        <v>1.7427068026591129E-2</v>
      </c>
      <c r="P36" s="25">
        <f t="shared" si="26"/>
        <v>100.00000000079756</v>
      </c>
      <c r="Q36" s="25">
        <f t="shared" si="27"/>
        <v>1.7427068026730121</v>
      </c>
      <c r="R36" s="10">
        <v>100</v>
      </c>
      <c r="S36" s="10">
        <v>100</v>
      </c>
      <c r="T36" s="10">
        <v>4302</v>
      </c>
      <c r="U36" s="18">
        <v>521807544.93000001</v>
      </c>
      <c r="V36" s="18">
        <v>551680817.70000005</v>
      </c>
    </row>
    <row r="37" spans="1:22">
      <c r="A37" s="90">
        <v>30</v>
      </c>
      <c r="B37" s="19" t="s">
        <v>61</v>
      </c>
      <c r="C37" s="19" t="s">
        <v>62</v>
      </c>
      <c r="D37" s="10">
        <v>10894848799.51</v>
      </c>
      <c r="E37" s="10">
        <v>464800603.31999999</v>
      </c>
      <c r="F37" s="10">
        <v>0</v>
      </c>
      <c r="G37" s="10">
        <v>28409801.68</v>
      </c>
      <c r="H37" s="12">
        <f t="shared" si="21"/>
        <v>436390801.63999999</v>
      </c>
      <c r="I37" s="48">
        <v>22500359602.810001</v>
      </c>
      <c r="J37" s="13">
        <f t="shared" si="14"/>
        <v>8.1201385560124885E-3</v>
      </c>
      <c r="K37" s="48">
        <v>27351358700</v>
      </c>
      <c r="L37" s="13">
        <f t="shared" si="22"/>
        <v>9.1459635512840913E-3</v>
      </c>
      <c r="M37" s="13">
        <f t="shared" si="23"/>
        <v>0.21559651413678615</v>
      </c>
      <c r="N37" s="21">
        <f t="shared" si="24"/>
        <v>1.0386980036936886E-3</v>
      </c>
      <c r="O37" s="22">
        <f t="shared" si="25"/>
        <v>1.5954995377980983E-2</v>
      </c>
      <c r="P37" s="25">
        <f t="shared" si="26"/>
        <v>100</v>
      </c>
      <c r="Q37" s="25">
        <f t="shared" si="27"/>
        <v>1.5954995377980985</v>
      </c>
      <c r="R37" s="10">
        <v>100</v>
      </c>
      <c r="S37" s="10">
        <v>100</v>
      </c>
      <c r="T37" s="10">
        <f>4632+174+95</f>
        <v>4901</v>
      </c>
      <c r="U37" s="18">
        <v>225003596</v>
      </c>
      <c r="V37" s="18">
        <v>273513587</v>
      </c>
    </row>
    <row r="38" spans="1:22">
      <c r="A38" s="90">
        <v>31</v>
      </c>
      <c r="B38" s="19" t="s">
        <v>63</v>
      </c>
      <c r="C38" s="19" t="s">
        <v>64</v>
      </c>
      <c r="D38" s="10">
        <v>26427702076.919998</v>
      </c>
      <c r="E38" s="10">
        <v>448613814.47000003</v>
      </c>
      <c r="F38" s="10">
        <v>0</v>
      </c>
      <c r="G38" s="10">
        <v>43226034.600000001</v>
      </c>
      <c r="H38" s="12">
        <f t="shared" si="21"/>
        <v>405387779.87</v>
      </c>
      <c r="I38" s="48">
        <v>24235434634.099998</v>
      </c>
      <c r="J38" s="13">
        <f t="shared" si="14"/>
        <v>8.746308533197784E-3</v>
      </c>
      <c r="K38" s="48">
        <v>27261434124.080002</v>
      </c>
      <c r="L38" s="13">
        <f t="shared" si="22"/>
        <v>9.1158938606793246E-3</v>
      </c>
      <c r="M38" s="13">
        <f t="shared" si="23"/>
        <v>0.12485847832587782</v>
      </c>
      <c r="N38" s="21">
        <f t="shared" si="24"/>
        <v>1.5856111752322846E-3</v>
      </c>
      <c r="O38" s="22">
        <f t="shared" si="25"/>
        <v>1.487037615207196E-2</v>
      </c>
      <c r="P38" s="25">
        <f t="shared" si="26"/>
        <v>1</v>
      </c>
      <c r="Q38" s="25">
        <f t="shared" si="27"/>
        <v>1.487037615207196E-2</v>
      </c>
      <c r="R38" s="10">
        <v>1</v>
      </c>
      <c r="S38" s="10">
        <v>1</v>
      </c>
      <c r="T38" s="10">
        <v>6052</v>
      </c>
      <c r="U38" s="18">
        <v>24235434634.099998</v>
      </c>
      <c r="V38" s="18">
        <v>27261434124.080002</v>
      </c>
    </row>
    <row r="39" spans="1:22">
      <c r="A39" s="90">
        <v>32</v>
      </c>
      <c r="B39" s="19" t="s">
        <v>65</v>
      </c>
      <c r="C39" s="19" t="s">
        <v>66</v>
      </c>
      <c r="D39" s="10">
        <v>22267461033.5</v>
      </c>
      <c r="E39" s="10">
        <v>974642520.38999999</v>
      </c>
      <c r="F39" s="10"/>
      <c r="G39" s="10">
        <v>84824483.370000005</v>
      </c>
      <c r="H39" s="12">
        <f t="shared" si="21"/>
        <v>889818037.01999998</v>
      </c>
      <c r="I39" s="48">
        <v>49832800288.370003</v>
      </c>
      <c r="J39" s="13">
        <f t="shared" si="14"/>
        <v>1.7984123370416182E-2</v>
      </c>
      <c r="K39" s="48">
        <v>49832800288.370003</v>
      </c>
      <c r="L39" s="13">
        <f t="shared" si="22"/>
        <v>1.6663485719115349E-2</v>
      </c>
      <c r="M39" s="13">
        <f t="shared" si="23"/>
        <v>0</v>
      </c>
      <c r="N39" s="21">
        <f t="shared" si="24"/>
        <v>1.7021817533660931E-3</v>
      </c>
      <c r="O39" s="22">
        <f t="shared" si="25"/>
        <v>1.785607133997778E-2</v>
      </c>
      <c r="P39" s="25">
        <f t="shared" si="26"/>
        <v>88.31543212367562</v>
      </c>
      <c r="Q39" s="25">
        <f t="shared" si="27"/>
        <v>1.5769666564213172</v>
      </c>
      <c r="R39" s="10">
        <v>100</v>
      </c>
      <c r="S39" s="10">
        <v>100</v>
      </c>
      <c r="T39" s="10">
        <v>7152</v>
      </c>
      <c r="U39" s="18">
        <v>490989471</v>
      </c>
      <c r="V39" s="18">
        <v>564259259</v>
      </c>
    </row>
    <row r="40" spans="1:22">
      <c r="A40" s="90">
        <v>33</v>
      </c>
      <c r="B40" s="19" t="s">
        <v>67</v>
      </c>
      <c r="C40" s="19" t="s">
        <v>66</v>
      </c>
      <c r="D40" s="10">
        <v>2650490585.3200002</v>
      </c>
      <c r="E40" s="10">
        <v>129748154.41</v>
      </c>
      <c r="F40" s="10">
        <v>0</v>
      </c>
      <c r="G40" s="10">
        <v>6267679.0700000003</v>
      </c>
      <c r="H40" s="12">
        <f t="shared" si="21"/>
        <v>123480475.34</v>
      </c>
      <c r="I40" s="48">
        <v>6475432147.3900003</v>
      </c>
      <c r="J40" s="13">
        <f t="shared" si="14"/>
        <v>2.3369140393781776E-3</v>
      </c>
      <c r="K40" s="48">
        <v>6475432147.3900003</v>
      </c>
      <c r="L40" s="13">
        <f t="shared" si="22"/>
        <v>2.1653061936861735E-3</v>
      </c>
      <c r="M40" s="13">
        <f t="shared" si="23"/>
        <v>0</v>
      </c>
      <c r="N40" s="21">
        <f t="shared" si="24"/>
        <v>9.6791672390950198E-4</v>
      </c>
      <c r="O40" s="22">
        <f t="shared" si="25"/>
        <v>1.9069070994708868E-2</v>
      </c>
      <c r="P40" s="25">
        <f t="shared" si="26"/>
        <v>886681.11014514591</v>
      </c>
      <c r="Q40" s="25">
        <f t="shared" si="27"/>
        <v>16908.185039025058</v>
      </c>
      <c r="R40" s="10">
        <v>1000000</v>
      </c>
      <c r="S40" s="10">
        <v>1000000</v>
      </c>
      <c r="T40" s="10">
        <v>50</v>
      </c>
      <c r="U40" s="18">
        <v>6379</v>
      </c>
      <c r="V40" s="18">
        <v>7303</v>
      </c>
    </row>
    <row r="41" spans="1:22">
      <c r="A41" s="90">
        <v>34</v>
      </c>
      <c r="B41" s="67" t="s">
        <v>68</v>
      </c>
      <c r="C41" s="67" t="s">
        <v>69</v>
      </c>
      <c r="D41" s="10">
        <v>5201156066.1099997</v>
      </c>
      <c r="E41" s="10">
        <v>97720321.760000005</v>
      </c>
      <c r="F41" s="10">
        <v>0</v>
      </c>
      <c r="G41" s="10">
        <v>8532862.2200000007</v>
      </c>
      <c r="H41" s="12">
        <f t="shared" si="21"/>
        <v>89187459.540000007</v>
      </c>
      <c r="I41" s="48">
        <v>4465192498.3400002</v>
      </c>
      <c r="J41" s="13">
        <f t="shared" si="14"/>
        <v>1.6114401016622071E-3</v>
      </c>
      <c r="K41" s="48">
        <v>5110726027.5</v>
      </c>
      <c r="L41" s="13">
        <f t="shared" si="22"/>
        <v>1.7089649724828454E-3</v>
      </c>
      <c r="M41" s="13">
        <f t="shared" si="23"/>
        <v>0.14457014549764344</v>
      </c>
      <c r="N41" s="21">
        <f t="shared" si="24"/>
        <v>1.6695988347029428E-3</v>
      </c>
      <c r="O41" s="22">
        <f t="shared" si="25"/>
        <v>1.7451035148449857E-2</v>
      </c>
      <c r="P41" s="25">
        <f t="shared" si="26"/>
        <v>0.99520400351853766</v>
      </c>
      <c r="Q41" s="25">
        <f t="shared" si="27"/>
        <v>1.7367340045280014E-2</v>
      </c>
      <c r="R41" s="10">
        <v>1</v>
      </c>
      <c r="S41" s="10">
        <v>1</v>
      </c>
      <c r="T41" s="10">
        <v>914</v>
      </c>
      <c r="U41" s="18">
        <v>4457986770.6700001</v>
      </c>
      <c r="V41" s="18">
        <v>5135355172.8400002</v>
      </c>
    </row>
    <row r="42" spans="1:22">
      <c r="A42" s="90">
        <v>35</v>
      </c>
      <c r="B42" s="19" t="s">
        <v>70</v>
      </c>
      <c r="C42" s="19" t="s">
        <v>71</v>
      </c>
      <c r="D42" s="10">
        <v>1292711383.5</v>
      </c>
      <c r="E42" s="10">
        <v>39248948.520000003</v>
      </c>
      <c r="F42" s="10">
        <v>0</v>
      </c>
      <c r="G42" s="10">
        <v>2669211.9</v>
      </c>
      <c r="H42" s="12">
        <f>(E42+F42)-G42</f>
        <v>36579736.620000005</v>
      </c>
      <c r="I42" s="48">
        <v>2011712474.96</v>
      </c>
      <c r="J42" s="13">
        <f t="shared" si="14"/>
        <v>7.2600546479683497E-4</v>
      </c>
      <c r="K42" s="48">
        <v>2214542933.23</v>
      </c>
      <c r="L42" s="13">
        <f t="shared" si="22"/>
        <v>7.4051637332646803E-4</v>
      </c>
      <c r="M42" s="13">
        <f t="shared" si="23"/>
        <v>0.10082477530693494</v>
      </c>
      <c r="N42" s="21">
        <f t="shared" si="24"/>
        <v>1.2053105225225175E-3</v>
      </c>
      <c r="O42" s="22">
        <f t="shared" si="25"/>
        <v>1.6517962271630916E-2</v>
      </c>
      <c r="P42" s="25">
        <f t="shared" si="26"/>
        <v>1.1206409788379073</v>
      </c>
      <c r="Q42" s="25">
        <f t="shared" si="27"/>
        <v>1.8510705408488093E-2</v>
      </c>
      <c r="R42" s="10">
        <v>1</v>
      </c>
      <c r="S42" s="10">
        <v>1</v>
      </c>
      <c r="T42" s="10">
        <f>1237+38+17</f>
        <v>1292</v>
      </c>
      <c r="U42" s="18">
        <v>1781606135.381</v>
      </c>
      <c r="V42" s="18">
        <v>1976139526.4400001</v>
      </c>
    </row>
    <row r="43" spans="1:22">
      <c r="A43" s="90">
        <v>36</v>
      </c>
      <c r="B43" s="19" t="s">
        <v>72</v>
      </c>
      <c r="C43" s="19" t="s">
        <v>73</v>
      </c>
      <c r="D43" s="10">
        <v>540311541027.78998</v>
      </c>
      <c r="E43" s="10">
        <v>10087442389.33</v>
      </c>
      <c r="F43" s="10">
        <v>0</v>
      </c>
      <c r="G43" s="10">
        <v>840326557.71000004</v>
      </c>
      <c r="H43" s="12">
        <f t="shared" ref="H43" si="28">(E43+F43)-G43</f>
        <v>9247115831.6199989</v>
      </c>
      <c r="I43" s="48">
        <v>500670309628.23999</v>
      </c>
      <c r="J43" s="13">
        <f t="shared" si="14"/>
        <v>0.18068654709657408</v>
      </c>
      <c r="K43" s="48">
        <v>519299074228.46997</v>
      </c>
      <c r="L43" s="13">
        <f t="shared" si="22"/>
        <v>0.1736473298165315</v>
      </c>
      <c r="M43" s="13">
        <f t="shared" si="23"/>
        <v>3.7207647911181904E-2</v>
      </c>
      <c r="N43" s="21">
        <f t="shared" si="24"/>
        <v>1.6181938297473092E-3</v>
      </c>
      <c r="O43" s="22">
        <f t="shared" si="25"/>
        <v>1.780691761362866E-2</v>
      </c>
      <c r="P43" s="25">
        <f t="shared" si="26"/>
        <v>100.05750377005756</v>
      </c>
      <c r="Q43" s="25">
        <f t="shared" si="27"/>
        <v>1.781715726258754</v>
      </c>
      <c r="R43" s="10">
        <v>100</v>
      </c>
      <c r="S43" s="10">
        <v>100</v>
      </c>
      <c r="T43" s="10">
        <v>33114</v>
      </c>
      <c r="U43" s="18">
        <v>5003836068</v>
      </c>
      <c r="V43" s="18">
        <v>5190006293</v>
      </c>
    </row>
    <row r="44" spans="1:22">
      <c r="A44" s="90">
        <v>37</v>
      </c>
      <c r="B44" s="19" t="s">
        <v>266</v>
      </c>
      <c r="C44" s="19" t="s">
        <v>267</v>
      </c>
      <c r="D44" s="10">
        <v>1460200408.03</v>
      </c>
      <c r="E44" s="10">
        <v>53179357.600000001</v>
      </c>
      <c r="F44" s="10">
        <v>0</v>
      </c>
      <c r="G44" s="10">
        <v>20861885.550000001</v>
      </c>
      <c r="H44" s="12">
        <f>(E44+F44)-G44</f>
        <v>32317472.050000001</v>
      </c>
      <c r="I44" s="48">
        <v>1028585647.38</v>
      </c>
      <c r="J44" s="13">
        <f t="shared" si="14"/>
        <v>3.7120553275105502E-4</v>
      </c>
      <c r="K44" s="48">
        <v>1472240345.21</v>
      </c>
      <c r="L44" s="13">
        <f t="shared" si="22"/>
        <v>4.9229936558948964E-4</v>
      </c>
      <c r="M44" s="13">
        <f t="shared" si="23"/>
        <v>0.431324993655192</v>
      </c>
      <c r="N44" s="21">
        <f t="shared" si="24"/>
        <v>1.417016292066379E-2</v>
      </c>
      <c r="O44" s="22">
        <f t="shared" si="25"/>
        <v>2.1951220230546149E-2</v>
      </c>
      <c r="P44" s="25">
        <f t="shared" si="26"/>
        <v>1.0004273949060081</v>
      </c>
      <c r="Q44" s="25">
        <f t="shared" si="27"/>
        <v>2.1960602070253351E-2</v>
      </c>
      <c r="R44" s="10">
        <v>1</v>
      </c>
      <c r="S44" s="10">
        <v>1</v>
      </c>
      <c r="T44" s="10">
        <v>224</v>
      </c>
      <c r="U44" s="18">
        <v>1028162382</v>
      </c>
      <c r="V44" s="18">
        <v>1471611386</v>
      </c>
    </row>
    <row r="45" spans="1:22" ht="15.6" customHeight="1">
      <c r="A45" s="90">
        <v>38</v>
      </c>
      <c r="B45" s="19" t="s">
        <v>74</v>
      </c>
      <c r="C45" s="19" t="s">
        <v>75</v>
      </c>
      <c r="D45" s="10">
        <v>971477328.76999998</v>
      </c>
      <c r="E45" s="10">
        <v>15872518.189999999</v>
      </c>
      <c r="F45" s="10">
        <v>0</v>
      </c>
      <c r="G45" s="10">
        <v>2138362.92</v>
      </c>
      <c r="H45" s="12">
        <v>13734155.27</v>
      </c>
      <c r="I45" s="48">
        <v>931158181.85000002</v>
      </c>
      <c r="J45" s="13">
        <f t="shared" si="14"/>
        <v>3.3604500495371575E-4</v>
      </c>
      <c r="K45" s="48">
        <v>939499791.73000002</v>
      </c>
      <c r="L45" s="13">
        <f t="shared" si="22"/>
        <v>3.1415736767773713E-4</v>
      </c>
      <c r="M45" s="13">
        <f t="shared" si="23"/>
        <v>8.9583166883924151E-3</v>
      </c>
      <c r="N45" s="21">
        <f t="shared" si="24"/>
        <v>2.2760653475637359E-3</v>
      </c>
      <c r="O45" s="22">
        <f t="shared" si="25"/>
        <v>1.4618582559459487E-2</v>
      </c>
      <c r="P45" s="25">
        <f t="shared" si="26"/>
        <v>9.9093035547954713</v>
      </c>
      <c r="Q45" s="25">
        <f t="shared" si="27"/>
        <v>0.14485997212252297</v>
      </c>
      <c r="R45" s="10">
        <v>10</v>
      </c>
      <c r="S45" s="10">
        <v>10</v>
      </c>
      <c r="T45" s="10">
        <v>462</v>
      </c>
      <c r="U45" s="18">
        <v>93359840</v>
      </c>
      <c r="V45" s="18">
        <v>94809871</v>
      </c>
    </row>
    <row r="46" spans="1:22">
      <c r="A46" s="90">
        <v>39</v>
      </c>
      <c r="B46" s="19" t="s">
        <v>76</v>
      </c>
      <c r="C46" s="19" t="s">
        <v>77</v>
      </c>
      <c r="D46" s="10">
        <v>2542245849.8899999</v>
      </c>
      <c r="E46" s="10">
        <v>16367405.58</v>
      </c>
      <c r="F46" s="10">
        <v>0</v>
      </c>
      <c r="G46" s="10">
        <v>13146129.060000001</v>
      </c>
      <c r="H46" s="12">
        <f t="shared" si="21"/>
        <v>3221276.5199999996</v>
      </c>
      <c r="I46" s="48">
        <v>6993415027.9899998</v>
      </c>
      <c r="J46" s="13">
        <f t="shared" si="14"/>
        <v>2.5238485077317047E-3</v>
      </c>
      <c r="K46" s="48">
        <v>6896520107.9499998</v>
      </c>
      <c r="L46" s="13">
        <f t="shared" si="22"/>
        <v>2.3061129148954679E-3</v>
      </c>
      <c r="M46" s="13">
        <f t="shared" si="23"/>
        <v>-1.3855165130654179E-2</v>
      </c>
      <c r="N46" s="21">
        <f t="shared" si="24"/>
        <v>1.9061974523710489E-3</v>
      </c>
      <c r="O46" s="22">
        <f t="shared" si="25"/>
        <v>4.6708723669008901E-4</v>
      </c>
      <c r="P46" s="25">
        <f t="shared" si="26"/>
        <v>99.791680434617874</v>
      </c>
      <c r="Q46" s="25">
        <f t="shared" si="27"/>
        <v>4.6611420258866075E-2</v>
      </c>
      <c r="R46" s="10">
        <v>100</v>
      </c>
      <c r="S46" s="10">
        <v>100</v>
      </c>
      <c r="T46" s="10">
        <v>1762</v>
      </c>
      <c r="U46" s="18">
        <v>68401721</v>
      </c>
      <c r="V46" s="18">
        <v>69109169</v>
      </c>
    </row>
    <row r="47" spans="1:22">
      <c r="A47" s="90">
        <v>40</v>
      </c>
      <c r="B47" s="68" t="s">
        <v>250</v>
      </c>
      <c r="C47" s="68" t="s">
        <v>226</v>
      </c>
      <c r="D47" s="10">
        <v>98702130.269999996</v>
      </c>
      <c r="E47" s="10">
        <v>3629334.1</v>
      </c>
      <c r="F47" s="10">
        <v>0</v>
      </c>
      <c r="G47" s="10">
        <v>112163</v>
      </c>
      <c r="H47" s="12">
        <f t="shared" si="21"/>
        <v>3517171.1</v>
      </c>
      <c r="I47" s="48">
        <v>94923812.299999997</v>
      </c>
      <c r="J47" s="13">
        <f t="shared" si="14"/>
        <v>3.4256986188107867E-5</v>
      </c>
      <c r="K47" s="48">
        <v>94923812.299999997</v>
      </c>
      <c r="L47" s="13">
        <f t="shared" si="22"/>
        <v>3.1741374787524996E-5</v>
      </c>
      <c r="M47" s="13">
        <f t="shared" si="23"/>
        <v>0</v>
      </c>
      <c r="N47" s="21">
        <f t="shared" si="24"/>
        <v>1.1816107811337872E-3</v>
      </c>
      <c r="O47" s="22">
        <f t="shared" si="25"/>
        <v>3.705256894744418E-2</v>
      </c>
      <c r="P47" s="25">
        <f t="shared" si="26"/>
        <v>0.98837777342058875</v>
      </c>
      <c r="Q47" s="25">
        <f t="shared" si="27"/>
        <v>3.6621935595787733E-2</v>
      </c>
      <c r="R47" s="10">
        <v>1</v>
      </c>
      <c r="S47" s="10">
        <v>1</v>
      </c>
      <c r="T47" s="10">
        <v>83</v>
      </c>
      <c r="U47" s="18">
        <v>91985890.401952803</v>
      </c>
      <c r="V47" s="18">
        <v>96040011.069336995</v>
      </c>
    </row>
    <row r="48" spans="1:22">
      <c r="A48" s="90">
        <v>41</v>
      </c>
      <c r="B48" s="67" t="s">
        <v>268</v>
      </c>
      <c r="C48" s="67" t="s">
        <v>36</v>
      </c>
      <c r="D48" s="10">
        <v>371566866.25</v>
      </c>
      <c r="E48" s="10">
        <v>7505612.8600000003</v>
      </c>
      <c r="F48" s="10">
        <v>0</v>
      </c>
      <c r="G48" s="10">
        <v>920964.83</v>
      </c>
      <c r="H48" s="12">
        <f t="shared" si="21"/>
        <v>6584648.0300000003</v>
      </c>
      <c r="I48" s="48">
        <v>377848951</v>
      </c>
      <c r="J48" s="13">
        <f t="shared" si="14"/>
        <v>1.3636163552607387E-4</v>
      </c>
      <c r="K48" s="48">
        <v>356593411.42000002</v>
      </c>
      <c r="L48" s="13">
        <f t="shared" si="22"/>
        <v>1.1924052399910108E-4</v>
      </c>
      <c r="M48" s="13">
        <f t="shared" si="23"/>
        <v>-5.6254065344751962E-2</v>
      </c>
      <c r="N48" s="21">
        <f t="shared" si="24"/>
        <v>2.5826748349965347E-3</v>
      </c>
      <c r="O48" s="22">
        <f t="shared" si="25"/>
        <v>1.846542257687572E-2</v>
      </c>
      <c r="P48" s="25">
        <f t="shared" si="26"/>
        <v>100.00000011778121</v>
      </c>
      <c r="Q48" s="25">
        <f t="shared" si="27"/>
        <v>1.8465422598624517</v>
      </c>
      <c r="R48" s="10">
        <v>100</v>
      </c>
      <c r="S48" s="10">
        <v>100</v>
      </c>
      <c r="T48" s="10">
        <v>1903</v>
      </c>
      <c r="U48" s="18">
        <v>3778533.59</v>
      </c>
      <c r="V48" s="18">
        <v>3565934.11</v>
      </c>
    </row>
    <row r="49" spans="1:22">
      <c r="A49" s="90">
        <v>42</v>
      </c>
      <c r="B49" s="67" t="s">
        <v>78</v>
      </c>
      <c r="C49" s="67" t="s">
        <v>36</v>
      </c>
      <c r="D49" s="10">
        <v>93093939633.179993</v>
      </c>
      <c r="E49" s="10">
        <v>1569949802.54</v>
      </c>
      <c r="F49" s="10">
        <v>0</v>
      </c>
      <c r="G49" s="10">
        <v>101812627.53</v>
      </c>
      <c r="H49" s="12">
        <f t="shared" si="21"/>
        <v>1468137175.01</v>
      </c>
      <c r="I49" s="48">
        <v>83501984705.660004</v>
      </c>
      <c r="J49" s="13">
        <f t="shared" si="14"/>
        <v>3.0134971061854299E-2</v>
      </c>
      <c r="K49" s="48">
        <v>90884667265.169998</v>
      </c>
      <c r="L49" s="13">
        <f t="shared" si="22"/>
        <v>3.0390733538872682E-2</v>
      </c>
      <c r="M49" s="13">
        <f t="shared" si="23"/>
        <v>8.8413258505573883E-2</v>
      </c>
      <c r="N49" s="21">
        <f t="shared" si="24"/>
        <v>1.1202398665656772E-3</v>
      </c>
      <c r="O49" s="22">
        <f t="shared" si="25"/>
        <v>1.6153848819476711E-2</v>
      </c>
      <c r="P49" s="25">
        <f t="shared" si="26"/>
        <v>100.00000000018706</v>
      </c>
      <c r="Q49" s="25">
        <f t="shared" si="27"/>
        <v>1.6153848819506926</v>
      </c>
      <c r="R49" s="10">
        <v>100</v>
      </c>
      <c r="S49" s="10">
        <v>100</v>
      </c>
      <c r="T49" s="10">
        <v>12106</v>
      </c>
      <c r="U49" s="18">
        <v>835019847.05999994</v>
      </c>
      <c r="V49" s="18">
        <v>908846672.64999998</v>
      </c>
    </row>
    <row r="50" spans="1:22">
      <c r="A50" s="90">
        <v>43</v>
      </c>
      <c r="B50" s="19" t="s">
        <v>79</v>
      </c>
      <c r="C50" s="19" t="s">
        <v>38</v>
      </c>
      <c r="D50" s="10">
        <v>20263633482.299999</v>
      </c>
      <c r="E50" s="10">
        <v>367133805.37</v>
      </c>
      <c r="F50" s="10">
        <v>0</v>
      </c>
      <c r="G50" s="10">
        <v>25714309.989999998</v>
      </c>
      <c r="H50" s="12">
        <f t="shared" si="21"/>
        <v>341419495.38</v>
      </c>
      <c r="I50" s="48">
        <v>16940252108.209999</v>
      </c>
      <c r="J50" s="13">
        <f t="shared" si="14"/>
        <v>6.1135553707003312E-3</v>
      </c>
      <c r="K50" s="48">
        <v>20174907267</v>
      </c>
      <c r="L50" s="13">
        <f t="shared" si="22"/>
        <v>6.7462449868904879E-3</v>
      </c>
      <c r="M50" s="13">
        <f t="shared" si="23"/>
        <v>0.19094492443960401</v>
      </c>
      <c r="N50" s="21">
        <f t="shared" si="24"/>
        <v>1.2745689310830575E-3</v>
      </c>
      <c r="O50" s="22">
        <f t="shared" si="25"/>
        <v>1.6922977184557285E-2</v>
      </c>
      <c r="P50" s="25">
        <f t="shared" si="26"/>
        <v>0.99966880064765395</v>
      </c>
      <c r="Q50" s="25">
        <f t="shared" si="27"/>
        <v>1.6917372305473993E-2</v>
      </c>
      <c r="R50" s="10">
        <v>1</v>
      </c>
      <c r="S50" s="10">
        <v>1</v>
      </c>
      <c r="T50" s="10">
        <v>1755</v>
      </c>
      <c r="U50" s="18">
        <v>16963170203</v>
      </c>
      <c r="V50" s="18">
        <v>20181591397</v>
      </c>
    </row>
    <row r="51" spans="1:22">
      <c r="A51" s="90">
        <v>44</v>
      </c>
      <c r="B51" s="19" t="s">
        <v>276</v>
      </c>
      <c r="C51" s="67" t="s">
        <v>277</v>
      </c>
      <c r="D51" s="10">
        <v>1704177757.1400001</v>
      </c>
      <c r="E51" s="10">
        <v>32483884.030000001</v>
      </c>
      <c r="F51" s="10"/>
      <c r="G51" s="10">
        <v>3241279.11</v>
      </c>
      <c r="H51" s="12">
        <f t="shared" si="21"/>
        <v>29242604.920000002</v>
      </c>
      <c r="I51" s="48">
        <v>1627225377.5</v>
      </c>
      <c r="J51" s="13">
        <f t="shared" si="14"/>
        <v>5.8724819338040973E-4</v>
      </c>
      <c r="K51" s="48">
        <v>1695509396.73</v>
      </c>
      <c r="L51" s="13">
        <f t="shared" si="22"/>
        <v>5.6695783611482005E-4</v>
      </c>
      <c r="M51" s="13">
        <f t="shared" si="23"/>
        <v>4.1963467491460023E-2</v>
      </c>
      <c r="N51" s="21">
        <f t="shared" si="24"/>
        <v>1.911684545217625E-3</v>
      </c>
      <c r="O51" s="22">
        <f t="shared" si="25"/>
        <v>1.7247091037300051E-2</v>
      </c>
      <c r="P51" s="25">
        <f t="shared" si="26"/>
        <v>103.37350442216231</v>
      </c>
      <c r="Q51" s="25">
        <f t="shared" si="27"/>
        <v>1.7828922416137729</v>
      </c>
      <c r="R51" s="10">
        <v>100</v>
      </c>
      <c r="S51" s="10">
        <v>100</v>
      </c>
      <c r="T51" s="10">
        <v>139</v>
      </c>
      <c r="U51" s="18">
        <v>16272253.779999999</v>
      </c>
      <c r="V51" s="18">
        <v>16401779.220000001</v>
      </c>
    </row>
    <row r="52" spans="1:22">
      <c r="A52" s="90">
        <v>45</v>
      </c>
      <c r="B52" s="19" t="s">
        <v>80</v>
      </c>
      <c r="C52" s="19" t="s">
        <v>40</v>
      </c>
      <c r="D52" s="10">
        <v>43084439954.980003</v>
      </c>
      <c r="E52" s="10">
        <v>781443017.15999997</v>
      </c>
      <c r="F52" s="10">
        <v>0</v>
      </c>
      <c r="G52" s="10">
        <v>57701769.009999998</v>
      </c>
      <c r="H52" s="12">
        <f t="shared" si="21"/>
        <v>723741248.14999998</v>
      </c>
      <c r="I52" s="48">
        <v>37284554922.690002</v>
      </c>
      <c r="J52" s="13">
        <f t="shared" si="14"/>
        <v>1.3455596146725143E-2</v>
      </c>
      <c r="K52" s="48">
        <v>42373489574.82</v>
      </c>
      <c r="L52" s="13">
        <f t="shared" si="22"/>
        <v>1.4169182432316246E-2</v>
      </c>
      <c r="M52" s="13">
        <f t="shared" si="23"/>
        <v>0.13648908140869503</v>
      </c>
      <c r="N52" s="21">
        <f t="shared" si="24"/>
        <v>1.3617422022350659E-3</v>
      </c>
      <c r="O52" s="22">
        <f t="shared" si="25"/>
        <v>1.7080048289911803E-2</v>
      </c>
      <c r="P52" s="25">
        <f t="shared" si="26"/>
        <v>9.9959491419806241</v>
      </c>
      <c r="Q52" s="25">
        <f t="shared" si="27"/>
        <v>0.17073129404853152</v>
      </c>
      <c r="R52" s="10">
        <v>10</v>
      </c>
      <c r="S52" s="10">
        <v>10</v>
      </c>
      <c r="T52" s="10">
        <v>4737</v>
      </c>
      <c r="U52" s="18">
        <v>3720770360.46</v>
      </c>
      <c r="V52" s="18">
        <v>4239066142.9899998</v>
      </c>
    </row>
    <row r="53" spans="1:22" ht="14.1" customHeight="1">
      <c r="A53" s="90">
        <v>46</v>
      </c>
      <c r="B53" s="19" t="s">
        <v>81</v>
      </c>
      <c r="C53" s="19" t="s">
        <v>261</v>
      </c>
      <c r="D53" s="10">
        <v>8557252364.25</v>
      </c>
      <c r="E53" s="10">
        <v>381837626.81999999</v>
      </c>
      <c r="F53" s="10">
        <v>0</v>
      </c>
      <c r="G53" s="10">
        <v>23765214.780000001</v>
      </c>
      <c r="H53" s="12">
        <f t="shared" si="21"/>
        <v>358072412.03999996</v>
      </c>
      <c r="I53" s="48">
        <v>19221287036</v>
      </c>
      <c r="J53" s="13">
        <f t="shared" si="14"/>
        <v>6.9367564213380084E-3</v>
      </c>
      <c r="K53" s="48">
        <v>20056232236</v>
      </c>
      <c r="L53" s="13">
        <f t="shared" si="22"/>
        <v>6.706561491826182E-3</v>
      </c>
      <c r="M53" s="13">
        <f t="shared" si="23"/>
        <v>4.3438568834449617E-2</v>
      </c>
      <c r="N53" s="21">
        <f t="shared" si="24"/>
        <v>1.1849291781405758E-3</v>
      </c>
      <c r="O53" s="22">
        <f t="shared" si="25"/>
        <v>1.7853423705239947E-2</v>
      </c>
      <c r="P53" s="25">
        <f t="shared" si="26"/>
        <v>100.00000017949533</v>
      </c>
      <c r="Q53" s="25">
        <f t="shared" si="27"/>
        <v>1.7853423737286007</v>
      </c>
      <c r="R53" s="10">
        <v>100</v>
      </c>
      <c r="S53" s="10">
        <v>100</v>
      </c>
      <c r="T53" s="10">
        <f>3941+113+84</f>
        <v>4138</v>
      </c>
      <c r="U53" s="18">
        <v>192212870</v>
      </c>
      <c r="V53" s="18">
        <v>200562322</v>
      </c>
    </row>
    <row r="54" spans="1:22">
      <c r="A54" s="90">
        <v>47</v>
      </c>
      <c r="B54" s="19" t="s">
        <v>82</v>
      </c>
      <c r="C54" s="67" t="s">
        <v>83</v>
      </c>
      <c r="D54" s="10">
        <v>119136656.88</v>
      </c>
      <c r="E54" s="10">
        <v>4286527.2</v>
      </c>
      <c r="F54" s="10">
        <v>0</v>
      </c>
      <c r="G54" s="10">
        <v>4162954.53</v>
      </c>
      <c r="H54" s="12">
        <f t="shared" si="21"/>
        <v>123572.67000000039</v>
      </c>
      <c r="I54" s="48">
        <v>222253953.31</v>
      </c>
      <c r="J54" s="13">
        <f t="shared" si="14"/>
        <v>8.0209068981872749E-5</v>
      </c>
      <c r="K54" s="48">
        <v>276090290.25999999</v>
      </c>
      <c r="L54" s="13">
        <f t="shared" si="22"/>
        <v>9.2321253919331063E-5</v>
      </c>
      <c r="M54" s="13">
        <f t="shared" si="23"/>
        <v>0.24222892843174321</v>
      </c>
      <c r="N54" s="21">
        <f t="shared" si="24"/>
        <v>1.507823591361963E-2</v>
      </c>
      <c r="O54" s="22">
        <f t="shared" si="25"/>
        <v>4.4758064430165011E-4</v>
      </c>
      <c r="P54" s="25">
        <f t="shared" si="26"/>
        <v>1.4962288058930142</v>
      </c>
      <c r="Q54" s="25">
        <f t="shared" si="27"/>
        <v>6.696830529642838E-4</v>
      </c>
      <c r="R54" s="10">
        <v>1</v>
      </c>
      <c r="S54" s="10">
        <v>1</v>
      </c>
      <c r="T54" s="10">
        <v>97</v>
      </c>
      <c r="U54" s="18">
        <v>189996408</v>
      </c>
      <c r="V54" s="18">
        <v>184524111</v>
      </c>
    </row>
    <row r="55" spans="1:22" ht="15" customHeight="1">
      <c r="A55" s="90">
        <v>48</v>
      </c>
      <c r="B55" s="67" t="s">
        <v>84</v>
      </c>
      <c r="C55" s="67" t="s">
        <v>42</v>
      </c>
      <c r="D55" s="10">
        <v>1423760117.1400001</v>
      </c>
      <c r="E55" s="10">
        <v>50420346.009999998</v>
      </c>
      <c r="F55" s="10">
        <v>0</v>
      </c>
      <c r="G55" s="10">
        <v>1796387.8</v>
      </c>
      <c r="H55" s="12">
        <f t="shared" si="21"/>
        <v>48623958.210000001</v>
      </c>
      <c r="I55" s="48">
        <v>1465779882.9200001</v>
      </c>
      <c r="J55" s="13">
        <f t="shared" si="14"/>
        <v>5.2898424523133917E-4</v>
      </c>
      <c r="K55" s="48">
        <v>1431231202.8699999</v>
      </c>
      <c r="L55" s="13">
        <f t="shared" si="22"/>
        <v>4.7858640437154973E-4</v>
      </c>
      <c r="M55" s="13">
        <f t="shared" si="23"/>
        <v>-2.3570169336186615E-2</v>
      </c>
      <c r="N55" s="21">
        <f t="shared" si="24"/>
        <v>1.255134597679092E-3</v>
      </c>
      <c r="O55" s="22">
        <f t="shared" si="25"/>
        <v>3.3973517425064527E-2</v>
      </c>
      <c r="P55" s="25">
        <f t="shared" si="26"/>
        <v>10.894870531140976</v>
      </c>
      <c r="Q55" s="25">
        <f t="shared" si="27"/>
        <v>0.37013707383353994</v>
      </c>
      <c r="R55" s="10">
        <v>10</v>
      </c>
      <c r="S55" s="10">
        <v>10</v>
      </c>
      <c r="T55" s="10">
        <v>810</v>
      </c>
      <c r="U55" s="18">
        <v>118488429.59999999</v>
      </c>
      <c r="V55" s="18">
        <v>131367435.59999999</v>
      </c>
    </row>
    <row r="56" spans="1:22" ht="15" customHeight="1">
      <c r="A56" s="90">
        <v>49</v>
      </c>
      <c r="B56" s="10" t="s">
        <v>209</v>
      </c>
      <c r="C56" s="10" t="s">
        <v>210</v>
      </c>
      <c r="D56" s="10">
        <v>418282677.32999998</v>
      </c>
      <c r="E56" s="10">
        <v>15577864.01</v>
      </c>
      <c r="F56" s="10">
        <v>0</v>
      </c>
      <c r="G56" s="10">
        <v>1821727.38</v>
      </c>
      <c r="H56" s="12">
        <f t="shared" si="21"/>
        <v>13756136.629999999</v>
      </c>
      <c r="I56" s="48">
        <v>804726809</v>
      </c>
      <c r="J56" s="13">
        <f t="shared" si="14"/>
        <v>2.9041727795326989E-4</v>
      </c>
      <c r="K56" s="48">
        <v>794165885</v>
      </c>
      <c r="L56" s="13">
        <f t="shared" si="22"/>
        <v>2.6555946699215616E-4</v>
      </c>
      <c r="M56" s="13">
        <f t="shared" si="23"/>
        <v>-1.3123613979163456E-2</v>
      </c>
      <c r="N56" s="21">
        <f t="shared" si="24"/>
        <v>2.2938877310248601E-3</v>
      </c>
      <c r="O56" s="22">
        <f t="shared" si="25"/>
        <v>1.732149024507644E-2</v>
      </c>
      <c r="P56" s="25">
        <f t="shared" si="26"/>
        <v>1</v>
      </c>
      <c r="Q56" s="25">
        <f t="shared" si="27"/>
        <v>1.732149024507644E-2</v>
      </c>
      <c r="R56" s="10">
        <v>1</v>
      </c>
      <c r="S56" s="10">
        <v>1</v>
      </c>
      <c r="T56" s="10">
        <v>82</v>
      </c>
      <c r="U56" s="18">
        <v>804726809</v>
      </c>
      <c r="V56" s="18">
        <v>794165885</v>
      </c>
    </row>
    <row r="57" spans="1:22" ht="15" customHeight="1">
      <c r="A57" s="90">
        <v>50</v>
      </c>
      <c r="B57" s="10" t="s">
        <v>303</v>
      </c>
      <c r="C57" s="10" t="s">
        <v>304</v>
      </c>
      <c r="D57" s="10">
        <v>391198890.86000001</v>
      </c>
      <c r="E57" s="10">
        <v>7420645.7000000002</v>
      </c>
      <c r="F57" s="10">
        <v>0</v>
      </c>
      <c r="G57" s="10">
        <v>0</v>
      </c>
      <c r="H57" s="12">
        <f t="shared" si="21"/>
        <v>7420645.7000000002</v>
      </c>
      <c r="I57" s="48">
        <v>511874811</v>
      </c>
      <c r="J57" s="13">
        <f t="shared" si="14"/>
        <v>1.8473013151903641E-4</v>
      </c>
      <c r="K57" s="48">
        <v>482301703.75</v>
      </c>
      <c r="L57" s="13">
        <f t="shared" si="22"/>
        <v>1.6127585658915429E-4</v>
      </c>
      <c r="M57" s="13">
        <f t="shared" si="23"/>
        <v>-5.7774101429656013E-2</v>
      </c>
      <c r="N57" s="21">
        <f t="shared" si="24"/>
        <v>0</v>
      </c>
      <c r="O57" s="22">
        <f t="shared" si="25"/>
        <v>1.5385899826400935E-2</v>
      </c>
      <c r="P57" s="25">
        <f t="shared" si="26"/>
        <v>1</v>
      </c>
      <c r="Q57" s="25">
        <f t="shared" si="27"/>
        <v>1.5385899826400935E-2</v>
      </c>
      <c r="R57" s="10">
        <v>1</v>
      </c>
      <c r="S57" s="10">
        <v>1</v>
      </c>
      <c r="T57" s="10">
        <v>447</v>
      </c>
      <c r="U57" s="18">
        <v>511874811</v>
      </c>
      <c r="V57" s="18">
        <v>482301703.75</v>
      </c>
    </row>
    <row r="58" spans="1:22" ht="15" customHeight="1">
      <c r="A58" s="90">
        <v>51</v>
      </c>
      <c r="B58" s="68" t="s">
        <v>211</v>
      </c>
      <c r="C58" s="69" t="s">
        <v>212</v>
      </c>
      <c r="D58" s="10">
        <v>11830228608.07</v>
      </c>
      <c r="E58" s="10">
        <v>215786060.38999999</v>
      </c>
      <c r="F58" s="10">
        <v>0</v>
      </c>
      <c r="G58" s="10">
        <v>16442186.98</v>
      </c>
      <c r="H58" s="12">
        <f t="shared" si="21"/>
        <v>199343873.41</v>
      </c>
      <c r="I58" s="48">
        <v>11409892249.75</v>
      </c>
      <c r="J58" s="13">
        <f t="shared" si="14"/>
        <v>4.1177077883489599E-3</v>
      </c>
      <c r="K58" s="48">
        <v>11388192938.85</v>
      </c>
      <c r="L58" s="13">
        <f t="shared" si="22"/>
        <v>3.808073985505991E-3</v>
      </c>
      <c r="M58" s="13">
        <f t="shared" si="23"/>
        <v>-1.9017980560224019E-3</v>
      </c>
      <c r="N58" s="21">
        <f t="shared" si="24"/>
        <v>1.4437924496263725E-3</v>
      </c>
      <c r="O58" s="22">
        <f t="shared" si="25"/>
        <v>1.7504434152143027E-2</v>
      </c>
      <c r="P58" s="25">
        <f t="shared" si="26"/>
        <v>100.00000000746388</v>
      </c>
      <c r="Q58" s="25">
        <f t="shared" si="27"/>
        <v>1.7504434153449535</v>
      </c>
      <c r="R58" s="10">
        <v>100</v>
      </c>
      <c r="S58" s="10">
        <v>100</v>
      </c>
      <c r="T58" s="10">
        <v>126</v>
      </c>
      <c r="U58" s="18">
        <v>112183203.43000001</v>
      </c>
      <c r="V58" s="18">
        <v>113881929.38</v>
      </c>
    </row>
    <row r="59" spans="1:22" ht="15" customHeight="1">
      <c r="A59" s="90">
        <v>52</v>
      </c>
      <c r="B59" s="68" t="s">
        <v>213</v>
      </c>
      <c r="C59" s="69" t="s">
        <v>110</v>
      </c>
      <c r="D59" s="10">
        <v>38000000</v>
      </c>
      <c r="E59" s="10">
        <v>893572.6</v>
      </c>
      <c r="F59" s="10">
        <v>0</v>
      </c>
      <c r="G59" s="10">
        <v>81460.36</v>
      </c>
      <c r="H59" s="12">
        <f t="shared" si="21"/>
        <v>812112.24</v>
      </c>
      <c r="I59" s="48">
        <v>52596948.420000002</v>
      </c>
      <c r="J59" s="13">
        <f t="shared" si="14"/>
        <v>1.8981674796899853E-5</v>
      </c>
      <c r="K59" s="48">
        <v>71353726.189999998</v>
      </c>
      <c r="L59" s="13">
        <f t="shared" si="22"/>
        <v>2.3859823058151954E-5</v>
      </c>
      <c r="M59" s="13">
        <f t="shared" si="23"/>
        <v>0.35661342213662961</v>
      </c>
      <c r="N59" s="21">
        <f t="shared" si="24"/>
        <v>1.1416412898057791E-3</v>
      </c>
      <c r="O59" s="22">
        <f t="shared" si="25"/>
        <v>1.1381497272301037E-2</v>
      </c>
      <c r="P59" s="25">
        <f t="shared" si="26"/>
        <v>995.65654350101158</v>
      </c>
      <c r="Q59" s="25">
        <f t="shared" si="27"/>
        <v>11.332062234005441</v>
      </c>
      <c r="R59" s="10">
        <v>1000</v>
      </c>
      <c r="S59" s="10">
        <v>1000</v>
      </c>
      <c r="T59" s="10">
        <v>23</v>
      </c>
      <c r="U59" s="18">
        <v>51665</v>
      </c>
      <c r="V59" s="18">
        <v>71665</v>
      </c>
    </row>
    <row r="60" spans="1:22">
      <c r="A60" s="90">
        <v>53</v>
      </c>
      <c r="B60" s="19" t="s">
        <v>85</v>
      </c>
      <c r="C60" s="19" t="s">
        <v>46</v>
      </c>
      <c r="D60" s="10">
        <v>1455914589162.9099</v>
      </c>
      <c r="E60" s="10">
        <v>25573232631.950001</v>
      </c>
      <c r="F60" s="10">
        <v>0</v>
      </c>
      <c r="G60" s="10">
        <v>2307795450.5999999</v>
      </c>
      <c r="H60" s="12">
        <f t="shared" si="21"/>
        <v>23265437181.350002</v>
      </c>
      <c r="I60" s="48">
        <v>1323241307248.8899</v>
      </c>
      <c r="J60" s="13">
        <f t="shared" si="14"/>
        <v>0.47754360141684937</v>
      </c>
      <c r="K60" s="48">
        <v>1455496615737.3301</v>
      </c>
      <c r="L60" s="13">
        <f t="shared" si="22"/>
        <v>0.48670046495902108</v>
      </c>
      <c r="M60" s="13">
        <f t="shared" si="23"/>
        <v>9.9947989655347222E-2</v>
      </c>
      <c r="N60" s="21">
        <f t="shared" si="24"/>
        <v>1.585572529435879E-3</v>
      </c>
      <c r="O60" s="22">
        <f t="shared" si="25"/>
        <v>1.5984535401728929E-2</v>
      </c>
      <c r="P60" s="25">
        <f t="shared" si="26"/>
        <v>1.0000000000000138</v>
      </c>
      <c r="Q60" s="25">
        <f t="shared" si="27"/>
        <v>1.5984535401729151E-2</v>
      </c>
      <c r="R60" s="10">
        <v>100</v>
      </c>
      <c r="S60" s="10">
        <v>100</v>
      </c>
      <c r="T60" s="10">
        <v>185601</v>
      </c>
      <c r="U60" s="18">
        <v>1323241307248.8899</v>
      </c>
      <c r="V60" s="18">
        <v>1455496615737.3101</v>
      </c>
    </row>
    <row r="61" spans="1:22">
      <c r="A61" s="90">
        <v>54</v>
      </c>
      <c r="B61" s="19" t="s">
        <v>305</v>
      </c>
      <c r="C61" s="19" t="s">
        <v>306</v>
      </c>
      <c r="D61" s="10">
        <v>2042703806.3800001</v>
      </c>
      <c r="E61" s="10">
        <v>163993588.99000001</v>
      </c>
      <c r="F61" s="10">
        <v>0</v>
      </c>
      <c r="G61" s="10">
        <v>17575433.629999999</v>
      </c>
      <c r="H61" s="12">
        <f t="shared" si="21"/>
        <v>146418155.36000001</v>
      </c>
      <c r="I61" s="48">
        <v>3224152980.5500002</v>
      </c>
      <c r="J61" s="13">
        <f t="shared" si="14"/>
        <v>1.1635622447819468E-3</v>
      </c>
      <c r="K61" s="48">
        <v>3579996969.237</v>
      </c>
      <c r="L61" s="13">
        <f t="shared" si="22"/>
        <v>1.1971076886337318E-3</v>
      </c>
      <c r="M61" s="13">
        <f t="shared" si="23"/>
        <v>0.11036820859111258</v>
      </c>
      <c r="N61" s="21">
        <f t="shared" si="24"/>
        <v>4.9093431589540782E-3</v>
      </c>
      <c r="O61" s="22">
        <f t="shared" si="25"/>
        <v>4.0898960702529845E-2</v>
      </c>
      <c r="P61" s="25">
        <f t="shared" si="26"/>
        <v>100.00000000662013</v>
      </c>
      <c r="Q61" s="25">
        <f t="shared" si="27"/>
        <v>4.089896070523741</v>
      </c>
      <c r="R61" s="10">
        <v>100</v>
      </c>
      <c r="S61" s="10">
        <v>100</v>
      </c>
      <c r="T61" s="10">
        <v>555</v>
      </c>
      <c r="U61" s="18">
        <v>32241529.809999999</v>
      </c>
      <c r="V61" s="18">
        <v>35799969.689999998</v>
      </c>
    </row>
    <row r="62" spans="1:22">
      <c r="A62" s="90">
        <v>55</v>
      </c>
      <c r="B62" s="19" t="s">
        <v>86</v>
      </c>
      <c r="C62" s="19" t="s">
        <v>87</v>
      </c>
      <c r="D62" s="10">
        <v>4737300099.8100004</v>
      </c>
      <c r="E62" s="10">
        <v>91301560</v>
      </c>
      <c r="F62" s="10">
        <v>0</v>
      </c>
      <c r="G62" s="10">
        <v>6695340.0599999996</v>
      </c>
      <c r="H62" s="12">
        <f t="shared" si="21"/>
        <v>84606219.939999998</v>
      </c>
      <c r="I62" s="48">
        <v>4192445850.6900001</v>
      </c>
      <c r="J62" s="13">
        <f t="shared" si="14"/>
        <v>1.5130087606213586E-3</v>
      </c>
      <c r="K62" s="48">
        <v>4750784733.5299997</v>
      </c>
      <c r="L62" s="13">
        <f t="shared" si="22"/>
        <v>1.5886049570496209E-3</v>
      </c>
      <c r="M62" s="13">
        <f t="shared" si="23"/>
        <v>0.13317736298206626</v>
      </c>
      <c r="N62" s="21">
        <f t="shared" si="24"/>
        <v>1.4093124474248966E-3</v>
      </c>
      <c r="O62" s="22">
        <f t="shared" si="25"/>
        <v>1.7808893621903726E-2</v>
      </c>
      <c r="P62" s="25">
        <f t="shared" si="26"/>
        <v>1.0378822130945551</v>
      </c>
      <c r="Q62" s="25">
        <f t="shared" si="27"/>
        <v>1.8483533925066943E-2</v>
      </c>
      <c r="R62" s="10">
        <v>1</v>
      </c>
      <c r="S62" s="10">
        <v>1</v>
      </c>
      <c r="T62" s="10">
        <v>483</v>
      </c>
      <c r="U62" s="18">
        <v>4111811676.52</v>
      </c>
      <c r="V62" s="18">
        <v>4577383323.0699997</v>
      </c>
    </row>
    <row r="63" spans="1:22">
      <c r="A63" s="90">
        <v>56</v>
      </c>
      <c r="B63" s="19" t="s">
        <v>88</v>
      </c>
      <c r="C63" s="19" t="s">
        <v>50</v>
      </c>
      <c r="D63" s="10">
        <v>40797263707</v>
      </c>
      <c r="E63" s="10">
        <v>2517056737</v>
      </c>
      <c r="F63" s="10">
        <v>0</v>
      </c>
      <c r="G63" s="10">
        <v>211999272</v>
      </c>
      <c r="H63" s="12">
        <f t="shared" si="21"/>
        <v>2305057465</v>
      </c>
      <c r="I63" s="48">
        <v>131914547317</v>
      </c>
      <c r="J63" s="13">
        <f t="shared" si="14"/>
        <v>4.7606545880890319E-2</v>
      </c>
      <c r="K63" s="48">
        <v>142008449952</v>
      </c>
      <c r="L63" s="13">
        <f t="shared" si="22"/>
        <v>4.7485908158388601E-2</v>
      </c>
      <c r="M63" s="13">
        <f t="shared" si="23"/>
        <v>7.6518495043186086E-2</v>
      </c>
      <c r="N63" s="21">
        <f t="shared" si="24"/>
        <v>1.4928637843146478E-3</v>
      </c>
      <c r="O63" s="22">
        <f t="shared" si="25"/>
        <v>1.6231833146401697E-2</v>
      </c>
      <c r="P63" s="25">
        <f t="shared" si="26"/>
        <v>1.0258600825826161</v>
      </c>
      <c r="Q63" s="25">
        <f t="shared" si="27"/>
        <v>1.6651589692034889E-2</v>
      </c>
      <c r="R63" s="10">
        <v>1</v>
      </c>
      <c r="S63" s="10">
        <v>1</v>
      </c>
      <c r="T63" s="10">
        <v>13597</v>
      </c>
      <c r="U63" s="18">
        <v>127618539489.41</v>
      </c>
      <c r="V63" s="18">
        <v>138428673035.5</v>
      </c>
    </row>
    <row r="64" spans="1:22">
      <c r="A64" s="90">
        <v>57</v>
      </c>
      <c r="B64" s="87" t="s">
        <v>89</v>
      </c>
      <c r="C64" s="19" t="s">
        <v>90</v>
      </c>
      <c r="D64" s="10">
        <v>954722895.69000006</v>
      </c>
      <c r="E64" s="10">
        <v>26612974.399999999</v>
      </c>
      <c r="F64" s="10">
        <v>0</v>
      </c>
      <c r="G64" s="10">
        <v>2839788.16</v>
      </c>
      <c r="H64" s="12">
        <f t="shared" si="21"/>
        <v>23773186.239999998</v>
      </c>
      <c r="I64" s="48">
        <v>1431048915.1700001</v>
      </c>
      <c r="J64" s="13">
        <f t="shared" si="14"/>
        <v>5.1645021131842424E-4</v>
      </c>
      <c r="K64" s="48">
        <v>1502846898.1900001</v>
      </c>
      <c r="L64" s="13">
        <f t="shared" si="22"/>
        <v>5.0253382673841698E-4</v>
      </c>
      <c r="M64" s="13">
        <f t="shared" si="23"/>
        <v>5.0171578524603272E-2</v>
      </c>
      <c r="N64" s="21">
        <f t="shared" si="24"/>
        <v>1.8896057631819891E-3</v>
      </c>
      <c r="O64" s="22">
        <f t="shared" si="25"/>
        <v>1.5818767878905009E-2</v>
      </c>
      <c r="P64" s="25">
        <f t="shared" si="26"/>
        <v>1.0317060005123231</v>
      </c>
      <c r="Q64" s="25">
        <f t="shared" si="27"/>
        <v>1.632031774137789E-2</v>
      </c>
      <c r="R64" s="10">
        <v>1</v>
      </c>
      <c r="S64" s="10">
        <v>1</v>
      </c>
      <c r="T64" s="10">
        <v>153</v>
      </c>
      <c r="U64" s="18">
        <v>1407914848.8399999</v>
      </c>
      <c r="V64" s="18">
        <v>1456661972.9300001</v>
      </c>
    </row>
    <row r="65" spans="1:24">
      <c r="A65" s="90">
        <v>58</v>
      </c>
      <c r="B65" s="19" t="s">
        <v>91</v>
      </c>
      <c r="C65" s="19" t="s">
        <v>92</v>
      </c>
      <c r="D65" s="10">
        <v>4704836535.1300001</v>
      </c>
      <c r="E65" s="10">
        <v>76774565.989999995</v>
      </c>
      <c r="F65" s="10">
        <v>0</v>
      </c>
      <c r="G65" s="10">
        <v>6778108.1200000001</v>
      </c>
      <c r="H65" s="12">
        <f t="shared" si="21"/>
        <v>69996457.86999999</v>
      </c>
      <c r="I65" s="48">
        <v>4214856378.1700001</v>
      </c>
      <c r="J65" s="13">
        <f t="shared" si="14"/>
        <v>1.5210964797273323E-3</v>
      </c>
      <c r="K65" s="48">
        <v>4718510617.4399996</v>
      </c>
      <c r="L65" s="13">
        <f t="shared" si="22"/>
        <v>1.5778128829648682E-3</v>
      </c>
      <c r="M65" s="13">
        <f t="shared" si="23"/>
        <v>0.11949499439140447</v>
      </c>
      <c r="N65" s="21">
        <f t="shared" si="24"/>
        <v>1.4364931372513098E-3</v>
      </c>
      <c r="O65" s="22">
        <f t="shared" si="25"/>
        <v>1.4834438988287402E-2</v>
      </c>
      <c r="P65" s="25">
        <f t="shared" si="26"/>
        <v>1.0288240704394922</v>
      </c>
      <c r="Q65" s="25">
        <f t="shared" si="27"/>
        <v>1.5262027902616146E-2</v>
      </c>
      <c r="R65" s="10">
        <v>1</v>
      </c>
      <c r="S65" s="10">
        <v>1</v>
      </c>
      <c r="T65" s="10">
        <v>414</v>
      </c>
      <c r="U65" s="18">
        <v>4152367113.3000002</v>
      </c>
      <c r="V65" s="18">
        <v>4586314369.0100002</v>
      </c>
    </row>
    <row r="66" spans="1:24">
      <c r="A66" s="90">
        <v>59</v>
      </c>
      <c r="B66" s="68" t="s">
        <v>298</v>
      </c>
      <c r="C66" s="68" t="s">
        <v>296</v>
      </c>
      <c r="D66" s="10">
        <v>2811185890.4099998</v>
      </c>
      <c r="E66" s="10">
        <v>133764099.5</v>
      </c>
      <c r="F66" s="10"/>
      <c r="G66" s="10">
        <v>11755503.34</v>
      </c>
      <c r="H66" s="12">
        <f t="shared" si="21"/>
        <v>122008596.16</v>
      </c>
      <c r="I66" s="48">
        <v>6197980837.9700003</v>
      </c>
      <c r="J66" s="13">
        <f t="shared" si="14"/>
        <v>2.2367848363428564E-3</v>
      </c>
      <c r="K66" s="48">
        <v>6491424319.6700001</v>
      </c>
      <c r="L66" s="13">
        <f t="shared" si="22"/>
        <v>2.1706537826810392E-3</v>
      </c>
      <c r="M66" s="13">
        <f t="shared" si="23"/>
        <v>4.7345012734197188E-2</v>
      </c>
      <c r="N66" s="21">
        <f t="shared" si="24"/>
        <v>1.8109281971260209E-3</v>
      </c>
      <c r="O66" s="22">
        <f t="shared" si="25"/>
        <v>1.8795350627487939E-2</v>
      </c>
      <c r="P66" s="25">
        <f t="shared" si="26"/>
        <v>0.99757607765393919</v>
      </c>
      <c r="Q66" s="25">
        <f t="shared" si="27"/>
        <v>1.8749792157099921E-2</v>
      </c>
      <c r="R66" s="10">
        <v>1</v>
      </c>
      <c r="S66" s="10">
        <v>1</v>
      </c>
      <c r="T66" s="10">
        <v>1534</v>
      </c>
      <c r="U66" s="18">
        <v>6205160045.1000004</v>
      </c>
      <c r="V66" s="18">
        <v>6507197260.5200005</v>
      </c>
    </row>
    <row r="67" spans="1:24">
      <c r="A67" s="90">
        <v>60</v>
      </c>
      <c r="B67" s="19" t="s">
        <v>93</v>
      </c>
      <c r="C67" s="19" t="s">
        <v>94</v>
      </c>
      <c r="D67" s="10">
        <v>88387736677.919998</v>
      </c>
      <c r="E67" s="10">
        <v>998125.21</v>
      </c>
      <c r="F67" s="10">
        <v>0</v>
      </c>
      <c r="G67" s="10">
        <v>108927181.59</v>
      </c>
      <c r="H67" s="12">
        <f t="shared" si="21"/>
        <v>-107929056.38000001</v>
      </c>
      <c r="I67" s="48">
        <v>87419816152.279999</v>
      </c>
      <c r="J67" s="13">
        <f t="shared" si="14"/>
        <v>3.1548874428166902E-2</v>
      </c>
      <c r="K67" s="48">
        <v>89782697823.740005</v>
      </c>
      <c r="L67" s="13">
        <f t="shared" si="22"/>
        <v>3.0022248285306554E-2</v>
      </c>
      <c r="M67" s="13">
        <f t="shared" si="23"/>
        <v>2.7029131099338057E-2</v>
      </c>
      <c r="N67" s="21">
        <f t="shared" si="24"/>
        <v>1.2132313266398406E-3</v>
      </c>
      <c r="O67" s="22">
        <f t="shared" si="25"/>
        <v>-1.2021142045863297E-3</v>
      </c>
      <c r="P67" s="25">
        <f t="shared" si="26"/>
        <v>1.0323404770997744</v>
      </c>
      <c r="Q67" s="25">
        <f t="shared" si="27"/>
        <v>-1.2409911514910674E-3</v>
      </c>
      <c r="R67" s="10">
        <v>1</v>
      </c>
      <c r="S67" s="10">
        <v>1</v>
      </c>
      <c r="T67" s="10">
        <v>5221</v>
      </c>
      <c r="U67" s="18">
        <v>79549263809.419998</v>
      </c>
      <c r="V67" s="18">
        <v>86970045072.699997</v>
      </c>
    </row>
    <row r="68" spans="1:24" ht="15" customHeight="1">
      <c r="A68" s="119" t="s">
        <v>51</v>
      </c>
      <c r="B68" s="119"/>
      <c r="C68" s="119"/>
      <c r="D68" s="119"/>
      <c r="E68" s="119"/>
      <c r="F68" s="119"/>
      <c r="G68" s="119"/>
      <c r="H68" s="119"/>
      <c r="I68" s="27">
        <f>SUM(I27:I67)</f>
        <v>2770932964702.8989</v>
      </c>
      <c r="J68" s="38">
        <f>(I68/$I$219)</f>
        <v>0.50890911163738062</v>
      </c>
      <c r="K68" s="40">
        <f>SUM(K27:K67)</f>
        <v>2990538782123.167</v>
      </c>
      <c r="L68" s="38">
        <f>(K68/$K$219)</f>
        <v>0.52779055971901601</v>
      </c>
      <c r="M68" s="38">
        <f t="shared" si="16"/>
        <v>7.9253385129731693E-2</v>
      </c>
      <c r="N68" s="21"/>
      <c r="O68" s="21"/>
      <c r="P68" s="41"/>
      <c r="Q68" s="41"/>
      <c r="R68" s="40"/>
      <c r="S68" s="40"/>
      <c r="T68" s="40">
        <f>SUM(T27:T67)</f>
        <v>408111</v>
      </c>
      <c r="U68" s="40"/>
      <c r="V68" s="40"/>
    </row>
    <row r="69" spans="1:24" ht="6.9" customHeight="1">
      <c r="A69" s="134"/>
      <c r="B69" s="13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  <c r="V69" s="134"/>
      <c r="W69" s="5"/>
    </row>
    <row r="70" spans="1:24">
      <c r="A70" s="118" t="s">
        <v>95</v>
      </c>
      <c r="B70" s="118"/>
      <c r="C70" s="118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18"/>
      <c r="S70" s="118"/>
      <c r="T70" s="118"/>
      <c r="U70" s="118"/>
      <c r="V70" s="118"/>
    </row>
    <row r="71" spans="1:24">
      <c r="A71" s="90">
        <v>61</v>
      </c>
      <c r="B71" s="19" t="s">
        <v>96</v>
      </c>
      <c r="C71" s="19" t="s">
        <v>24</v>
      </c>
      <c r="D71" s="10">
        <v>528804911.75</v>
      </c>
      <c r="E71" s="10">
        <v>8316552.1799999997</v>
      </c>
      <c r="F71" s="10">
        <v>0</v>
      </c>
      <c r="G71" s="10">
        <v>754821.49</v>
      </c>
      <c r="H71" s="12">
        <v>7561730.6900000004</v>
      </c>
      <c r="I71" s="62">
        <v>520886370.52999997</v>
      </c>
      <c r="J71" s="13">
        <f t="shared" ref="J71:J107" si="29">(I71/$I$108)</f>
        <v>2.5411006411593037E-3</v>
      </c>
      <c r="K71" s="10">
        <v>532062386.94</v>
      </c>
      <c r="L71" s="13">
        <f t="shared" ref="L71" si="30">(K71/$K$108)</f>
        <v>2.554557083658161E-3</v>
      </c>
      <c r="M71" s="13">
        <f t="shared" ref="M71:M108" si="31">((K71-I71)/I71)</f>
        <v>2.1455766636067807E-2</v>
      </c>
      <c r="N71" s="21">
        <f t="shared" ref="N71" si="32">(G71/K71)</f>
        <v>1.4186710215340222E-3</v>
      </c>
      <c r="O71" s="22">
        <f t="shared" ref="O71" si="33">H71/K71</f>
        <v>1.4212112856706646E-2</v>
      </c>
      <c r="P71" s="25">
        <f t="shared" ref="P71" si="34">K71/V71</f>
        <v>1.5101231542997777</v>
      </c>
      <c r="Q71" s="25">
        <f t="shared" ref="Q71" si="35">H71/V71</f>
        <v>2.1462040696434263E-2</v>
      </c>
      <c r="R71" s="10">
        <v>1.46</v>
      </c>
      <c r="S71" s="10">
        <v>1.46</v>
      </c>
      <c r="T71" s="17">
        <v>366</v>
      </c>
      <c r="U71" s="10">
        <v>352325749.00999999</v>
      </c>
      <c r="V71" s="10">
        <v>352330460.88</v>
      </c>
    </row>
    <row r="72" spans="1:24" ht="12.9" customHeight="1">
      <c r="A72" s="90">
        <v>62</v>
      </c>
      <c r="B72" s="19" t="s">
        <v>97</v>
      </c>
      <c r="C72" s="67" t="s">
        <v>26</v>
      </c>
      <c r="D72" s="10">
        <v>945363748.10000002</v>
      </c>
      <c r="E72" s="10">
        <v>17400576.390000001</v>
      </c>
      <c r="F72" s="10">
        <v>2323026.2999999998</v>
      </c>
      <c r="G72" s="10">
        <v>2843355.6</v>
      </c>
      <c r="H72" s="12">
        <f t="shared" ref="H72:H107" si="36">(E72+F72)-G72</f>
        <v>16880247.09</v>
      </c>
      <c r="I72" s="10">
        <v>1278634427</v>
      </c>
      <c r="J72" s="13">
        <f t="shared" si="29"/>
        <v>6.2377112285584898E-3</v>
      </c>
      <c r="K72" s="10">
        <v>1289939772</v>
      </c>
      <c r="L72" s="13">
        <f t="shared" ref="L72:L107" si="37">(K72/$K$108)</f>
        <v>6.1933052644568753E-3</v>
      </c>
      <c r="M72" s="13">
        <f t="shared" ref="M72:M107" si="38">((K72-I72)/I72)</f>
        <v>8.8417336192997721E-3</v>
      </c>
      <c r="N72" s="21">
        <f t="shared" ref="N72:N107" si="39">(G72/K72)</f>
        <v>2.2042545409631732E-3</v>
      </c>
      <c r="O72" s="22">
        <f t="shared" ref="O72:O107" si="40">H72/K72</f>
        <v>1.3086073827949232E-2</v>
      </c>
      <c r="P72" s="25">
        <f t="shared" ref="P72:P107" si="41">K72/V72</f>
        <v>1.2584638113517985</v>
      </c>
      <c r="Q72" s="25">
        <f t="shared" ref="Q72:Q107" si="42">H72/V72</f>
        <v>1.6468350345152011E-2</v>
      </c>
      <c r="R72" s="10">
        <v>1.2585</v>
      </c>
      <c r="S72" s="10">
        <v>1.2585</v>
      </c>
      <c r="T72" s="17">
        <v>994</v>
      </c>
      <c r="U72" s="10">
        <v>1029487185</v>
      </c>
      <c r="V72" s="10">
        <v>1025011415</v>
      </c>
    </row>
    <row r="73" spans="1:24" ht="15" customHeight="1">
      <c r="A73" s="90">
        <v>63</v>
      </c>
      <c r="B73" s="19" t="s">
        <v>98</v>
      </c>
      <c r="C73" s="19" t="s">
        <v>99</v>
      </c>
      <c r="D73" s="10">
        <v>623651018.16999996</v>
      </c>
      <c r="E73" s="10">
        <v>10064277.609999999</v>
      </c>
      <c r="F73" s="10">
        <v>0</v>
      </c>
      <c r="G73" s="10">
        <v>2101938.11</v>
      </c>
      <c r="H73" s="12">
        <f t="shared" si="36"/>
        <v>7962339.5</v>
      </c>
      <c r="I73" s="10">
        <v>779109476</v>
      </c>
      <c r="J73" s="13">
        <f t="shared" si="29"/>
        <v>3.8008204879356978E-3</v>
      </c>
      <c r="K73" s="10">
        <v>790105540</v>
      </c>
      <c r="L73" s="13">
        <f t="shared" si="37"/>
        <v>3.7934831583427927E-3</v>
      </c>
      <c r="M73" s="13">
        <f t="shared" si="38"/>
        <v>1.4113631445550535E-2</v>
      </c>
      <c r="N73" s="21">
        <f t="shared" si="39"/>
        <v>2.6603257458490924E-3</v>
      </c>
      <c r="O73" s="22">
        <f t="shared" si="40"/>
        <v>1.0077564447909073E-2</v>
      </c>
      <c r="P73" s="25">
        <f t="shared" si="41"/>
        <v>1.1272499358969372</v>
      </c>
      <c r="Q73" s="25">
        <f t="shared" si="42"/>
        <v>1.1359933877902757E-2</v>
      </c>
      <c r="R73" s="10">
        <v>1.1272</v>
      </c>
      <c r="S73" s="10">
        <v>1.1272</v>
      </c>
      <c r="T73" s="17">
        <v>328</v>
      </c>
      <c r="U73" s="10">
        <v>698213019</v>
      </c>
      <c r="V73" s="10">
        <v>700914247</v>
      </c>
    </row>
    <row r="74" spans="1:24">
      <c r="A74" s="90">
        <v>64</v>
      </c>
      <c r="B74" s="19" t="s">
        <v>100</v>
      </c>
      <c r="C74" s="67" t="s">
        <v>101</v>
      </c>
      <c r="D74" s="10">
        <v>230057374.28</v>
      </c>
      <c r="E74" s="10">
        <v>3385766.06</v>
      </c>
      <c r="F74" s="10">
        <v>0</v>
      </c>
      <c r="G74" s="10">
        <v>454950.59</v>
      </c>
      <c r="H74" s="12">
        <f t="shared" si="36"/>
        <v>2930815.47</v>
      </c>
      <c r="I74" s="10">
        <v>275278756.79000002</v>
      </c>
      <c r="J74" s="13">
        <f t="shared" si="29"/>
        <v>1.3429244168259868E-3</v>
      </c>
      <c r="K74" s="10">
        <v>274620472.06999999</v>
      </c>
      <c r="L74" s="13">
        <f t="shared" si="37"/>
        <v>1.3185176954128082E-3</v>
      </c>
      <c r="M74" s="13">
        <f t="shared" si="38"/>
        <v>-2.3913386113633521E-3</v>
      </c>
      <c r="N74" s="21">
        <f t="shared" si="39"/>
        <v>1.6566521300132146E-3</v>
      </c>
      <c r="O74" s="22">
        <f t="shared" si="40"/>
        <v>1.0672239574524303E-2</v>
      </c>
      <c r="P74" s="25">
        <f t="shared" si="41"/>
        <v>1078.9740376787679</v>
      </c>
      <c r="Q74" s="25">
        <f t="shared" si="42"/>
        <v>11.515069424799623</v>
      </c>
      <c r="R74" s="10">
        <v>1078.97</v>
      </c>
      <c r="S74" s="10">
        <v>1078.97</v>
      </c>
      <c r="T74" s="17">
        <v>108</v>
      </c>
      <c r="U74" s="10">
        <v>254570</v>
      </c>
      <c r="V74" s="10">
        <v>254520</v>
      </c>
    </row>
    <row r="75" spans="1:24">
      <c r="A75" s="90">
        <v>65</v>
      </c>
      <c r="B75" s="19" t="s">
        <v>102</v>
      </c>
      <c r="C75" s="67" t="s">
        <v>103</v>
      </c>
      <c r="D75" s="10">
        <v>1546831922.72</v>
      </c>
      <c r="E75" s="10">
        <v>41424375.259999998</v>
      </c>
      <c r="F75" s="10">
        <v>0</v>
      </c>
      <c r="G75" s="10">
        <v>2313958.06</v>
      </c>
      <c r="H75" s="12">
        <f t="shared" si="36"/>
        <v>39110417.199999996</v>
      </c>
      <c r="I75" s="10">
        <v>1589159372.26</v>
      </c>
      <c r="J75" s="13">
        <f t="shared" si="29"/>
        <v>7.7525812311912377E-3</v>
      </c>
      <c r="K75" s="10">
        <v>1529019068.02</v>
      </c>
      <c r="L75" s="13">
        <f t="shared" si="37"/>
        <v>7.3411813861207235E-3</v>
      </c>
      <c r="M75" s="13">
        <f t="shared" si="38"/>
        <v>-3.7844098766804203E-2</v>
      </c>
      <c r="N75" s="21">
        <f t="shared" si="39"/>
        <v>1.5133611531715266E-3</v>
      </c>
      <c r="O75" s="22">
        <f t="shared" si="40"/>
        <v>2.557876354717142E-2</v>
      </c>
      <c r="P75" s="25">
        <f t="shared" si="41"/>
        <v>1.1113264399994272</v>
      </c>
      <c r="Q75" s="25">
        <f t="shared" si="42"/>
        <v>2.8426356232465137E-2</v>
      </c>
      <c r="R75" s="10">
        <v>1.1113</v>
      </c>
      <c r="S75" s="10">
        <v>1.1113</v>
      </c>
      <c r="T75" s="17">
        <v>894</v>
      </c>
      <c r="U75" s="10">
        <v>1473887450.73</v>
      </c>
      <c r="V75" s="10">
        <v>1375850526.8900001</v>
      </c>
    </row>
    <row r="76" spans="1:24">
      <c r="A76" s="90">
        <v>66</v>
      </c>
      <c r="B76" s="19" t="s">
        <v>104</v>
      </c>
      <c r="C76" s="19" t="s">
        <v>105</v>
      </c>
      <c r="D76" s="10">
        <v>470938548.93000001</v>
      </c>
      <c r="E76" s="10">
        <v>6468468.9199999999</v>
      </c>
      <c r="F76" s="10">
        <v>0</v>
      </c>
      <c r="G76" s="10">
        <v>978214.76</v>
      </c>
      <c r="H76" s="12">
        <f t="shared" si="36"/>
        <v>5490254.1600000001</v>
      </c>
      <c r="I76" s="10">
        <v>449462783.95999998</v>
      </c>
      <c r="J76" s="13">
        <f t="shared" si="29"/>
        <v>2.192666641163769E-3</v>
      </c>
      <c r="K76" s="10">
        <v>455003038.12</v>
      </c>
      <c r="L76" s="13">
        <f t="shared" si="37"/>
        <v>2.1845769643673474E-3</v>
      </c>
      <c r="M76" s="13">
        <f t="shared" si="38"/>
        <v>1.2326391322519557E-2</v>
      </c>
      <c r="N76" s="21">
        <f t="shared" si="39"/>
        <v>2.1499081941119061E-3</v>
      </c>
      <c r="O76" s="22">
        <f t="shared" si="40"/>
        <v>1.2066412089652973E-2</v>
      </c>
      <c r="P76" s="25">
        <f t="shared" si="41"/>
        <v>2.6080056391872524</v>
      </c>
      <c r="Q76" s="25">
        <f t="shared" si="42"/>
        <v>3.1469270774572185E-2</v>
      </c>
      <c r="R76" s="10">
        <v>2.6051000000000002</v>
      </c>
      <c r="S76" s="10">
        <v>2.6051000000000002</v>
      </c>
      <c r="T76" s="17">
        <v>1391</v>
      </c>
      <c r="U76" s="10">
        <v>174444651.87</v>
      </c>
      <c r="V76" s="10">
        <v>174463977.87</v>
      </c>
    </row>
    <row r="77" spans="1:24">
      <c r="A77" s="90">
        <v>67</v>
      </c>
      <c r="B77" s="68" t="s">
        <v>246</v>
      </c>
      <c r="C77" s="69" t="s">
        <v>215</v>
      </c>
      <c r="D77" s="10">
        <v>158496633.53999999</v>
      </c>
      <c r="E77" s="10">
        <v>5909587.6299999999</v>
      </c>
      <c r="F77" s="10">
        <v>0</v>
      </c>
      <c r="G77" s="10">
        <v>373283.45</v>
      </c>
      <c r="H77" s="12">
        <f t="shared" si="36"/>
        <v>5536304.1799999997</v>
      </c>
      <c r="I77" s="10">
        <v>154038504.84999999</v>
      </c>
      <c r="J77" s="13">
        <f t="shared" si="29"/>
        <v>7.5146397675807791E-4</v>
      </c>
      <c r="K77" s="10">
        <v>156725956.16</v>
      </c>
      <c r="L77" s="13">
        <f t="shared" si="37"/>
        <v>7.5247830203561267E-4</v>
      </c>
      <c r="M77" s="13">
        <f t="shared" si="38"/>
        <v>1.7446620327930314E-2</v>
      </c>
      <c r="N77" s="21">
        <f t="shared" si="39"/>
        <v>2.3817589577754344E-3</v>
      </c>
      <c r="O77" s="22">
        <f t="shared" si="40"/>
        <v>3.5324743365087792E-2</v>
      </c>
      <c r="P77" s="25">
        <f t="shared" si="41"/>
        <v>12.080660873059351</v>
      </c>
      <c r="Q77" s="25">
        <f t="shared" si="42"/>
        <v>0.42674624502147901</v>
      </c>
      <c r="R77" s="10">
        <v>12.09</v>
      </c>
      <c r="S77" s="10">
        <v>12.13</v>
      </c>
      <c r="T77" s="17">
        <v>30</v>
      </c>
      <c r="U77" s="10">
        <v>12965813.32</v>
      </c>
      <c r="V77" s="10">
        <v>12973293.25</v>
      </c>
    </row>
    <row r="78" spans="1:24">
      <c r="A78" s="90">
        <v>68</v>
      </c>
      <c r="B78" s="67" t="s">
        <v>106</v>
      </c>
      <c r="C78" s="19" t="s">
        <v>60</v>
      </c>
      <c r="D78" s="10">
        <v>2075446176.8800001</v>
      </c>
      <c r="E78" s="10">
        <v>21987000.300000001</v>
      </c>
      <c r="F78" s="10">
        <v>0</v>
      </c>
      <c r="G78" s="10">
        <v>3826324.46</v>
      </c>
      <c r="H78" s="12">
        <f t="shared" si="36"/>
        <v>18160675.84</v>
      </c>
      <c r="I78" s="10">
        <v>2017460553.1700001</v>
      </c>
      <c r="J78" s="13">
        <f t="shared" si="29"/>
        <v>9.8420127598225007E-3</v>
      </c>
      <c r="K78" s="10">
        <v>2056957330.0999999</v>
      </c>
      <c r="L78" s="13">
        <f t="shared" si="37"/>
        <v>9.8759375730539823E-3</v>
      </c>
      <c r="M78" s="13">
        <f t="shared" si="38"/>
        <v>1.9577471722031562E-2</v>
      </c>
      <c r="N78" s="21">
        <f t="shared" si="39"/>
        <v>1.8601865989188904E-3</v>
      </c>
      <c r="O78" s="22">
        <f t="shared" si="40"/>
        <v>8.828902561200485E-3</v>
      </c>
      <c r="P78" s="25">
        <f t="shared" si="41"/>
        <v>4598.114716199233</v>
      </c>
      <c r="Q78" s="25">
        <f t="shared" si="42"/>
        <v>40.596306794545043</v>
      </c>
      <c r="R78" s="10">
        <v>4598.1099999999997</v>
      </c>
      <c r="S78" s="10">
        <v>4598.1099999999997</v>
      </c>
      <c r="T78" s="17">
        <v>1105</v>
      </c>
      <c r="U78" s="10">
        <v>442656.22</v>
      </c>
      <c r="V78" s="10">
        <v>447347.98</v>
      </c>
    </row>
    <row r="79" spans="1:24">
      <c r="A79" s="90">
        <v>69</v>
      </c>
      <c r="B79" s="19" t="s">
        <v>107</v>
      </c>
      <c r="C79" s="19" t="s">
        <v>62</v>
      </c>
      <c r="D79" s="10">
        <v>312784494.75</v>
      </c>
      <c r="E79" s="10">
        <v>3970706.42</v>
      </c>
      <c r="F79" s="10">
        <v>0</v>
      </c>
      <c r="G79" s="10">
        <v>683273.16</v>
      </c>
      <c r="H79" s="12">
        <f t="shared" si="36"/>
        <v>3287433.26</v>
      </c>
      <c r="I79" s="10">
        <v>335073715.37</v>
      </c>
      <c r="J79" s="13">
        <f t="shared" si="29"/>
        <v>1.6346291266864665E-3</v>
      </c>
      <c r="K79" s="10">
        <v>332152378.74000001</v>
      </c>
      <c r="L79" s="13">
        <f t="shared" si="37"/>
        <v>1.5947419565665705E-3</v>
      </c>
      <c r="M79" s="13">
        <f t="shared" si="38"/>
        <v>-8.7184893830724811E-3</v>
      </c>
      <c r="N79" s="21">
        <f t="shared" si="39"/>
        <v>2.0571075317658586E-3</v>
      </c>
      <c r="O79" s="22">
        <f t="shared" si="40"/>
        <v>9.8973647952505395E-3</v>
      </c>
      <c r="P79" s="25">
        <f t="shared" si="41"/>
        <v>111.10120313563047</v>
      </c>
      <c r="Q79" s="25">
        <f t="shared" si="42"/>
        <v>1.0996091366245679</v>
      </c>
      <c r="R79" s="10">
        <v>110.74</v>
      </c>
      <c r="S79" s="10">
        <v>110.74</v>
      </c>
      <c r="T79" s="17">
        <v>90</v>
      </c>
      <c r="U79" s="10">
        <v>2913966</v>
      </c>
      <c r="V79" s="10">
        <v>2989638</v>
      </c>
      <c r="W79" s="15"/>
      <c r="X79" s="15"/>
    </row>
    <row r="80" spans="1:24">
      <c r="A80" s="90">
        <v>70</v>
      </c>
      <c r="B80" s="67" t="s">
        <v>108</v>
      </c>
      <c r="C80" s="67" t="s">
        <v>64</v>
      </c>
      <c r="D80" s="10">
        <v>342377242.92000002</v>
      </c>
      <c r="E80" s="10">
        <v>5091993.5999999996</v>
      </c>
      <c r="F80" s="10">
        <v>587850.9</v>
      </c>
      <c r="G80" s="10">
        <v>641484.73</v>
      </c>
      <c r="H80" s="12">
        <f t="shared" si="36"/>
        <v>5038359.7699999996</v>
      </c>
      <c r="I80" s="10">
        <v>364144101.72000003</v>
      </c>
      <c r="J80" s="13">
        <f t="shared" si="29"/>
        <v>1.7764465778084271E-3</v>
      </c>
      <c r="K80" s="10">
        <v>373053639.98000002</v>
      </c>
      <c r="L80" s="13">
        <f t="shared" si="37"/>
        <v>1.7911185642649787E-3</v>
      </c>
      <c r="M80" s="13">
        <f t="shared" si="38"/>
        <v>2.4467067344813864E-2</v>
      </c>
      <c r="N80" s="21">
        <f t="shared" si="39"/>
        <v>1.7195509204370476E-3</v>
      </c>
      <c r="O80" s="22">
        <f t="shared" si="40"/>
        <v>1.3505724727066364E-2</v>
      </c>
      <c r="P80" s="25">
        <f t="shared" si="41"/>
        <v>1.4331187896557602</v>
      </c>
      <c r="Q80" s="25">
        <f t="shared" si="42"/>
        <v>1.9355307874277219E-2</v>
      </c>
      <c r="R80" s="10">
        <v>1.4326000000000001</v>
      </c>
      <c r="S80" s="10">
        <v>1.4326000000000001</v>
      </c>
      <c r="T80" s="17">
        <v>267</v>
      </c>
      <c r="U80" s="10">
        <v>256874940.24000001</v>
      </c>
      <c r="V80" s="10">
        <v>260308944.84999999</v>
      </c>
    </row>
    <row r="81" spans="1:22">
      <c r="A81" s="90">
        <v>71</v>
      </c>
      <c r="B81" s="68" t="s">
        <v>258</v>
      </c>
      <c r="C81" s="69" t="s">
        <v>64</v>
      </c>
      <c r="D81" s="16">
        <v>20989169.399999999</v>
      </c>
      <c r="E81" s="10">
        <v>315863.08</v>
      </c>
      <c r="F81" s="10">
        <v>0</v>
      </c>
      <c r="G81" s="10">
        <v>375927.24</v>
      </c>
      <c r="H81" s="12">
        <f t="shared" si="36"/>
        <v>-60064.159999999974</v>
      </c>
      <c r="I81" s="10">
        <v>22201901.949999999</v>
      </c>
      <c r="J81" s="13">
        <f t="shared" si="29"/>
        <v>1.0831012380434648E-4</v>
      </c>
      <c r="K81" s="10">
        <v>22141837.789999999</v>
      </c>
      <c r="L81" s="13">
        <f t="shared" si="37"/>
        <v>1.0630818858848021E-4</v>
      </c>
      <c r="M81" s="13">
        <f t="shared" si="38"/>
        <v>-2.7053610152530266E-3</v>
      </c>
      <c r="N81" s="21">
        <f t="shared" si="39"/>
        <v>1.6978140819448213E-2</v>
      </c>
      <c r="O81" s="22">
        <f t="shared" si="40"/>
        <v>-2.7126998476669799E-3</v>
      </c>
      <c r="P81" s="25">
        <f t="shared" si="41"/>
        <v>0.8836999984758438</v>
      </c>
      <c r="Q81" s="25">
        <f t="shared" si="42"/>
        <v>-2.3972128512487318E-3</v>
      </c>
      <c r="R81" s="17">
        <v>0.89559999999999995</v>
      </c>
      <c r="S81" s="18">
        <v>0.89559999999999995</v>
      </c>
      <c r="T81" s="17">
        <v>1</v>
      </c>
      <c r="U81" s="10">
        <v>25055830.969999999</v>
      </c>
      <c r="V81" s="10">
        <v>25055830.969999999</v>
      </c>
    </row>
    <row r="82" spans="1:22">
      <c r="A82" s="90">
        <v>72</v>
      </c>
      <c r="B82" s="19" t="s">
        <v>240</v>
      </c>
      <c r="C82" s="19" t="s">
        <v>48</v>
      </c>
      <c r="D82" s="10">
        <v>111716450</v>
      </c>
      <c r="E82" s="10">
        <v>662886.03</v>
      </c>
      <c r="F82" s="10">
        <v>0</v>
      </c>
      <c r="G82" s="10">
        <v>147390.06</v>
      </c>
      <c r="H82" s="12">
        <f t="shared" si="36"/>
        <v>515495.97000000003</v>
      </c>
      <c r="I82" s="10">
        <v>140055251.77000001</v>
      </c>
      <c r="J82" s="13">
        <f t="shared" si="29"/>
        <v>6.8324784483869943E-4</v>
      </c>
      <c r="K82" s="10">
        <v>140964540.55000001</v>
      </c>
      <c r="L82" s="13">
        <f t="shared" si="37"/>
        <v>6.7680402607980035E-4</v>
      </c>
      <c r="M82" s="13">
        <f t="shared" si="38"/>
        <v>6.4923576125031236E-3</v>
      </c>
      <c r="N82" s="21">
        <f t="shared" si="39"/>
        <v>1.0455825232709558E-3</v>
      </c>
      <c r="O82" s="22">
        <f t="shared" si="40"/>
        <v>3.6569194493075653E-3</v>
      </c>
      <c r="P82" s="25">
        <f t="shared" si="41"/>
        <v>132.78016378549933</v>
      </c>
      <c r="Q82" s="25">
        <f t="shared" si="42"/>
        <v>0.48556636342943649</v>
      </c>
      <c r="R82" s="10">
        <v>132.78020000000001</v>
      </c>
      <c r="S82" s="10">
        <v>132.78020000000001</v>
      </c>
      <c r="T82" s="17">
        <v>36</v>
      </c>
      <c r="U82" s="10">
        <v>1068275.42</v>
      </c>
      <c r="V82" s="10">
        <v>1061638.55</v>
      </c>
    </row>
    <row r="83" spans="1:22">
      <c r="A83" s="90">
        <v>73</v>
      </c>
      <c r="B83" s="19" t="s">
        <v>109</v>
      </c>
      <c r="C83" s="19" t="s">
        <v>110</v>
      </c>
      <c r="D83" s="10">
        <f>1047850000+229401068.49</f>
        <v>1277251068.49</v>
      </c>
      <c r="E83" s="10">
        <v>20785037.309999999</v>
      </c>
      <c r="F83" s="10">
        <v>0</v>
      </c>
      <c r="G83" s="10">
        <v>2618505.04</v>
      </c>
      <c r="H83" s="12">
        <f t="shared" si="36"/>
        <v>18166532.27</v>
      </c>
      <c r="I83" s="10">
        <v>1632530812.3</v>
      </c>
      <c r="J83" s="13">
        <f t="shared" si="29"/>
        <v>7.9641651779577983E-3</v>
      </c>
      <c r="K83" s="10">
        <v>1624972989.45</v>
      </c>
      <c r="L83" s="13">
        <f t="shared" si="37"/>
        <v>7.8018788075331254E-3</v>
      </c>
      <c r="M83" s="13">
        <f t="shared" si="38"/>
        <v>-4.6295131418389738E-3</v>
      </c>
      <c r="N83" s="21">
        <f t="shared" si="39"/>
        <v>1.6114145016565954E-3</v>
      </c>
      <c r="O83" s="22">
        <f t="shared" si="40"/>
        <v>1.1179590299620163E-2</v>
      </c>
      <c r="P83" s="25">
        <f t="shared" si="41"/>
        <v>1060.2174363008655</v>
      </c>
      <c r="Q83" s="25">
        <f t="shared" si="42"/>
        <v>11.852796566357316</v>
      </c>
      <c r="R83" s="10">
        <v>1000</v>
      </c>
      <c r="S83" s="10">
        <v>1000</v>
      </c>
      <c r="T83" s="17">
        <v>364</v>
      </c>
      <c r="U83" s="10">
        <v>1540171.99</v>
      </c>
      <c r="V83" s="10">
        <v>1532678.99</v>
      </c>
    </row>
    <row r="84" spans="1:22">
      <c r="A84" s="90">
        <v>74</v>
      </c>
      <c r="B84" s="19" t="s">
        <v>111</v>
      </c>
      <c r="C84" s="19" t="s">
        <v>66</v>
      </c>
      <c r="D84" s="10">
        <v>156473544.84</v>
      </c>
      <c r="E84" s="10">
        <v>1953272.42</v>
      </c>
      <c r="F84" s="10">
        <v>0</v>
      </c>
      <c r="G84" s="10">
        <v>558716.61</v>
      </c>
      <c r="H84" s="12">
        <f t="shared" si="36"/>
        <v>1394555.81</v>
      </c>
      <c r="I84" s="10">
        <v>176466265.91</v>
      </c>
      <c r="J84" s="13">
        <f t="shared" si="29"/>
        <v>8.6087593536115169E-4</v>
      </c>
      <c r="K84" s="10">
        <v>176466265.91</v>
      </c>
      <c r="L84" s="13">
        <f t="shared" si="37"/>
        <v>8.4725618775591152E-4</v>
      </c>
      <c r="M84" s="13">
        <f t="shared" si="38"/>
        <v>0</v>
      </c>
      <c r="N84" s="21">
        <f t="shared" si="39"/>
        <v>3.1661383387856829E-3</v>
      </c>
      <c r="O84" s="22">
        <f t="shared" si="40"/>
        <v>7.9026764849846193E-3</v>
      </c>
      <c r="P84" s="25">
        <f t="shared" si="41"/>
        <v>1205.708333003095</v>
      </c>
      <c r="Q84" s="25">
        <f t="shared" si="42"/>
        <v>9.5283228909735662</v>
      </c>
      <c r="R84" s="10">
        <v>1051.42</v>
      </c>
      <c r="S84" s="10">
        <v>1061.33</v>
      </c>
      <c r="T84" s="17">
        <v>283</v>
      </c>
      <c r="U84" s="10">
        <v>166269</v>
      </c>
      <c r="V84" s="10">
        <v>146359</v>
      </c>
    </row>
    <row r="85" spans="1:22">
      <c r="A85" s="90">
        <v>75</v>
      </c>
      <c r="B85" s="19" t="s">
        <v>112</v>
      </c>
      <c r="C85" s="67" t="s">
        <v>69</v>
      </c>
      <c r="D85" s="10">
        <v>683214099.14999998</v>
      </c>
      <c r="E85" s="10">
        <v>7419573.3799999999</v>
      </c>
      <c r="F85" s="10">
        <v>0</v>
      </c>
      <c r="G85" s="10">
        <v>1167255.3500000001</v>
      </c>
      <c r="H85" s="12">
        <f t="shared" si="36"/>
        <v>6252318.0299999993</v>
      </c>
      <c r="I85" s="10">
        <v>665041265.34000003</v>
      </c>
      <c r="J85" s="13">
        <f t="shared" si="29"/>
        <v>3.2443482520638123E-3</v>
      </c>
      <c r="K85" s="10">
        <v>676024187.05999994</v>
      </c>
      <c r="L85" s="13">
        <f t="shared" si="37"/>
        <v>3.2457516602712182E-3</v>
      </c>
      <c r="M85" s="13">
        <f t="shared" si="38"/>
        <v>1.6514646973650467E-2</v>
      </c>
      <c r="N85" s="21">
        <f t="shared" si="39"/>
        <v>1.726647318753998E-3</v>
      </c>
      <c r="O85" s="22">
        <f t="shared" si="40"/>
        <v>9.2486602545850637E-3</v>
      </c>
      <c r="P85" s="25">
        <f t="shared" si="41"/>
        <v>1.2146445316835568</v>
      </c>
      <c r="Q85" s="25">
        <f t="shared" si="42"/>
        <v>1.12338346036308E-2</v>
      </c>
      <c r="R85" s="10" t="s">
        <v>299</v>
      </c>
      <c r="S85" s="10">
        <v>1.1997</v>
      </c>
      <c r="T85" s="17">
        <v>47</v>
      </c>
      <c r="U85" s="10">
        <v>555521711</v>
      </c>
      <c r="V85" s="10">
        <v>556561339.08000004</v>
      </c>
    </row>
    <row r="86" spans="1:22">
      <c r="A86" s="90">
        <v>76</v>
      </c>
      <c r="B86" s="19" t="s">
        <v>247</v>
      </c>
      <c r="C86" s="19" t="s">
        <v>30</v>
      </c>
      <c r="D86" s="10">
        <v>12536893982.42</v>
      </c>
      <c r="E86" s="10">
        <v>127083691.93000001</v>
      </c>
      <c r="F86" s="10">
        <v>0</v>
      </c>
      <c r="G86" s="10">
        <v>14821523.18</v>
      </c>
      <c r="H86" s="12">
        <f t="shared" si="36"/>
        <v>112262168.75</v>
      </c>
      <c r="I86" s="10">
        <v>12306314002.860001</v>
      </c>
      <c r="J86" s="13">
        <f t="shared" si="29"/>
        <v>6.0035324731489023E-2</v>
      </c>
      <c r="K86" s="10">
        <v>12199466013.700001</v>
      </c>
      <c r="L86" s="13">
        <f t="shared" si="37"/>
        <v>5.8572515342375953E-2</v>
      </c>
      <c r="M86" s="13">
        <f t="shared" si="38"/>
        <v>-8.6823714343034208E-3</v>
      </c>
      <c r="N86" s="21">
        <f t="shared" si="39"/>
        <v>1.2149321259926811E-3</v>
      </c>
      <c r="O86" s="22">
        <f t="shared" si="40"/>
        <v>9.20221988601219E-3</v>
      </c>
      <c r="P86" s="25">
        <f t="shared" si="41"/>
        <v>1716.8413218522453</v>
      </c>
      <c r="Q86" s="25">
        <f t="shared" si="42"/>
        <v>15.798751353076186</v>
      </c>
      <c r="R86" s="10">
        <v>1716.84</v>
      </c>
      <c r="S86" s="10">
        <v>1716.84</v>
      </c>
      <c r="T86" s="17">
        <v>2088</v>
      </c>
      <c r="U86" s="10">
        <v>7108866.8600000003</v>
      </c>
      <c r="V86" s="10">
        <v>7105762.1100000003</v>
      </c>
    </row>
    <row r="87" spans="1:22" ht="14.4" customHeight="1">
      <c r="A87" s="90">
        <v>77</v>
      </c>
      <c r="B87" s="19" t="s">
        <v>113</v>
      </c>
      <c r="C87" s="19" t="s">
        <v>75</v>
      </c>
      <c r="D87" s="10">
        <v>23384498.960000001</v>
      </c>
      <c r="E87" s="10">
        <v>302519.27</v>
      </c>
      <c r="F87" s="10">
        <v>0</v>
      </c>
      <c r="G87" s="10">
        <v>252691.54</v>
      </c>
      <c r="H87" s="12">
        <v>49827.73</v>
      </c>
      <c r="I87" s="10">
        <v>23343477.219999999</v>
      </c>
      <c r="J87" s="13">
        <f t="shared" si="29"/>
        <v>1.1387920338609286E-4</v>
      </c>
      <c r="K87" s="10">
        <v>23520412.43</v>
      </c>
      <c r="L87" s="13">
        <f t="shared" si="37"/>
        <v>1.1292705077157348E-4</v>
      </c>
      <c r="M87" s="13">
        <f t="shared" si="38"/>
        <v>7.5796424128453345E-3</v>
      </c>
      <c r="N87" s="21">
        <f t="shared" si="39"/>
        <v>1.0743499534799613E-2</v>
      </c>
      <c r="O87" s="22">
        <f t="shared" si="40"/>
        <v>2.1184887870607807E-3</v>
      </c>
      <c r="P87" s="25">
        <f t="shared" si="41"/>
        <v>0.71739136556823369</v>
      </c>
      <c r="Q87" s="25">
        <f t="shared" si="42"/>
        <v>1.5197855638905242E-3</v>
      </c>
      <c r="R87" s="10">
        <v>0.71740000000000004</v>
      </c>
      <c r="S87" s="10">
        <v>0.71740000000000004</v>
      </c>
      <c r="T87" s="17">
        <v>730</v>
      </c>
      <c r="U87" s="10">
        <v>32786026.649999999</v>
      </c>
      <c r="V87" s="10">
        <v>32786026.649999999</v>
      </c>
    </row>
    <row r="88" spans="1:22" ht="14.4" customHeight="1">
      <c r="A88" s="90">
        <v>78</v>
      </c>
      <c r="B88" s="19" t="s">
        <v>241</v>
      </c>
      <c r="C88" s="67" t="s">
        <v>36</v>
      </c>
      <c r="D88" s="10">
        <v>12354812260.299999</v>
      </c>
      <c r="E88" s="10">
        <v>101625630.65000001</v>
      </c>
      <c r="F88" s="10">
        <v>0</v>
      </c>
      <c r="G88" s="10">
        <v>3007664.54</v>
      </c>
      <c r="H88" s="12">
        <f t="shared" si="36"/>
        <v>98617966.109999999</v>
      </c>
      <c r="I88" s="10">
        <v>9750002617.8299999</v>
      </c>
      <c r="J88" s="13">
        <f t="shared" si="29"/>
        <v>4.7564573206750407E-2</v>
      </c>
      <c r="K88" s="10">
        <v>9735456196.0400009</v>
      </c>
      <c r="L88" s="13">
        <f t="shared" si="37"/>
        <v>4.6742222714274015E-2</v>
      </c>
      <c r="M88" s="13">
        <f t="shared" si="38"/>
        <v>-1.4919402958310712E-3</v>
      </c>
      <c r="N88" s="21">
        <f t="shared" si="39"/>
        <v>3.0893925045067733E-4</v>
      </c>
      <c r="O88" s="22">
        <f t="shared" si="40"/>
        <v>1.0129773492290366E-2</v>
      </c>
      <c r="P88" s="25">
        <f t="shared" si="41"/>
        <v>1</v>
      </c>
      <c r="Q88" s="25">
        <f t="shared" si="42"/>
        <v>1.0129773492290366E-2</v>
      </c>
      <c r="R88" s="10">
        <v>1</v>
      </c>
      <c r="S88" s="10">
        <v>1</v>
      </c>
      <c r="T88" s="17">
        <v>4290</v>
      </c>
      <c r="U88" s="10">
        <v>9750002617.8299999</v>
      </c>
      <c r="V88" s="10">
        <v>9735456196.0400009</v>
      </c>
    </row>
    <row r="89" spans="1:22">
      <c r="A89" s="90">
        <v>79</v>
      </c>
      <c r="B89" s="67" t="s">
        <v>114</v>
      </c>
      <c r="C89" s="67" t="s">
        <v>115</v>
      </c>
      <c r="D89" s="10">
        <v>1584995485.72</v>
      </c>
      <c r="E89" s="10">
        <v>117519503.97</v>
      </c>
      <c r="F89" s="10">
        <v>0</v>
      </c>
      <c r="G89" s="10">
        <v>11005681.640000001</v>
      </c>
      <c r="H89" s="12">
        <f t="shared" si="36"/>
        <v>106513822.33</v>
      </c>
      <c r="I89" s="10">
        <v>1608637436.0699999</v>
      </c>
      <c r="J89" s="13">
        <f t="shared" si="29"/>
        <v>7.8476033381927532E-3</v>
      </c>
      <c r="K89" s="10">
        <v>1573739790.0999999</v>
      </c>
      <c r="L89" s="13">
        <f t="shared" si="37"/>
        <v>7.5558961266848877E-3</v>
      </c>
      <c r="M89" s="13">
        <f t="shared" si="38"/>
        <v>-2.169391634653059E-2</v>
      </c>
      <c r="N89" s="21">
        <f t="shared" si="39"/>
        <v>6.9933299705796145E-3</v>
      </c>
      <c r="O89" s="22">
        <f t="shared" si="40"/>
        <v>6.7681978304197171E-2</v>
      </c>
      <c r="P89" s="25">
        <f t="shared" si="41"/>
        <v>256.19743542969576</v>
      </c>
      <c r="Q89" s="25">
        <f t="shared" si="42"/>
        <v>17.339949266343623</v>
      </c>
      <c r="R89" s="10">
        <v>256.19740000000002</v>
      </c>
      <c r="S89" s="10">
        <v>258.02980000000002</v>
      </c>
      <c r="T89" s="17">
        <v>551</v>
      </c>
      <c r="U89" s="10">
        <v>6358589.25</v>
      </c>
      <c r="V89" s="10">
        <v>6142683.6200000001</v>
      </c>
    </row>
    <row r="90" spans="1:22">
      <c r="A90" s="90">
        <v>80</v>
      </c>
      <c r="B90" s="19" t="s">
        <v>116</v>
      </c>
      <c r="C90" s="67" t="s">
        <v>38</v>
      </c>
      <c r="D90" s="10">
        <v>1145261472.8900001</v>
      </c>
      <c r="E90" s="10">
        <v>12992865.48</v>
      </c>
      <c r="F90" s="10">
        <v>0</v>
      </c>
      <c r="G90" s="10">
        <v>1705391.11</v>
      </c>
      <c r="H90" s="12">
        <f t="shared" si="36"/>
        <v>11287474.370000001</v>
      </c>
      <c r="I90" s="10">
        <v>1121268012.21</v>
      </c>
      <c r="J90" s="13">
        <f t="shared" si="29"/>
        <v>5.4700123211884819E-3</v>
      </c>
      <c r="K90" s="10">
        <v>1134791940.8099999</v>
      </c>
      <c r="L90" s="13">
        <f t="shared" si="37"/>
        <v>5.4484039128315266E-3</v>
      </c>
      <c r="M90" s="13">
        <f t="shared" si="38"/>
        <v>1.2061281025349571E-2</v>
      </c>
      <c r="N90" s="21">
        <f t="shared" si="39"/>
        <v>1.5028227190111289E-3</v>
      </c>
      <c r="O90" s="22">
        <f t="shared" si="40"/>
        <v>9.9467346956510338E-3</v>
      </c>
      <c r="P90" s="25">
        <f t="shared" si="41"/>
        <v>3.7839858295259927</v>
      </c>
      <c r="Q90" s="25">
        <f t="shared" si="42"/>
        <v>3.7638303138398048E-2</v>
      </c>
      <c r="R90" s="10">
        <v>3.78</v>
      </c>
      <c r="S90" s="10">
        <v>3.78</v>
      </c>
      <c r="T90" s="17">
        <v>771</v>
      </c>
      <c r="U90" s="10">
        <v>299923140</v>
      </c>
      <c r="V90" s="10">
        <v>299893285</v>
      </c>
    </row>
    <row r="91" spans="1:22">
      <c r="A91" s="90">
        <v>81</v>
      </c>
      <c r="B91" s="68" t="s">
        <v>245</v>
      </c>
      <c r="C91" s="69" t="s">
        <v>40</v>
      </c>
      <c r="D91" s="10">
        <v>610591585.79999995</v>
      </c>
      <c r="E91" s="10">
        <v>8423068.6899999995</v>
      </c>
      <c r="F91" s="10">
        <v>0</v>
      </c>
      <c r="G91" s="10">
        <v>1259760.32</v>
      </c>
      <c r="H91" s="12">
        <f t="shared" si="36"/>
        <v>7163308.3699999992</v>
      </c>
      <c r="I91" s="10">
        <v>606460239.28999996</v>
      </c>
      <c r="J91" s="13">
        <f t="shared" si="29"/>
        <v>2.9585656106328987E-3</v>
      </c>
      <c r="K91" s="10">
        <v>606591609.84000003</v>
      </c>
      <c r="L91" s="13">
        <f t="shared" si="37"/>
        <v>2.9123894713104816E-3</v>
      </c>
      <c r="M91" s="13">
        <f t="shared" si="38"/>
        <v>2.1661857033508202E-4</v>
      </c>
      <c r="N91" s="21">
        <f t="shared" si="39"/>
        <v>2.0767849399240547E-3</v>
      </c>
      <c r="O91" s="22">
        <f t="shared" si="40"/>
        <v>1.1809112183219048E-2</v>
      </c>
      <c r="P91" s="25">
        <f t="shared" si="41"/>
        <v>114.5623088133582</v>
      </c>
      <c r="Q91" s="25">
        <f t="shared" si="42"/>
        <v>1.3528791567455312</v>
      </c>
      <c r="R91" s="10">
        <v>110.85</v>
      </c>
      <c r="S91" s="10">
        <v>110.85</v>
      </c>
      <c r="T91" s="17">
        <v>55</v>
      </c>
      <c r="U91" s="10">
        <v>5395168.5899999999</v>
      </c>
      <c r="V91" s="10">
        <v>5294861.95</v>
      </c>
    </row>
    <row r="92" spans="1:22">
      <c r="A92" s="90">
        <v>82</v>
      </c>
      <c r="B92" s="19" t="s">
        <v>244</v>
      </c>
      <c r="C92" s="19" t="s">
        <v>44</v>
      </c>
      <c r="D92" s="10">
        <v>1382128047.53</v>
      </c>
      <c r="E92" s="10">
        <v>14976173.27</v>
      </c>
      <c r="F92" s="10">
        <v>0</v>
      </c>
      <c r="G92" s="10">
        <v>2835837.82</v>
      </c>
      <c r="H92" s="12">
        <f t="shared" si="36"/>
        <v>12140335.449999999</v>
      </c>
      <c r="I92" s="10">
        <v>1422481928.22</v>
      </c>
      <c r="J92" s="13">
        <f t="shared" si="29"/>
        <v>6.9394592455153921E-3</v>
      </c>
      <c r="K92" s="10">
        <v>1397063683.8599999</v>
      </c>
      <c r="L92" s="13">
        <f t="shared" si="37"/>
        <v>6.7076324459834184E-3</v>
      </c>
      <c r="M92" s="13">
        <f t="shared" si="38"/>
        <v>-1.7868940093887061E-2</v>
      </c>
      <c r="N92" s="21">
        <f t="shared" si="39"/>
        <v>2.0298557988170994E-3</v>
      </c>
      <c r="O92" s="22">
        <f t="shared" si="40"/>
        <v>8.6898940901942341E-3</v>
      </c>
      <c r="P92" s="25">
        <f t="shared" si="41"/>
        <v>101.62410642766812</v>
      </c>
      <c r="Q92" s="25">
        <f t="shared" si="42"/>
        <v>0.88310272186706318</v>
      </c>
      <c r="R92" s="10">
        <v>101.62</v>
      </c>
      <c r="S92" s="10">
        <v>101.62</v>
      </c>
      <c r="T92" s="17">
        <v>473</v>
      </c>
      <c r="U92" s="10">
        <v>14160749</v>
      </c>
      <c r="V92" s="10">
        <v>13747365</v>
      </c>
    </row>
    <row r="93" spans="1:22">
      <c r="A93" s="90">
        <v>83</v>
      </c>
      <c r="B93" s="19" t="s">
        <v>119</v>
      </c>
      <c r="C93" s="19" t="s">
        <v>22</v>
      </c>
      <c r="D93" s="10">
        <v>1478592933.1500001</v>
      </c>
      <c r="E93" s="10">
        <v>18492045.039999999</v>
      </c>
      <c r="F93" s="10">
        <v>72508326.670000002</v>
      </c>
      <c r="G93" s="10">
        <v>2265098.5099999998</v>
      </c>
      <c r="H93" s="12">
        <f t="shared" si="36"/>
        <v>88735273.200000003</v>
      </c>
      <c r="I93" s="10">
        <v>1431149922.47</v>
      </c>
      <c r="J93" s="13">
        <f t="shared" si="29"/>
        <v>6.9817453312961131E-3</v>
      </c>
      <c r="K93" s="10">
        <v>1451572236.9300001</v>
      </c>
      <c r="L93" s="13">
        <f t="shared" si="37"/>
        <v>6.969340873007838E-3</v>
      </c>
      <c r="M93" s="13">
        <f t="shared" si="38"/>
        <v>1.4269863792294713E-2</v>
      </c>
      <c r="N93" s="21">
        <f t="shared" si="39"/>
        <v>1.560444910954322E-3</v>
      </c>
      <c r="O93" s="22">
        <f t="shared" si="40"/>
        <v>6.1130456302795171E-2</v>
      </c>
      <c r="P93" s="25">
        <f t="shared" si="41"/>
        <v>362.27649814323632</v>
      </c>
      <c r="Q93" s="25">
        <f t="shared" si="42"/>
        <v>22.146127639274763</v>
      </c>
      <c r="R93" s="10">
        <v>362.28</v>
      </c>
      <c r="S93" s="10">
        <v>362.28</v>
      </c>
      <c r="T93" s="17">
        <v>90</v>
      </c>
      <c r="U93" s="10">
        <v>3995406.17</v>
      </c>
      <c r="V93" s="10">
        <v>4006807.63</v>
      </c>
    </row>
    <row r="94" spans="1:22">
      <c r="A94" s="90">
        <v>84</v>
      </c>
      <c r="B94" s="68" t="s">
        <v>248</v>
      </c>
      <c r="C94" s="69" t="s">
        <v>249</v>
      </c>
      <c r="D94" s="10">
        <v>1360869013.3499999</v>
      </c>
      <c r="E94" s="10">
        <v>21555093.93</v>
      </c>
      <c r="F94" s="10">
        <v>0</v>
      </c>
      <c r="G94" s="10">
        <v>2824907.15</v>
      </c>
      <c r="H94" s="12">
        <f t="shared" si="36"/>
        <v>18730186.780000001</v>
      </c>
      <c r="I94" s="10">
        <v>1517632193.6800001</v>
      </c>
      <c r="J94" s="13">
        <f t="shared" si="29"/>
        <v>7.4036418662295168E-3</v>
      </c>
      <c r="K94" s="10">
        <v>1530127336.3599999</v>
      </c>
      <c r="L94" s="13">
        <f t="shared" si="37"/>
        <v>7.3465024439666338E-3</v>
      </c>
      <c r="M94" s="13">
        <f t="shared" si="38"/>
        <v>8.2333141930135464E-3</v>
      </c>
      <c r="N94" s="21">
        <f t="shared" si="39"/>
        <v>1.8461908907007275E-3</v>
      </c>
      <c r="O94" s="22">
        <f t="shared" si="40"/>
        <v>1.2240933375229411E-2</v>
      </c>
      <c r="P94" s="25">
        <f t="shared" si="41"/>
        <v>103.84128077356809</v>
      </c>
      <c r="Q94" s="25">
        <f t="shared" si="42"/>
        <v>1.2711141995477377</v>
      </c>
      <c r="R94" s="10">
        <v>103.84</v>
      </c>
      <c r="S94" s="10">
        <v>103.84</v>
      </c>
      <c r="T94" s="17">
        <v>394</v>
      </c>
      <c r="U94" s="10">
        <v>14795751</v>
      </c>
      <c r="V94" s="10">
        <v>14735251</v>
      </c>
    </row>
    <row r="95" spans="1:22">
      <c r="A95" s="90">
        <v>85</v>
      </c>
      <c r="B95" s="67" t="s">
        <v>120</v>
      </c>
      <c r="C95" s="67" t="s">
        <v>42</v>
      </c>
      <c r="D95" s="10">
        <v>61057957.049999997</v>
      </c>
      <c r="E95" s="10">
        <v>2239725.7999999998</v>
      </c>
      <c r="F95" s="10">
        <v>0</v>
      </c>
      <c r="G95" s="10">
        <v>158895.21</v>
      </c>
      <c r="H95" s="12">
        <f t="shared" si="36"/>
        <v>2080830.5899999999</v>
      </c>
      <c r="I95" s="10">
        <v>63362227.049999997</v>
      </c>
      <c r="J95" s="13">
        <f t="shared" si="29"/>
        <v>3.0910733106379707E-4</v>
      </c>
      <c r="K95" s="10">
        <v>64190147.020000003</v>
      </c>
      <c r="L95" s="13">
        <f t="shared" si="37"/>
        <v>3.0819204438424497E-4</v>
      </c>
      <c r="M95" s="13">
        <f t="shared" si="38"/>
        <v>1.3066459443521189E-2</v>
      </c>
      <c r="N95" s="21">
        <f t="shared" si="39"/>
        <v>2.4753831760268804E-3</v>
      </c>
      <c r="O95" s="22">
        <f t="shared" si="40"/>
        <v>3.2416666522849157E-2</v>
      </c>
      <c r="P95" s="25">
        <f t="shared" si="41"/>
        <v>13.110925584597299</v>
      </c>
      <c r="Q95" s="25">
        <f t="shared" si="42"/>
        <v>0.4250125024817818</v>
      </c>
      <c r="R95" s="10">
        <v>12.7</v>
      </c>
      <c r="S95" s="10">
        <v>13.14</v>
      </c>
      <c r="T95" s="17">
        <v>58</v>
      </c>
      <c r="U95" s="10">
        <v>4888294.95</v>
      </c>
      <c r="V95" s="10">
        <v>4895927.95</v>
      </c>
    </row>
    <row r="96" spans="1:22">
      <c r="A96" s="90">
        <v>86</v>
      </c>
      <c r="B96" s="68" t="s">
        <v>263</v>
      </c>
      <c r="C96" s="69" t="s">
        <v>264</v>
      </c>
      <c r="D96" s="10">
        <v>555364234.25</v>
      </c>
      <c r="E96" s="10">
        <v>8792685.9900000002</v>
      </c>
      <c r="F96" s="10">
        <v>0</v>
      </c>
      <c r="G96" s="10">
        <v>854914.92</v>
      </c>
      <c r="H96" s="12">
        <f t="shared" si="36"/>
        <v>7937771.0700000003</v>
      </c>
      <c r="I96" s="10">
        <v>526081158.23000002</v>
      </c>
      <c r="J96" s="13">
        <f t="shared" si="29"/>
        <v>2.5664429789550212E-3</v>
      </c>
      <c r="K96" s="10">
        <v>539744611.79999995</v>
      </c>
      <c r="L96" s="13">
        <f t="shared" si="37"/>
        <v>2.5914412581761778E-3</v>
      </c>
      <c r="M96" s="13">
        <f t="shared" si="38"/>
        <v>2.5972140146532943E-2</v>
      </c>
      <c r="N96" s="21">
        <f t="shared" si="39"/>
        <v>1.5839248809709008E-3</v>
      </c>
      <c r="O96" s="22">
        <f t="shared" si="40"/>
        <v>1.470653137884646E-2</v>
      </c>
      <c r="P96" s="25">
        <f t="shared" si="41"/>
        <v>141.20604445446634</v>
      </c>
      <c r="Q96" s="25">
        <f t="shared" si="42"/>
        <v>2.0766511236523972</v>
      </c>
      <c r="R96" s="10">
        <v>141.21</v>
      </c>
      <c r="S96" s="10">
        <v>141.21</v>
      </c>
      <c r="T96" s="17">
        <v>131</v>
      </c>
      <c r="U96" s="10">
        <v>3782609.85</v>
      </c>
      <c r="V96" s="10">
        <v>3822390.28</v>
      </c>
    </row>
    <row r="97" spans="1:23">
      <c r="A97" s="90">
        <v>87</v>
      </c>
      <c r="B97" s="19" t="s">
        <v>121</v>
      </c>
      <c r="C97" s="19" t="s">
        <v>122</v>
      </c>
      <c r="D97" s="10">
        <v>9488377604.9099998</v>
      </c>
      <c r="E97" s="10">
        <v>152930653.91</v>
      </c>
      <c r="F97" s="10">
        <v>0</v>
      </c>
      <c r="G97" s="10">
        <v>13089342.859999999</v>
      </c>
      <c r="H97" s="12">
        <f t="shared" si="36"/>
        <v>139841311.05000001</v>
      </c>
      <c r="I97" s="10">
        <v>8483806623</v>
      </c>
      <c r="J97" s="13">
        <f t="shared" si="29"/>
        <v>4.1387541830363979E-2</v>
      </c>
      <c r="K97" s="10">
        <v>9508931998</v>
      </c>
      <c r="L97" s="13">
        <f t="shared" si="37"/>
        <v>4.5654626580950035E-2</v>
      </c>
      <c r="M97" s="13">
        <f t="shared" si="38"/>
        <v>0.12083318497864352</v>
      </c>
      <c r="N97" s="21">
        <f t="shared" si="39"/>
        <v>1.3765313352491176E-3</v>
      </c>
      <c r="O97" s="22">
        <f t="shared" si="40"/>
        <v>1.4706310979972581E-2</v>
      </c>
      <c r="P97" s="25">
        <f t="shared" si="41"/>
        <v>1.0699999999493635</v>
      </c>
      <c r="Q97" s="25">
        <f t="shared" si="42"/>
        <v>1.5735752747825984E-2</v>
      </c>
      <c r="R97" s="10">
        <v>1.07</v>
      </c>
      <c r="S97" s="10">
        <v>1.07</v>
      </c>
      <c r="T97" s="17">
        <v>4714</v>
      </c>
      <c r="U97" s="10">
        <v>8003591154</v>
      </c>
      <c r="V97" s="10">
        <v>8886852335</v>
      </c>
    </row>
    <row r="98" spans="1:23">
      <c r="A98" s="90">
        <v>88</v>
      </c>
      <c r="B98" s="67" t="s">
        <v>123</v>
      </c>
      <c r="C98" s="19" t="s">
        <v>46</v>
      </c>
      <c r="D98" s="10">
        <v>8012992982.3699999</v>
      </c>
      <c r="E98" s="10">
        <v>120990008.23999999</v>
      </c>
      <c r="F98" s="10">
        <v>0</v>
      </c>
      <c r="G98" s="10">
        <v>10743511.710000001</v>
      </c>
      <c r="H98" s="12">
        <f t="shared" si="36"/>
        <v>110246496.53</v>
      </c>
      <c r="I98" s="10">
        <v>8525197528.5900002</v>
      </c>
      <c r="J98" s="13">
        <f t="shared" si="29"/>
        <v>4.1589463905280045E-2</v>
      </c>
      <c r="K98" s="10">
        <v>8043518715.6599998</v>
      </c>
      <c r="L98" s="13">
        <f t="shared" si="37"/>
        <v>3.8618831582513981E-2</v>
      </c>
      <c r="M98" s="13">
        <f t="shared" si="38"/>
        <v>-5.6500604392408268E-2</v>
      </c>
      <c r="N98" s="21">
        <f t="shared" si="39"/>
        <v>1.335673116428928E-3</v>
      </c>
      <c r="O98" s="22">
        <f t="shared" si="40"/>
        <v>1.3706252254421947E-2</v>
      </c>
      <c r="P98" s="25">
        <f t="shared" si="41"/>
        <v>5173.6973861237184</v>
      </c>
      <c r="Q98" s="25">
        <f t="shared" si="42"/>
        <v>70.912001462255148</v>
      </c>
      <c r="R98" s="10">
        <v>5173.7</v>
      </c>
      <c r="S98" s="10">
        <v>5173.7</v>
      </c>
      <c r="T98" s="17">
        <v>245</v>
      </c>
      <c r="U98" s="10">
        <v>1648171.11</v>
      </c>
      <c r="V98" s="10">
        <v>1554694.47</v>
      </c>
    </row>
    <row r="99" spans="1:23">
      <c r="A99" s="90">
        <v>89</v>
      </c>
      <c r="B99" s="19" t="s">
        <v>124</v>
      </c>
      <c r="C99" s="19" t="s">
        <v>46</v>
      </c>
      <c r="D99" s="10">
        <v>17913790835.099998</v>
      </c>
      <c r="E99" s="10">
        <v>159821560.16</v>
      </c>
      <c r="F99" s="10">
        <v>0</v>
      </c>
      <c r="G99" s="10">
        <v>30989528.699999999</v>
      </c>
      <c r="H99" s="12">
        <f t="shared" si="36"/>
        <v>128832031.45999999</v>
      </c>
      <c r="I99" s="10">
        <v>18146751776.779999</v>
      </c>
      <c r="J99" s="13">
        <f t="shared" si="29"/>
        <v>8.852741247196555E-2</v>
      </c>
      <c r="K99" s="10">
        <v>17743468117.200001</v>
      </c>
      <c r="L99" s="13">
        <f t="shared" si="37"/>
        <v>8.5190577796974448E-2</v>
      </c>
      <c r="M99" s="13">
        <f t="shared" si="38"/>
        <v>-2.2223462608665142E-2</v>
      </c>
      <c r="N99" s="21">
        <f t="shared" si="39"/>
        <v>1.7465316529613314E-3</v>
      </c>
      <c r="O99" s="22">
        <f t="shared" si="40"/>
        <v>7.2608145492770934E-3</v>
      </c>
      <c r="P99" s="25">
        <f t="shared" si="41"/>
        <v>259.08863724272686</v>
      </c>
      <c r="Q99" s="25">
        <f t="shared" si="42"/>
        <v>1.881194546844366</v>
      </c>
      <c r="R99" s="10">
        <v>259.08999999999997</v>
      </c>
      <c r="S99" s="10">
        <v>259.08999999999997</v>
      </c>
      <c r="T99" s="17">
        <v>6204</v>
      </c>
      <c r="U99" s="10">
        <v>70045931.5</v>
      </c>
      <c r="V99" s="10">
        <v>68484161.659999996</v>
      </c>
    </row>
    <row r="100" spans="1:23">
      <c r="A100" s="90">
        <v>90</v>
      </c>
      <c r="B100" s="67" t="s">
        <v>125</v>
      </c>
      <c r="C100" s="19" t="s">
        <v>46</v>
      </c>
      <c r="D100" s="10">
        <v>456343638.41000003</v>
      </c>
      <c r="E100" s="10">
        <v>8988717.3100000005</v>
      </c>
      <c r="F100" s="10">
        <v>5379428.7800000003</v>
      </c>
      <c r="G100" s="10">
        <v>546810.66</v>
      </c>
      <c r="H100" s="12">
        <f t="shared" si="36"/>
        <v>13821335.43</v>
      </c>
      <c r="I100" s="10">
        <v>454041985.69</v>
      </c>
      <c r="J100" s="13">
        <f t="shared" si="29"/>
        <v>2.2150058942339945E-3</v>
      </c>
      <c r="K100" s="10">
        <v>468851633.00999999</v>
      </c>
      <c r="L100" s="13">
        <f t="shared" si="37"/>
        <v>2.2510673366306871E-3</v>
      </c>
      <c r="M100" s="13">
        <f t="shared" si="38"/>
        <v>3.2617352110056563E-2</v>
      </c>
      <c r="N100" s="21">
        <f t="shared" si="39"/>
        <v>1.1662765393169426E-3</v>
      </c>
      <c r="O100" s="22">
        <f t="shared" si="40"/>
        <v>2.947912400617619E-2</v>
      </c>
      <c r="P100" s="25">
        <f t="shared" si="41"/>
        <v>7763.5445190576675</v>
      </c>
      <c r="Q100" s="25">
        <f t="shared" si="42"/>
        <v>228.86249160477047</v>
      </c>
      <c r="R100" s="10">
        <v>7742.87</v>
      </c>
      <c r="S100" s="10">
        <v>7777.72</v>
      </c>
      <c r="T100" s="17">
        <v>15</v>
      </c>
      <c r="U100" s="10">
        <v>60391.44</v>
      </c>
      <c r="V100" s="10">
        <v>60391.44</v>
      </c>
    </row>
    <row r="101" spans="1:23">
      <c r="A101" s="90">
        <v>91</v>
      </c>
      <c r="B101" s="19" t="s">
        <v>126</v>
      </c>
      <c r="C101" s="19" t="s">
        <v>46</v>
      </c>
      <c r="D101" s="10">
        <v>6157846600.1000004</v>
      </c>
      <c r="E101" s="10">
        <v>90490504.310000002</v>
      </c>
      <c r="F101" s="10">
        <v>0</v>
      </c>
      <c r="G101" s="10">
        <v>8816995.3100000005</v>
      </c>
      <c r="H101" s="12">
        <f t="shared" si="36"/>
        <v>81673509</v>
      </c>
      <c r="I101" s="10">
        <v>6076871030.9099998</v>
      </c>
      <c r="J101" s="13">
        <f t="shared" si="29"/>
        <v>2.9645507631876952E-2</v>
      </c>
      <c r="K101" s="10">
        <v>6201475366.7700005</v>
      </c>
      <c r="L101" s="13">
        <f t="shared" si="37"/>
        <v>2.9774746751832282E-2</v>
      </c>
      <c r="M101" s="13">
        <f t="shared" si="38"/>
        <v>2.0504686577385096E-2</v>
      </c>
      <c r="N101" s="21">
        <f t="shared" si="39"/>
        <v>1.4217576928943407E-3</v>
      </c>
      <c r="O101" s="22">
        <f t="shared" si="40"/>
        <v>1.3170012645319775E-2</v>
      </c>
      <c r="P101" s="25">
        <f t="shared" si="41"/>
        <v>147.4748041125049</v>
      </c>
      <c r="Q101" s="25">
        <f t="shared" si="42"/>
        <v>1.9422450350277465</v>
      </c>
      <c r="R101" s="10">
        <v>147.47</v>
      </c>
      <c r="S101" s="10">
        <v>147.47</v>
      </c>
      <c r="T101" s="17">
        <v>4619</v>
      </c>
      <c r="U101" s="10">
        <v>42051083.939999998</v>
      </c>
      <c r="V101" s="10">
        <v>42051083.939999998</v>
      </c>
    </row>
    <row r="102" spans="1:23">
      <c r="A102" s="90">
        <v>92</v>
      </c>
      <c r="B102" s="19" t="s">
        <v>127</v>
      </c>
      <c r="C102" s="19" t="s">
        <v>46</v>
      </c>
      <c r="D102" s="10">
        <v>7419510240.0600004</v>
      </c>
      <c r="E102" s="10">
        <v>117341009.37</v>
      </c>
      <c r="F102" s="10">
        <v>6395189.4900000002</v>
      </c>
      <c r="G102" s="10">
        <v>16862747.649999999</v>
      </c>
      <c r="H102" s="12">
        <f t="shared" si="36"/>
        <v>106873451.21000001</v>
      </c>
      <c r="I102" s="10">
        <v>7533231386.8500004</v>
      </c>
      <c r="J102" s="13">
        <f t="shared" si="29"/>
        <v>3.6750239956649854E-2</v>
      </c>
      <c r="K102" s="10">
        <v>7495807366.9799995</v>
      </c>
      <c r="L102" s="13">
        <f t="shared" si="37"/>
        <v>3.5989140140468404E-2</v>
      </c>
      <c r="M102" s="13">
        <f t="shared" si="38"/>
        <v>-4.967857476849598E-3</v>
      </c>
      <c r="N102" s="21">
        <f t="shared" si="39"/>
        <v>2.2496239330112165E-3</v>
      </c>
      <c r="O102" s="22">
        <f t="shared" si="40"/>
        <v>1.4257763837527545E-2</v>
      </c>
      <c r="P102" s="25">
        <f t="shared" si="41"/>
        <v>367.84710110728247</v>
      </c>
      <c r="Q102" s="25">
        <f t="shared" si="42"/>
        <v>5.2446770959067504</v>
      </c>
      <c r="R102" s="10">
        <v>367.51</v>
      </c>
      <c r="S102" s="10">
        <v>368.07</v>
      </c>
      <c r="T102" s="17">
        <v>10238</v>
      </c>
      <c r="U102" s="10">
        <v>20741530.920000002</v>
      </c>
      <c r="V102" s="10">
        <v>20377508.329999998</v>
      </c>
    </row>
    <row r="103" spans="1:23">
      <c r="A103" s="90">
        <v>93</v>
      </c>
      <c r="B103" s="19" t="s">
        <v>128</v>
      </c>
      <c r="C103" s="19" t="s">
        <v>50</v>
      </c>
      <c r="D103" s="10">
        <v>80225555697</v>
      </c>
      <c r="E103" s="10">
        <v>746534020</v>
      </c>
      <c r="F103" s="10">
        <v>0</v>
      </c>
      <c r="G103" s="10">
        <v>136211271</v>
      </c>
      <c r="H103" s="12">
        <f t="shared" si="36"/>
        <v>610322749</v>
      </c>
      <c r="I103" s="10">
        <v>87574341300</v>
      </c>
      <c r="J103" s="13">
        <f t="shared" si="29"/>
        <v>0.42722410763043178</v>
      </c>
      <c r="K103" s="10">
        <v>87364383169</v>
      </c>
      <c r="L103" s="13">
        <f t="shared" si="37"/>
        <v>0.41945702113493349</v>
      </c>
      <c r="M103" s="13">
        <f t="shared" si="38"/>
        <v>-2.3974845586420641E-3</v>
      </c>
      <c r="N103" s="21">
        <f t="shared" si="39"/>
        <v>1.5591167253651784E-3</v>
      </c>
      <c r="O103" s="22">
        <f t="shared" si="40"/>
        <v>6.9859446934956932E-3</v>
      </c>
      <c r="P103" s="25">
        <f t="shared" si="41"/>
        <v>2.0386939933176862</v>
      </c>
      <c r="Q103" s="25">
        <f t="shared" si="42"/>
        <v>1.4242203484279233E-2</v>
      </c>
      <c r="R103" s="10">
        <v>2.04</v>
      </c>
      <c r="S103" s="10">
        <v>2.04</v>
      </c>
      <c r="T103" s="17">
        <v>1370</v>
      </c>
      <c r="U103" s="10">
        <v>43870653407</v>
      </c>
      <c r="V103" s="10">
        <v>42853112559</v>
      </c>
    </row>
    <row r="104" spans="1:23">
      <c r="A104" s="90">
        <v>94</v>
      </c>
      <c r="B104" s="19" t="s">
        <v>262</v>
      </c>
      <c r="C104" s="19" t="s">
        <v>50</v>
      </c>
      <c r="D104" s="10">
        <v>15251919152</v>
      </c>
      <c r="E104" s="10">
        <v>492667030</v>
      </c>
      <c r="F104" s="10">
        <v>0</v>
      </c>
      <c r="G104" s="10">
        <v>52992709</v>
      </c>
      <c r="H104" s="12">
        <f t="shared" si="36"/>
        <v>439674321</v>
      </c>
      <c r="I104" s="10">
        <v>25033206785</v>
      </c>
      <c r="J104" s="13">
        <f t="shared" si="29"/>
        <v>0.12212240790042568</v>
      </c>
      <c r="K104" s="10">
        <v>28395320558</v>
      </c>
      <c r="L104" s="13">
        <f t="shared" si="37"/>
        <v>0.13633263514709423</v>
      </c>
      <c r="M104" s="13">
        <f t="shared" si="38"/>
        <v>0.13430615589428169</v>
      </c>
      <c r="N104" s="21">
        <f t="shared" si="39"/>
        <v>1.8662479577139345E-3</v>
      </c>
      <c r="O104" s="22">
        <f t="shared" si="40"/>
        <v>1.548404146739339E-2</v>
      </c>
      <c r="P104" s="25">
        <f t="shared" si="41"/>
        <v>114.80007467439204</v>
      </c>
      <c r="Q104" s="25">
        <f t="shared" si="42"/>
        <v>1.777569116718144</v>
      </c>
      <c r="R104" s="10">
        <v>114.8</v>
      </c>
      <c r="S104" s="10">
        <v>114.8</v>
      </c>
      <c r="T104" s="17">
        <v>139</v>
      </c>
      <c r="U104" s="10">
        <v>226985559</v>
      </c>
      <c r="V104" s="10">
        <v>247345837</v>
      </c>
    </row>
    <row r="105" spans="1:23">
      <c r="A105" s="90">
        <v>95</v>
      </c>
      <c r="B105" s="68" t="s">
        <v>242</v>
      </c>
      <c r="C105" s="68" t="s">
        <v>243</v>
      </c>
      <c r="D105" s="10">
        <v>107097003.64</v>
      </c>
      <c r="E105" s="10">
        <v>3388431.79</v>
      </c>
      <c r="F105" s="10">
        <v>0</v>
      </c>
      <c r="G105" s="10">
        <v>395116.75</v>
      </c>
      <c r="H105" s="12">
        <v>2993315.04</v>
      </c>
      <c r="I105" s="10">
        <v>104043158.08</v>
      </c>
      <c r="J105" s="13">
        <f t="shared" si="29"/>
        <v>5.0756585440374813E-4</v>
      </c>
      <c r="K105" s="10">
        <v>104912992.20999999</v>
      </c>
      <c r="L105" s="13">
        <f t="shared" si="37"/>
        <v>5.0371203452134207E-4</v>
      </c>
      <c r="M105" s="13">
        <f t="shared" si="38"/>
        <v>8.360320332944619E-3</v>
      </c>
      <c r="N105" s="21">
        <f t="shared" si="39"/>
        <v>3.7661374599736053E-3</v>
      </c>
      <c r="O105" s="22">
        <f t="shared" si="40"/>
        <v>2.8531404709231867E-2</v>
      </c>
      <c r="P105" s="25">
        <f t="shared" si="41"/>
        <v>115.72346647230178</v>
      </c>
      <c r="Q105" s="25">
        <f t="shared" si="42"/>
        <v>3.3017530562764672</v>
      </c>
      <c r="R105" s="10">
        <v>115.7235</v>
      </c>
      <c r="S105" s="10">
        <v>115.7235</v>
      </c>
      <c r="T105" s="17">
        <v>72</v>
      </c>
      <c r="U105" s="10">
        <v>907946.348</v>
      </c>
      <c r="V105" s="10">
        <v>906583.56</v>
      </c>
    </row>
    <row r="106" spans="1:23">
      <c r="A106" s="90">
        <v>96</v>
      </c>
      <c r="B106" s="68" t="s">
        <v>297</v>
      </c>
      <c r="C106" s="68" t="s">
        <v>296</v>
      </c>
      <c r="D106" s="10">
        <v>257665159.53</v>
      </c>
      <c r="E106" s="10">
        <v>3845826.47</v>
      </c>
      <c r="F106" s="10"/>
      <c r="G106" s="10">
        <v>526269.55000000005</v>
      </c>
      <c r="H106" s="12">
        <f t="shared" si="36"/>
        <v>3319556.92</v>
      </c>
      <c r="I106" s="10">
        <v>285070974.00999999</v>
      </c>
      <c r="J106" s="13">
        <f t="shared" si="29"/>
        <v>1.3906949304426028E-3</v>
      </c>
      <c r="K106" s="10">
        <v>295683387.32999998</v>
      </c>
      <c r="L106" s="13">
        <f t="shared" si="37"/>
        <v>1.4196457223146462E-3</v>
      </c>
      <c r="M106" s="13">
        <f t="shared" si="38"/>
        <v>3.7227267198475703E-2</v>
      </c>
      <c r="N106" s="21">
        <f t="shared" si="39"/>
        <v>1.7798414539016776E-3</v>
      </c>
      <c r="O106" s="22">
        <f t="shared" si="40"/>
        <v>1.1226727852299594E-2</v>
      </c>
      <c r="P106" s="25">
        <f t="shared" si="41"/>
        <v>1.2127006110986676</v>
      </c>
      <c r="Q106" s="25">
        <f t="shared" si="42"/>
        <v>1.3614659727122152E-2</v>
      </c>
      <c r="R106" s="10">
        <v>1.2126999999999999</v>
      </c>
      <c r="S106" s="10">
        <v>1.2126999999999999</v>
      </c>
      <c r="T106" s="17">
        <v>357</v>
      </c>
      <c r="U106" s="10">
        <v>239870862.5</v>
      </c>
      <c r="V106" s="10">
        <v>243822246.5</v>
      </c>
    </row>
    <row r="107" spans="1:23">
      <c r="A107" s="90">
        <v>97</v>
      </c>
      <c r="B107" s="67" t="s">
        <v>129</v>
      </c>
      <c r="C107" s="67" t="s">
        <v>94</v>
      </c>
      <c r="D107" s="10">
        <v>1942223685</v>
      </c>
      <c r="E107" s="10">
        <v>19414654.57</v>
      </c>
      <c r="F107" s="10">
        <v>0</v>
      </c>
      <c r="G107" s="10">
        <v>3407196.7</v>
      </c>
      <c r="H107" s="12">
        <f t="shared" si="36"/>
        <v>16007457.870000001</v>
      </c>
      <c r="I107" s="10">
        <v>1991710321.78</v>
      </c>
      <c r="J107" s="13">
        <f t="shared" si="29"/>
        <v>9.7163924072904296E-3</v>
      </c>
      <c r="K107" s="10">
        <v>1970874849.6700001</v>
      </c>
      <c r="L107" s="13">
        <f t="shared" si="37"/>
        <v>9.4626352694913759E-3</v>
      </c>
      <c r="M107" s="13">
        <f t="shared" si="38"/>
        <v>-1.0461095613231117E-2</v>
      </c>
      <c r="N107" s="21">
        <f t="shared" si="39"/>
        <v>1.7287737476433349E-3</v>
      </c>
      <c r="O107" s="22">
        <f t="shared" si="40"/>
        <v>8.1220062616762616E-3</v>
      </c>
      <c r="P107" s="25">
        <f t="shared" si="41"/>
        <v>28.872552516002099</v>
      </c>
      <c r="Q107" s="25">
        <f t="shared" si="42"/>
        <v>0.23450305232554575</v>
      </c>
      <c r="R107" s="10">
        <v>28.872599999999998</v>
      </c>
      <c r="S107" s="10">
        <v>28.872599999999998</v>
      </c>
      <c r="T107" s="16">
        <v>1302</v>
      </c>
      <c r="U107" s="10">
        <v>69683385.239999995</v>
      </c>
      <c r="V107" s="10">
        <v>68261191.959999993</v>
      </c>
    </row>
    <row r="108" spans="1:23">
      <c r="A108" s="119" t="s">
        <v>51</v>
      </c>
      <c r="B108" s="119"/>
      <c r="C108" s="119"/>
      <c r="D108" s="119"/>
      <c r="E108" s="119"/>
      <c r="F108" s="119"/>
      <c r="G108" s="119"/>
      <c r="H108" s="119"/>
      <c r="I108" s="40">
        <f>SUM(I71:I107)</f>
        <v>204984549644.74002</v>
      </c>
      <c r="J108" s="38">
        <f>(I108/$I$219)</f>
        <v>3.7647430085079051E-2</v>
      </c>
      <c r="K108" s="40">
        <f>SUM(K71:K107)</f>
        <v>208279701535.60999</v>
      </c>
      <c r="L108" s="38">
        <f>(K108/$K$219)</f>
        <v>3.6758613835311808E-2</v>
      </c>
      <c r="M108" s="38">
        <f t="shared" si="31"/>
        <v>1.6075123206021197E-2</v>
      </c>
      <c r="N108" s="21"/>
      <c r="O108" s="21"/>
      <c r="P108" s="41"/>
      <c r="Q108" s="41"/>
      <c r="R108" s="40"/>
      <c r="S108" s="40"/>
      <c r="T108" s="40">
        <f>SUM(T71:T107)</f>
        <v>45210</v>
      </c>
      <c r="U108" s="40"/>
      <c r="V108" s="10"/>
    </row>
    <row r="109" spans="1:23" ht="6.9" customHeight="1">
      <c r="A109" s="134"/>
      <c r="B109" s="134"/>
      <c r="C109" s="134"/>
      <c r="D109" s="134"/>
      <c r="E109" s="134"/>
      <c r="F109" s="134"/>
      <c r="G109" s="134"/>
      <c r="H109" s="134"/>
      <c r="I109" s="134"/>
      <c r="J109" s="134"/>
      <c r="K109" s="134"/>
      <c r="L109" s="134"/>
      <c r="M109" s="134"/>
      <c r="N109" s="134"/>
      <c r="O109" s="134"/>
      <c r="P109" s="134"/>
      <c r="Q109" s="134"/>
      <c r="R109" s="134"/>
      <c r="S109" s="134"/>
      <c r="T109" s="134"/>
      <c r="U109" s="134"/>
      <c r="V109" s="134"/>
      <c r="W109" s="5"/>
    </row>
    <row r="110" spans="1:23">
      <c r="A110" s="118" t="s">
        <v>130</v>
      </c>
      <c r="B110" s="118"/>
      <c r="C110" s="118"/>
      <c r="D110" s="118"/>
      <c r="E110" s="118"/>
      <c r="F110" s="118"/>
      <c r="G110" s="118"/>
      <c r="H110" s="118"/>
      <c r="I110" s="118"/>
      <c r="J110" s="118"/>
      <c r="K110" s="118"/>
      <c r="L110" s="118"/>
      <c r="M110" s="118"/>
      <c r="N110" s="118"/>
      <c r="O110" s="118"/>
      <c r="P110" s="118"/>
      <c r="Q110" s="118"/>
      <c r="R110" s="118"/>
      <c r="S110" s="118"/>
      <c r="T110" s="118"/>
      <c r="U110" s="118"/>
      <c r="V110" s="118"/>
    </row>
    <row r="111" spans="1:23">
      <c r="A111" s="128" t="s">
        <v>131</v>
      </c>
      <c r="B111" s="128"/>
      <c r="C111" s="128"/>
      <c r="D111" s="128"/>
      <c r="E111" s="128"/>
      <c r="F111" s="128"/>
      <c r="G111" s="128"/>
      <c r="H111" s="128"/>
      <c r="I111" s="128"/>
      <c r="J111" s="128"/>
      <c r="K111" s="128"/>
      <c r="L111" s="128"/>
      <c r="M111" s="128"/>
      <c r="N111" s="128"/>
      <c r="O111" s="128"/>
      <c r="P111" s="128"/>
      <c r="Q111" s="128"/>
      <c r="R111" s="128"/>
      <c r="S111" s="128"/>
      <c r="T111" s="128"/>
      <c r="U111" s="128"/>
      <c r="V111" s="128"/>
    </row>
    <row r="112" spans="1:23">
      <c r="A112" s="98">
        <v>98</v>
      </c>
      <c r="B112" s="19" t="s">
        <v>132</v>
      </c>
      <c r="C112" s="19" t="s">
        <v>22</v>
      </c>
      <c r="D112" s="17">
        <v>3125802585.7399998</v>
      </c>
      <c r="E112" s="17">
        <v>20336640.879999999</v>
      </c>
      <c r="F112" s="17">
        <v>160984628.43000001</v>
      </c>
      <c r="G112" s="17">
        <v>6131527.5499999998</v>
      </c>
      <c r="H112" s="12">
        <f t="shared" ref="H112:H128" si="43">(E112+F112)-G112</f>
        <v>175189741.75999999</v>
      </c>
      <c r="I112" s="31">
        <v>3122058169.0100002</v>
      </c>
      <c r="J112" s="13">
        <f t="shared" ref="J112:J128" si="44">(I112/$I$147)</f>
        <v>1.6000382756972088E-3</v>
      </c>
      <c r="K112" s="31">
        <v>3070005301.29</v>
      </c>
      <c r="L112" s="13">
        <f t="shared" ref="L112" si="45">(K112/$K$147)</f>
        <v>1.5821360132427906E-3</v>
      </c>
      <c r="M112" s="13">
        <f t="shared" ref="M112" si="46">((K112-I112)/I112)</f>
        <v>-1.6672613033506083E-2</v>
      </c>
      <c r="N112" s="21">
        <f t="shared" ref="N112" si="47">(G112/K112)</f>
        <v>1.9972367954620681E-3</v>
      </c>
      <c r="O112" s="22">
        <f t="shared" ref="O112" si="48">H112/K112</f>
        <v>5.706496392250078E-2</v>
      </c>
      <c r="P112" s="25">
        <f t="shared" ref="P112" si="49">K112/V112</f>
        <v>179442.22796079167</v>
      </c>
      <c r="Q112" s="25">
        <f t="shared" ref="Q112" si="50">H112/V112</f>
        <v>10239.864264755737</v>
      </c>
      <c r="R112" s="10">
        <f>113.1662*C230</f>
        <v>179498.83972888</v>
      </c>
      <c r="S112" s="10">
        <f>113.1662*C230</f>
        <v>179498.83972888</v>
      </c>
      <c r="T112" s="10">
        <v>166</v>
      </c>
      <c r="U112" s="10">
        <v>17360.68</v>
      </c>
      <c r="V112" s="10">
        <v>17108.599999999999</v>
      </c>
    </row>
    <row r="113" spans="1:24">
      <c r="A113" s="98">
        <v>99</v>
      </c>
      <c r="B113" s="68" t="s">
        <v>231</v>
      </c>
      <c r="C113" s="69" t="s">
        <v>55</v>
      </c>
      <c r="D113" s="17">
        <f>2806258.73*C230</f>
        <v>4451154019.6104517</v>
      </c>
      <c r="E113" s="17">
        <f>19226.08*FX_RATE</f>
        <v>30495492.934592001</v>
      </c>
      <c r="F113" s="17">
        <v>0</v>
      </c>
      <c r="G113" s="17">
        <f>4625.75*C230</f>
        <v>7337144.4643000001</v>
      </c>
      <c r="H113" s="12">
        <f t="shared" si="43"/>
        <v>23158348.470292002</v>
      </c>
      <c r="I113" s="31">
        <v>3488170565.5386477</v>
      </c>
      <c r="J113" s="13">
        <f t="shared" si="44"/>
        <v>1.7876689398109477E-3</v>
      </c>
      <c r="K113" s="31">
        <f>2844039.55*FX_RATE</f>
        <v>4511080157.9274197</v>
      </c>
      <c r="L113" s="13">
        <f t="shared" ref="L113:L128" si="51">(K113/$K$147)</f>
        <v>2.3247980625580537E-3</v>
      </c>
      <c r="M113" s="13">
        <f t="shared" ref="M113:M128" si="52">((K113-I113)/I113)</f>
        <v>0.293251024618635</v>
      </c>
      <c r="N113" s="21">
        <f t="shared" ref="N113:N128" si="53">(G113/K113)</f>
        <v>1.6264717556406698E-3</v>
      </c>
      <c r="O113" s="22">
        <f t="shared" ref="O113:O128" si="54">H113/K113</f>
        <v>5.1336592699633881E-3</v>
      </c>
      <c r="P113" s="25">
        <f t="shared" ref="P113:P128" si="55">K113/V113</f>
        <v>161592.30094705589</v>
      </c>
      <c r="Q113" s="25">
        <f t="shared" ref="Q113:Q128" si="56">H113/V113</f>
        <v>829.55981371156702</v>
      </c>
      <c r="R113" s="10">
        <f>100*C230</f>
        <v>158615.24</v>
      </c>
      <c r="S113" s="10">
        <f>100*C230</f>
        <v>158615.24</v>
      </c>
      <c r="T113" s="10">
        <f>58+9+1</f>
        <v>68</v>
      </c>
      <c r="U113" s="10">
        <v>20399.48</v>
      </c>
      <c r="V113" s="10">
        <v>27916.43</v>
      </c>
    </row>
    <row r="114" spans="1:24" ht="12.9" customHeight="1">
      <c r="A114" s="98">
        <v>100</v>
      </c>
      <c r="B114" s="19" t="s">
        <v>133</v>
      </c>
      <c r="C114" s="67" t="s">
        <v>26</v>
      </c>
      <c r="D114" s="17">
        <f>8633319.87*FX_RATE</f>
        <v>13693761031.768187</v>
      </c>
      <c r="E114" s="17">
        <f>72090.8*FX_RATE</f>
        <v>114346995.43792</v>
      </c>
      <c r="F114" s="17">
        <f>26052*C230</f>
        <v>41322442.3248</v>
      </c>
      <c r="G114" s="17">
        <f>17306.65*FX_RATE</f>
        <v>27450984.433460001</v>
      </c>
      <c r="H114" s="12">
        <f t="shared" si="43"/>
        <v>128218453.32925999</v>
      </c>
      <c r="I114" s="31">
        <v>16723020686.885101</v>
      </c>
      <c r="J114" s="13">
        <f t="shared" si="44"/>
        <v>8.5704595288745508E-3</v>
      </c>
      <c r="K114" s="31">
        <f>10577131*FX_RATE</f>
        <v>16776941720.764399</v>
      </c>
      <c r="L114" s="13">
        <f t="shared" si="51"/>
        <v>8.6460449033568219E-3</v>
      </c>
      <c r="M114" s="13">
        <f t="shared" si="52"/>
        <v>3.2243596948716572E-3</v>
      </c>
      <c r="N114" s="21">
        <f t="shared" si="53"/>
        <v>1.6362329255447438E-3</v>
      </c>
      <c r="O114" s="22">
        <f t="shared" si="54"/>
        <v>7.6425403070076378E-3</v>
      </c>
      <c r="P114" s="25">
        <f t="shared" si="55"/>
        <v>1856.1161181032965</v>
      </c>
      <c r="Q114" s="25">
        <f t="shared" si="56"/>
        <v>14.185442247090991</v>
      </c>
      <c r="R114" s="10">
        <f>1.1702*FX_RATE</f>
        <v>1856.1155384799997</v>
      </c>
      <c r="S114" s="10">
        <f>1.1702*FX_RATE</f>
        <v>1856.1155384799997</v>
      </c>
      <c r="T114" s="10">
        <v>306</v>
      </c>
      <c r="U114" s="10">
        <v>9019531</v>
      </c>
      <c r="V114" s="10">
        <v>9038735</v>
      </c>
    </row>
    <row r="115" spans="1:24" ht="12.9" customHeight="1">
      <c r="A115" s="98">
        <v>101</v>
      </c>
      <c r="B115" s="19" t="s">
        <v>271</v>
      </c>
      <c r="C115" s="67" t="s">
        <v>26</v>
      </c>
      <c r="D115" s="17">
        <f>1676534.46*FX_RATE</f>
        <v>2659239157.4117041</v>
      </c>
      <c r="E115" s="17">
        <f>13779.52*FX_RATE</f>
        <v>21856418.718848001</v>
      </c>
      <c r="F115" s="17"/>
      <c r="G115" s="17">
        <f>3510.89*FX_RATE</f>
        <v>5568806.5996359996</v>
      </c>
      <c r="H115" s="12">
        <f t="shared" si="43"/>
        <v>16287612.119212002</v>
      </c>
      <c r="I115" s="31">
        <v>3206172469.7583003</v>
      </c>
      <c r="J115" s="13">
        <f t="shared" si="44"/>
        <v>1.6431464093209535E-3</v>
      </c>
      <c r="K115" s="31">
        <f>2043890*FX_RATE</f>
        <v>3241921028.836</v>
      </c>
      <c r="L115" s="13">
        <f t="shared" si="51"/>
        <v>1.6707332751690392E-3</v>
      </c>
      <c r="M115" s="13">
        <f t="shared" si="52"/>
        <v>1.1149917671270689E-2</v>
      </c>
      <c r="N115" s="21">
        <f t="shared" si="53"/>
        <v>1.71774899823376E-3</v>
      </c>
      <c r="O115" s="22">
        <f t="shared" si="54"/>
        <v>5.0240619602816205E-3</v>
      </c>
      <c r="P115" s="25">
        <f t="shared" si="55"/>
        <v>1618.1505959082053</v>
      </c>
      <c r="Q115" s="25">
        <f t="shared" si="56"/>
        <v>8.1296888549094497</v>
      </c>
      <c r="R115" s="10">
        <f>1.0202*FX_RATE</f>
        <v>1618.19267848</v>
      </c>
      <c r="S115" s="10">
        <f>1.0202*FX_RATE</f>
        <v>1618.19267848</v>
      </c>
      <c r="T115" s="10">
        <v>70</v>
      </c>
      <c r="U115" s="10">
        <v>1978374</v>
      </c>
      <c r="V115" s="10">
        <v>2003473</v>
      </c>
    </row>
    <row r="116" spans="1:24" ht="12.9" customHeight="1">
      <c r="A116" s="98">
        <v>102</v>
      </c>
      <c r="B116" s="69" t="s">
        <v>236</v>
      </c>
      <c r="C116" s="69" t="s">
        <v>103</v>
      </c>
      <c r="D116" s="17">
        <f>9166672.87*C230</f>
        <v>14539740172.765387</v>
      </c>
      <c r="E116" s="17">
        <f>74338.21*FX_RATE</f>
        <v>117911730.20320401</v>
      </c>
      <c r="F116" s="17">
        <v>0</v>
      </c>
      <c r="G116" s="17">
        <f>14907.14*FX_RATE</f>
        <v>23644995.888135999</v>
      </c>
      <c r="H116" s="12">
        <f t="shared" si="43"/>
        <v>94266734.315068007</v>
      </c>
      <c r="I116" s="31">
        <v>11932235994.472471</v>
      </c>
      <c r="J116" s="13">
        <f t="shared" si="44"/>
        <v>6.1152077483110946E-3</v>
      </c>
      <c r="K116" s="31">
        <f>9212790.21*FX_RATE</f>
        <v>14612889302.288006</v>
      </c>
      <c r="L116" s="13">
        <f t="shared" si="51"/>
        <v>7.5307942995946767E-3</v>
      </c>
      <c r="M116" s="13">
        <f t="shared" si="52"/>
        <v>0.2246564105048986</v>
      </c>
      <c r="N116" s="21">
        <f t="shared" si="53"/>
        <v>1.6180917680963885E-3</v>
      </c>
      <c r="O116" s="22">
        <f t="shared" si="54"/>
        <v>6.4509305699255682E-3</v>
      </c>
      <c r="P116" s="25">
        <f t="shared" si="55"/>
        <v>1706.3335175795157</v>
      </c>
      <c r="Q116" s="25">
        <f t="shared" si="56"/>
        <v>11.007439051042326</v>
      </c>
      <c r="R116" s="10">
        <f>1.0758*FX_RATE</f>
        <v>1706.3827519200001</v>
      </c>
      <c r="S116" s="10">
        <f>1.0758*FX_RATE</f>
        <v>1706.3827519200001</v>
      </c>
      <c r="T116" s="10">
        <v>438</v>
      </c>
      <c r="U116" s="10">
        <v>6997712.8600000003</v>
      </c>
      <c r="V116" s="10">
        <v>8563911.5399999991</v>
      </c>
    </row>
    <row r="117" spans="1:24" ht="12.9" customHeight="1">
      <c r="A117" s="98">
        <v>103</v>
      </c>
      <c r="B117" s="68" t="s">
        <v>237</v>
      </c>
      <c r="C117" s="69" t="s">
        <v>215</v>
      </c>
      <c r="D117" s="17">
        <f>496446.79*FX_RATE</f>
        <v>787440267.43079591</v>
      </c>
      <c r="E117" s="17">
        <f>6272.16*FX_RATE</f>
        <v>9948601.6371839996</v>
      </c>
      <c r="F117" s="17">
        <v>0</v>
      </c>
      <c r="G117" s="17">
        <f>1006.38*FX_RATE</f>
        <v>1596272.052312</v>
      </c>
      <c r="H117" s="12">
        <f t="shared" si="43"/>
        <v>8352329.5848719999</v>
      </c>
      <c r="I117" s="31">
        <v>724253864.69942999</v>
      </c>
      <c r="J117" s="13">
        <f t="shared" si="44"/>
        <v>3.7117626966193907E-4</v>
      </c>
      <c r="K117" s="31">
        <f>495440.41*FX_RATE</f>
        <v>785843995.37848389</v>
      </c>
      <c r="L117" s="13">
        <f t="shared" si="51"/>
        <v>4.0498695079010689E-4</v>
      </c>
      <c r="M117" s="13">
        <f t="shared" si="52"/>
        <v>8.5039422888843266E-2</v>
      </c>
      <c r="N117" s="21">
        <f t="shared" si="53"/>
        <v>2.0312836411547457E-3</v>
      </c>
      <c r="O117" s="22">
        <f t="shared" si="54"/>
        <v>1.0628483050060452E-2</v>
      </c>
      <c r="P117" s="25">
        <f t="shared" si="55"/>
        <v>1757.7162406269713</v>
      </c>
      <c r="Q117" s="25">
        <f t="shared" si="56"/>
        <v>18.681857270319743</v>
      </c>
      <c r="R117" s="10">
        <f>1*FX_RATE</f>
        <v>1586.1523999999999</v>
      </c>
      <c r="S117" s="10">
        <f>1*C230</f>
        <v>1586.1523999999999</v>
      </c>
      <c r="T117" s="10">
        <v>21</v>
      </c>
      <c r="U117" s="10">
        <v>421775.69</v>
      </c>
      <c r="V117" s="10">
        <v>447082.4</v>
      </c>
    </row>
    <row r="118" spans="1:24" ht="12.9" customHeight="1">
      <c r="A118" s="98">
        <v>104</v>
      </c>
      <c r="B118" s="68" t="s">
        <v>238</v>
      </c>
      <c r="C118" s="69" t="s">
        <v>48</v>
      </c>
      <c r="D118" s="17">
        <f>285306.87*FX_RATE</f>
        <v>452540176.58698797</v>
      </c>
      <c r="E118" s="17">
        <f>2211.02*FX_RATE</f>
        <v>3507014.6794479997</v>
      </c>
      <c r="F118" s="17">
        <v>0</v>
      </c>
      <c r="G118" s="17">
        <f>241.48*FX_RATE</f>
        <v>383024.08155199996</v>
      </c>
      <c r="H118" s="12">
        <f t="shared" si="43"/>
        <v>3123990.5978959999</v>
      </c>
      <c r="I118" s="31">
        <v>472898851.31820595</v>
      </c>
      <c r="J118" s="13">
        <f t="shared" si="44"/>
        <v>2.4235815660100514E-4</v>
      </c>
      <c r="K118" s="31">
        <f>285774.07*FX_RATE</f>
        <v>453281226.98826802</v>
      </c>
      <c r="L118" s="13">
        <f t="shared" si="51"/>
        <v>2.3359977686151717E-4</v>
      </c>
      <c r="M118" s="13">
        <f t="shared" si="52"/>
        <v>-4.148376397035812E-2</v>
      </c>
      <c r="N118" s="21">
        <f t="shared" si="53"/>
        <v>8.450031873080716E-4</v>
      </c>
      <c r="O118" s="22">
        <f t="shared" si="54"/>
        <v>6.8919478943628432E-3</v>
      </c>
      <c r="P118" s="25">
        <f t="shared" si="55"/>
        <v>2061.8731626121471</v>
      </c>
      <c r="Q118" s="25">
        <f t="shared" si="56"/>
        <v>14.210322401508044</v>
      </c>
      <c r="R118" s="10">
        <f>1.2999*FX_RATE</f>
        <v>2061.8395047600002</v>
      </c>
      <c r="S118" s="10">
        <f>1.2999*FX_RATE</f>
        <v>2061.8395047600002</v>
      </c>
      <c r="T118" s="10">
        <v>36</v>
      </c>
      <c r="U118" s="10">
        <v>229261.03</v>
      </c>
      <c r="V118" s="10">
        <v>219839.53</v>
      </c>
    </row>
    <row r="119" spans="1:24" ht="12.9" customHeight="1">
      <c r="A119" s="98">
        <v>105</v>
      </c>
      <c r="B119" s="68" t="s">
        <v>239</v>
      </c>
      <c r="C119" s="69" t="s">
        <v>169</v>
      </c>
      <c r="D119" s="17">
        <f>361739.12*C230</f>
        <v>573773373.36188793</v>
      </c>
      <c r="E119" s="17">
        <f>4305.03*C230</f>
        <v>6828433.666571999</v>
      </c>
      <c r="F119" s="17">
        <v>0</v>
      </c>
      <c r="G119" s="17">
        <f>612.09*C230</f>
        <v>970868.02251599997</v>
      </c>
      <c r="H119" s="12">
        <f t="shared" si="43"/>
        <v>5857565.6440559989</v>
      </c>
      <c r="I119" s="31">
        <v>834177319.04707205</v>
      </c>
      <c r="J119" s="13">
        <f t="shared" si="44"/>
        <v>4.2751145780766601E-4</v>
      </c>
      <c r="K119" s="31">
        <f>522441.92*C230</f>
        <v>828672505.26860797</v>
      </c>
      <c r="L119" s="13">
        <f t="shared" si="51"/>
        <v>4.2705874586558042E-4</v>
      </c>
      <c r="M119" s="13">
        <f t="shared" si="52"/>
        <v>-6.5990930858112265E-3</v>
      </c>
      <c r="N119" s="21">
        <f t="shared" si="53"/>
        <v>1.1715943467936109E-3</v>
      </c>
      <c r="O119" s="22">
        <f t="shared" si="54"/>
        <v>7.0686134833896934E-3</v>
      </c>
      <c r="P119" s="25">
        <f t="shared" si="55"/>
        <v>167071.06961060644</v>
      </c>
      <c r="Q119" s="25">
        <f t="shared" si="56"/>
        <v>1180.9608153338706</v>
      </c>
      <c r="R119" s="10">
        <f>107.69*FX_RATE</f>
        <v>170812.75195599999</v>
      </c>
      <c r="S119" s="10">
        <f>106.06*FX_RATE</f>
        <v>168227.32354399998</v>
      </c>
      <c r="T119" s="10">
        <v>64</v>
      </c>
      <c r="U119" s="10">
        <v>4926</v>
      </c>
      <c r="V119" s="10">
        <v>4960</v>
      </c>
    </row>
    <row r="120" spans="1:24" ht="15" customHeight="1">
      <c r="A120" s="98">
        <v>106</v>
      </c>
      <c r="B120" s="19" t="s">
        <v>134</v>
      </c>
      <c r="C120" s="67" t="s">
        <v>69</v>
      </c>
      <c r="D120" s="17">
        <f>685841.1*FX_RATE</f>
        <v>1087848506.7836399</v>
      </c>
      <c r="E120" s="17">
        <f>22683.66*FX_RATE</f>
        <v>35979741.749784</v>
      </c>
      <c r="F120" s="17">
        <v>0</v>
      </c>
      <c r="G120" s="17">
        <f>5663.88*FX_RATE</f>
        <v>8983776.8553119991</v>
      </c>
      <c r="H120" s="12">
        <f t="shared" si="43"/>
        <v>26995964.894472003</v>
      </c>
      <c r="I120" s="31">
        <v>5253237588.4994707</v>
      </c>
      <c r="J120" s="13">
        <f t="shared" si="44"/>
        <v>2.6922564404351858E-3</v>
      </c>
      <c r="K120" s="31">
        <f>3342284.65*FX_RATE</f>
        <v>5301372819.0806599</v>
      </c>
      <c r="L120" s="13">
        <f t="shared" si="51"/>
        <v>2.7320776459798259E-3</v>
      </c>
      <c r="M120" s="13">
        <f t="shared" si="52"/>
        <v>9.1629646994394656E-3</v>
      </c>
      <c r="N120" s="21">
        <f t="shared" si="53"/>
        <v>1.6946132939335372E-3</v>
      </c>
      <c r="O120" s="22">
        <f t="shared" si="54"/>
        <v>5.092259272411164E-3</v>
      </c>
      <c r="P120" s="25">
        <f t="shared" si="55"/>
        <v>181619.48303516029</v>
      </c>
      <c r="Q120" s="25">
        <f t="shared" si="56"/>
        <v>924.85349653631715</v>
      </c>
      <c r="R120" s="10">
        <f>114.59*FX_RATE</f>
        <v>181757.20351600001</v>
      </c>
      <c r="S120" s="10">
        <f>114.59*FX_RATE</f>
        <v>181757.20351600001</v>
      </c>
      <c r="T120" s="10">
        <v>61</v>
      </c>
      <c r="U120" s="10">
        <v>28880.720000000001</v>
      </c>
      <c r="V120" s="10">
        <v>29189.45</v>
      </c>
    </row>
    <row r="121" spans="1:24" ht="15" customHeight="1">
      <c r="A121" s="98">
        <v>107</v>
      </c>
      <c r="B121" s="19" t="s">
        <v>135</v>
      </c>
      <c r="C121" s="19" t="s">
        <v>136</v>
      </c>
      <c r="D121" s="17">
        <v>55431355350.199997</v>
      </c>
      <c r="E121" s="17">
        <v>424885073.87</v>
      </c>
      <c r="F121" s="17">
        <v>0</v>
      </c>
      <c r="G121" s="17">
        <v>89738683.859999999</v>
      </c>
      <c r="H121" s="12">
        <f t="shared" si="43"/>
        <v>335146390.00999999</v>
      </c>
      <c r="I121" s="31">
        <v>54881764272.93</v>
      </c>
      <c r="J121" s="13">
        <f t="shared" si="44"/>
        <v>2.8126613509678759E-2</v>
      </c>
      <c r="K121" s="31">
        <v>55111238396.620003</v>
      </c>
      <c r="L121" s="13">
        <f t="shared" si="51"/>
        <v>2.8401734343931957E-2</v>
      </c>
      <c r="M121" s="13">
        <f t="shared" si="52"/>
        <v>4.181245386879604E-3</v>
      </c>
      <c r="N121" s="21">
        <f t="shared" si="53"/>
        <v>1.6283191318289033E-3</v>
      </c>
      <c r="O121" s="22">
        <f t="shared" si="54"/>
        <v>6.0812712571988708E-3</v>
      </c>
      <c r="P121" s="25">
        <f t="shared" si="55"/>
        <v>206974.24201892057</v>
      </c>
      <c r="Q121" s="25">
        <f t="shared" si="56"/>
        <v>1258.6665089701844</v>
      </c>
      <c r="R121" s="10">
        <f>130.25*C230</f>
        <v>206596.35009999998</v>
      </c>
      <c r="S121" s="10">
        <f>130.25*C230</f>
        <v>206596.35009999998</v>
      </c>
      <c r="T121" s="10">
        <v>2417</v>
      </c>
      <c r="U121" s="10">
        <v>264227</v>
      </c>
      <c r="V121" s="10">
        <v>266271</v>
      </c>
    </row>
    <row r="122" spans="1:24">
      <c r="A122" s="98">
        <v>108</v>
      </c>
      <c r="B122" s="19" t="s">
        <v>137</v>
      </c>
      <c r="C122" s="19" t="s">
        <v>136</v>
      </c>
      <c r="D122" s="17">
        <v>151119087380.98999</v>
      </c>
      <c r="E122" s="17">
        <v>1411934823.03</v>
      </c>
      <c r="F122" s="17">
        <v>0</v>
      </c>
      <c r="G122" s="17">
        <v>241043456.00999999</v>
      </c>
      <c r="H122" s="12">
        <f t="shared" si="43"/>
        <v>1170891367.02</v>
      </c>
      <c r="I122" s="31">
        <v>145171325031.10001</v>
      </c>
      <c r="J122" s="13">
        <f t="shared" si="44"/>
        <v>7.4399535181337073E-2</v>
      </c>
      <c r="K122" s="31">
        <v>150139768095.14001</v>
      </c>
      <c r="L122" s="13">
        <f t="shared" si="51"/>
        <v>7.7374958936855337E-2</v>
      </c>
      <c r="M122" s="13">
        <f t="shared" si="52"/>
        <v>3.4224686335098342E-2</v>
      </c>
      <c r="N122" s="21">
        <f t="shared" si="53"/>
        <v>1.6054604257631226E-3</v>
      </c>
      <c r="O122" s="22">
        <f t="shared" si="54"/>
        <v>7.7986757397815734E-3</v>
      </c>
      <c r="P122" s="25">
        <f t="shared" si="55"/>
        <v>195089.57722531623</v>
      </c>
      <c r="Q122" s="25">
        <f t="shared" si="56"/>
        <v>1521.4403529913175</v>
      </c>
      <c r="R122" s="10">
        <f>122.78*C230</f>
        <v>194747.79167199999</v>
      </c>
      <c r="S122" s="10">
        <f>122.78*C230</f>
        <v>194747.79167199999</v>
      </c>
      <c r="T122" s="10">
        <f>793+33</f>
        <v>826</v>
      </c>
      <c r="U122" s="10">
        <v>742875</v>
      </c>
      <c r="V122" s="10">
        <v>769594</v>
      </c>
    </row>
    <row r="123" spans="1:24">
      <c r="A123" s="98">
        <v>109</v>
      </c>
      <c r="B123" s="68" t="s">
        <v>273</v>
      </c>
      <c r="C123" s="69" t="s">
        <v>274</v>
      </c>
      <c r="D123" s="17">
        <f>484248*FX_RATE</f>
        <v>768091127.39520001</v>
      </c>
      <c r="E123" s="17">
        <f>4931.6*FX_RATE</f>
        <v>7822269.1758400006</v>
      </c>
      <c r="F123" s="17">
        <v>0</v>
      </c>
      <c r="G123" s="17">
        <f>540.63*FX_RATE</f>
        <v>857521.57201200002</v>
      </c>
      <c r="H123" s="12">
        <f>(E123+F123)-G123</f>
        <v>6964747.6038280008</v>
      </c>
      <c r="I123" s="49">
        <v>577636403.171067</v>
      </c>
      <c r="J123" s="13">
        <f t="shared" si="44"/>
        <v>2.9603559718518856E-4</v>
      </c>
      <c r="K123" s="31">
        <f>494046.95*FX_RATE</f>
        <v>783633755.45518005</v>
      </c>
      <c r="L123" s="13">
        <f t="shared" si="51"/>
        <v>4.0384789732362045E-4</v>
      </c>
      <c r="M123" s="13">
        <f t="shared" si="52"/>
        <v>0.35662113944558121</v>
      </c>
      <c r="N123" s="21">
        <f t="shared" si="53"/>
        <v>1.0942887108198926E-3</v>
      </c>
      <c r="O123" s="22">
        <f t="shared" si="54"/>
        <v>8.8877585419766276E-3</v>
      </c>
      <c r="P123" s="25">
        <f t="shared" si="55"/>
        <v>164559.79744963881</v>
      </c>
      <c r="Q123" s="25">
        <f t="shared" si="56"/>
        <v>1462.5677454489712</v>
      </c>
      <c r="R123" s="10">
        <f>1*FX_RATE</f>
        <v>1586.1523999999999</v>
      </c>
      <c r="S123" s="10">
        <f>1*FX_RATE</f>
        <v>1586.1523999999999</v>
      </c>
      <c r="T123" s="10">
        <v>8</v>
      </c>
      <c r="U123" s="10">
        <v>3726</v>
      </c>
      <c r="V123" s="10">
        <v>4762</v>
      </c>
    </row>
    <row r="124" spans="1:24" s="3" customFormat="1">
      <c r="A124" s="98">
        <v>110</v>
      </c>
      <c r="B124" s="68" t="s">
        <v>138</v>
      </c>
      <c r="C124" s="69" t="s">
        <v>139</v>
      </c>
      <c r="D124" s="17">
        <f>160828.02*FX_RATE</f>
        <v>255097749.91024798</v>
      </c>
      <c r="E124" s="17">
        <v>0</v>
      </c>
      <c r="F124" s="17">
        <v>0</v>
      </c>
      <c r="G124" s="17">
        <f>3386.4*FX_RATE</f>
        <v>5371346.4873599997</v>
      </c>
      <c r="H124" s="12">
        <f t="shared" si="43"/>
        <v>-5371346.4873599997</v>
      </c>
      <c r="I124" s="31">
        <v>258938759.69882101</v>
      </c>
      <c r="J124" s="13">
        <f t="shared" si="44"/>
        <v>1.3270474288153738E-4</v>
      </c>
      <c r="K124" s="31">
        <f>162312.06*FX_RATE</f>
        <v>257451663.51794398</v>
      </c>
      <c r="L124" s="13">
        <f t="shared" si="51"/>
        <v>1.3267845119024682E-4</v>
      </c>
      <c r="M124" s="13">
        <f t="shared" si="52"/>
        <v>-5.7430420328216355E-3</v>
      </c>
      <c r="N124" s="21">
        <f t="shared" si="53"/>
        <v>2.0863514393200357E-2</v>
      </c>
      <c r="O124" s="22">
        <f t="shared" si="54"/>
        <v>-2.0863514393200357E-2</v>
      </c>
      <c r="P124" s="25">
        <f t="shared" si="55"/>
        <v>201654.00134561289</v>
      </c>
      <c r="Q124" s="25">
        <f t="shared" si="56"/>
        <v>-4207.2111595206388</v>
      </c>
      <c r="R124" s="10">
        <f>127.1343*FX_RATE</f>
        <v>201654.37506731998</v>
      </c>
      <c r="S124" s="10">
        <f>127.1343*FX_RATE</f>
        <v>201654.37506731998</v>
      </c>
      <c r="T124" s="10">
        <v>7</v>
      </c>
      <c r="U124" s="10">
        <v>1286.9000000000001</v>
      </c>
      <c r="V124" s="10">
        <v>1276.7</v>
      </c>
      <c r="W124" s="6"/>
      <c r="X124" s="6"/>
    </row>
    <row r="125" spans="1:24">
      <c r="A125" s="98">
        <v>111</v>
      </c>
      <c r="B125" s="19" t="s">
        <v>140</v>
      </c>
      <c r="C125" s="19" t="s">
        <v>141</v>
      </c>
      <c r="D125" s="17">
        <f>11161808.51*C230</f>
        <v>17704329356.476925</v>
      </c>
      <c r="E125" s="17">
        <f>63963.84*C230</f>
        <v>101456398.32921599</v>
      </c>
      <c r="F125" s="17">
        <v>0</v>
      </c>
      <c r="G125" s="17">
        <f>18382.81*C230</f>
        <v>29157938.200244002</v>
      </c>
      <c r="H125" s="12">
        <f t="shared" si="43"/>
        <v>72298460.128971994</v>
      </c>
      <c r="I125" s="31">
        <v>17166052494.607456</v>
      </c>
      <c r="J125" s="13">
        <f t="shared" si="44"/>
        <v>8.7975109838228996E-3</v>
      </c>
      <c r="K125" s="31">
        <f>11103407.47*C230</f>
        <v>17611696406.71843</v>
      </c>
      <c r="L125" s="13">
        <f t="shared" si="51"/>
        <v>9.0762381184356679E-3</v>
      </c>
      <c r="M125" s="13">
        <f t="shared" si="52"/>
        <v>2.5960768339195511E-2</v>
      </c>
      <c r="N125" s="21">
        <f t="shared" si="53"/>
        <v>1.6556007738766701E-3</v>
      </c>
      <c r="O125" s="22">
        <f t="shared" si="54"/>
        <v>4.1051389065162348E-3</v>
      </c>
      <c r="P125" s="25">
        <f t="shared" si="55"/>
        <v>2242.847350507283</v>
      </c>
      <c r="Q125" s="25">
        <f t="shared" si="56"/>
        <v>9.2071999199443013</v>
      </c>
      <c r="R125" s="10">
        <f>1.41*FX_RATE</f>
        <v>2236.4748839999997</v>
      </c>
      <c r="S125" s="10">
        <f>1.41*FX_RATE</f>
        <v>2236.4748839999997</v>
      </c>
      <c r="T125" s="10">
        <v>114</v>
      </c>
      <c r="U125" s="10">
        <v>7632997</v>
      </c>
      <c r="V125" s="10">
        <v>7852383</v>
      </c>
    </row>
    <row r="126" spans="1:24">
      <c r="A126" s="98">
        <v>112</v>
      </c>
      <c r="B126" s="19" t="s">
        <v>142</v>
      </c>
      <c r="C126" s="19" t="s">
        <v>50</v>
      </c>
      <c r="D126" s="17">
        <f>109807546*FX_RATE</f>
        <v>174171502626.01041</v>
      </c>
      <c r="E126" s="17">
        <f>699245*FX_RATE</f>
        <v>1109109134.938</v>
      </c>
      <c r="F126" s="17">
        <v>0</v>
      </c>
      <c r="G126" s="17">
        <f>159476*FX_RATE</f>
        <v>252953240.1424</v>
      </c>
      <c r="H126" s="12">
        <f t="shared" si="43"/>
        <v>856155894.79559994</v>
      </c>
      <c r="I126" s="31">
        <v>178099763718.44699</v>
      </c>
      <c r="J126" s="13">
        <f t="shared" si="44"/>
        <v>9.1275185603766851E-2</v>
      </c>
      <c r="K126" s="31">
        <f>112141513*FX_RATE</f>
        <v>177873529984.58121</v>
      </c>
      <c r="L126" s="13">
        <f t="shared" si="51"/>
        <v>9.1667632454242351E-2</v>
      </c>
      <c r="M126" s="13">
        <f t="shared" si="52"/>
        <v>-1.2702640876235544E-3</v>
      </c>
      <c r="N126" s="21">
        <f t="shared" si="53"/>
        <v>1.4220960261165727E-3</v>
      </c>
      <c r="O126" s="22">
        <f t="shared" si="54"/>
        <v>4.8132844435583811E-3</v>
      </c>
      <c r="P126" s="25">
        <f t="shared" si="55"/>
        <v>203017.44336246597</v>
      </c>
      <c r="Q126" s="25">
        <f t="shared" si="56"/>
        <v>977.18070190755213</v>
      </c>
      <c r="R126" s="10">
        <f>128*FX_RATE</f>
        <v>203027.50719999999</v>
      </c>
      <c r="S126" s="10">
        <f>128*FX_RATE</f>
        <v>203027.50719999999</v>
      </c>
      <c r="T126" s="10">
        <v>660</v>
      </c>
      <c r="U126" s="10">
        <v>875980</v>
      </c>
      <c r="V126" s="10">
        <v>876149</v>
      </c>
    </row>
    <row r="127" spans="1:24" ht="13.95" customHeight="1">
      <c r="A127" s="98">
        <v>113</v>
      </c>
      <c r="B127" s="19" t="s">
        <v>143</v>
      </c>
      <c r="C127" s="19" t="s">
        <v>144</v>
      </c>
      <c r="D127" s="17">
        <v>28946550981.650002</v>
      </c>
      <c r="E127" s="17">
        <v>233509372.31999999</v>
      </c>
      <c r="F127" s="17">
        <v>18186164.510000002</v>
      </c>
      <c r="G127" s="17">
        <v>56066068.43</v>
      </c>
      <c r="H127" s="12">
        <f t="shared" si="43"/>
        <v>195629468.39999998</v>
      </c>
      <c r="I127" s="31">
        <v>30300728256.040001</v>
      </c>
      <c r="J127" s="13">
        <f t="shared" si="44"/>
        <v>1.5528962744002174E-2</v>
      </c>
      <c r="K127" s="31">
        <v>30695475632.709999</v>
      </c>
      <c r="L127" s="13">
        <f t="shared" si="51"/>
        <v>1.581900116645418E-2</v>
      </c>
      <c r="M127" s="13">
        <f t="shared" si="52"/>
        <v>1.3027653109007739E-2</v>
      </c>
      <c r="N127" s="21">
        <f t="shared" si="53"/>
        <v>1.8265254821545867E-3</v>
      </c>
      <c r="O127" s="22">
        <f t="shared" si="54"/>
        <v>6.3732346336908188E-3</v>
      </c>
      <c r="P127" s="25">
        <f t="shared" si="55"/>
        <v>166061.52016137933</v>
      </c>
      <c r="Q127" s="25">
        <f t="shared" si="56"/>
        <v>1058.3490316158488</v>
      </c>
      <c r="R127" s="10">
        <v>166061.51999999999</v>
      </c>
      <c r="S127" s="10">
        <v>166061.51999999999</v>
      </c>
      <c r="T127" s="10">
        <f>579+35+32</f>
        <v>646</v>
      </c>
      <c r="U127" s="10">
        <v>182410</v>
      </c>
      <c r="V127" s="10">
        <v>184844</v>
      </c>
    </row>
    <row r="128" spans="1:24">
      <c r="A128" s="98">
        <v>114</v>
      </c>
      <c r="B128" s="19" t="s">
        <v>145</v>
      </c>
      <c r="C128" s="19" t="s">
        <v>42</v>
      </c>
      <c r="D128" s="17">
        <f>1784429.55*FX_RATE</f>
        <v>2830377213.36342</v>
      </c>
      <c r="E128" s="17">
        <f>48829.83*FX_RATE</f>
        <v>77451552.046092004</v>
      </c>
      <c r="F128" s="17">
        <v>0</v>
      </c>
      <c r="G128" s="17">
        <f>2133.8*FX_RATE</f>
        <v>3384531.9911200004</v>
      </c>
      <c r="H128" s="12">
        <f t="shared" si="43"/>
        <v>74067020.054972008</v>
      </c>
      <c r="I128" s="31">
        <v>2827429272.9516149</v>
      </c>
      <c r="J128" s="13">
        <f t="shared" si="44"/>
        <v>1.4490425269635084E-3</v>
      </c>
      <c r="K128" s="31">
        <f>1789104.5*FX_RATE</f>
        <v>2837792396.5257998</v>
      </c>
      <c r="L128" s="13">
        <f t="shared" si="51"/>
        <v>1.462464428567421E-3</v>
      </c>
      <c r="M128" s="13">
        <f t="shared" si="52"/>
        <v>3.6652105406571691E-3</v>
      </c>
      <c r="N128" s="21">
        <f t="shared" si="53"/>
        <v>1.1926637041044838E-3</v>
      </c>
      <c r="O128" s="22">
        <f t="shared" si="54"/>
        <v>2.6100225000831426E-2</v>
      </c>
      <c r="P128" s="25">
        <f t="shared" si="55"/>
        <v>228864.56134517363</v>
      </c>
      <c r="Q128" s="25">
        <f t="shared" si="56"/>
        <v>5973.4165458256184</v>
      </c>
      <c r="R128" s="10">
        <f>2*FX_RATE</f>
        <v>3172.3047999999999</v>
      </c>
      <c r="S128" s="10">
        <f>2*FX_RATE</f>
        <v>3172.3047999999999</v>
      </c>
      <c r="T128" s="10">
        <v>50</v>
      </c>
      <c r="U128" s="10">
        <v>12398.44</v>
      </c>
      <c r="V128" s="10">
        <v>12399.44</v>
      </c>
    </row>
    <row r="129" spans="1:22" ht="8.1" customHeight="1">
      <c r="A129" s="121"/>
      <c r="B129" s="121"/>
      <c r="C129" s="121"/>
      <c r="D129" s="121"/>
      <c r="E129" s="121"/>
      <c r="F129" s="121"/>
      <c r="G129" s="121"/>
      <c r="H129" s="121"/>
      <c r="I129" s="121"/>
      <c r="J129" s="121"/>
      <c r="K129" s="121"/>
      <c r="L129" s="121"/>
      <c r="M129" s="121"/>
      <c r="N129" s="121"/>
      <c r="O129" s="121"/>
      <c r="P129" s="121"/>
      <c r="Q129" s="121"/>
      <c r="R129" s="121"/>
      <c r="S129" s="121"/>
      <c r="T129" s="121"/>
      <c r="U129" s="121"/>
      <c r="V129" s="121"/>
    </row>
    <row r="130" spans="1:22">
      <c r="A130" s="128" t="s">
        <v>146</v>
      </c>
      <c r="B130" s="128"/>
      <c r="C130" s="128"/>
      <c r="D130" s="128"/>
      <c r="E130" s="128"/>
      <c r="F130" s="128"/>
      <c r="G130" s="128"/>
      <c r="H130" s="128"/>
      <c r="I130" s="128"/>
      <c r="J130" s="128"/>
      <c r="K130" s="128"/>
      <c r="L130" s="128"/>
      <c r="M130" s="128"/>
      <c r="N130" s="128"/>
      <c r="O130" s="128"/>
      <c r="P130" s="128"/>
      <c r="Q130" s="128"/>
      <c r="R130" s="128"/>
      <c r="S130" s="128"/>
      <c r="T130" s="128"/>
      <c r="U130" s="128"/>
      <c r="V130" s="128"/>
    </row>
    <row r="131" spans="1:22">
      <c r="A131" s="90">
        <v>115</v>
      </c>
      <c r="B131" s="19" t="s">
        <v>147</v>
      </c>
      <c r="C131" s="67" t="s">
        <v>101</v>
      </c>
      <c r="D131" s="47">
        <f>1006027.3*FX_RATE</f>
        <v>1595712616.3605201</v>
      </c>
      <c r="E131" s="10">
        <f>7570.54*FX_RATE</f>
        <v>12008030.190296</v>
      </c>
      <c r="F131" s="10">
        <v>0</v>
      </c>
      <c r="G131" s="10">
        <f>1925.84*FX_RATE</f>
        <v>3054675.7380159996</v>
      </c>
      <c r="H131" s="12">
        <f>(E131+F131)-G131</f>
        <v>8953354.4522799999</v>
      </c>
      <c r="I131" s="10">
        <v>1839416068.524663</v>
      </c>
      <c r="J131" s="13">
        <f t="shared" ref="J131:J146" si="57">(I131/$I$147)</f>
        <v>9.4269099268743111E-4</v>
      </c>
      <c r="K131" s="10">
        <f>1153871.18*FX_RATE</f>
        <v>1830215541.4478319</v>
      </c>
      <c r="L131" s="13">
        <f t="shared" ref="L131" si="58">(K131/$K$147)</f>
        <v>9.4320681430241546E-4</v>
      </c>
      <c r="M131" s="13">
        <f t="shared" ref="M131:M147" si="59">((K131-I131)/I131)</f>
        <v>-5.0018738197772474E-3</v>
      </c>
      <c r="N131" s="21">
        <f t="shared" ref="N131" si="60">(G131/K131)</f>
        <v>1.6690251332908755E-3</v>
      </c>
      <c r="O131" s="22">
        <f t="shared" ref="O131" si="61">H131/K131</f>
        <v>4.8919672298254301E-3</v>
      </c>
      <c r="P131" s="23">
        <f t="shared" ref="P131" si="62">K131/V131</f>
        <v>164765.53307956713</v>
      </c>
      <c r="Q131" s="23">
        <f t="shared" ref="Q131" si="63">H131/V131</f>
        <v>806.02758842996036</v>
      </c>
      <c r="R131" s="10">
        <f>103.88*FX_RATE</f>
        <v>164769.51131199999</v>
      </c>
      <c r="S131" s="10">
        <f>103.88*FX_RATE</f>
        <v>164769.51131199999</v>
      </c>
      <c r="T131" s="10">
        <v>23</v>
      </c>
      <c r="U131" s="17">
        <v>11488</v>
      </c>
      <c r="V131" s="17">
        <v>11108</v>
      </c>
    </row>
    <row r="132" spans="1:22">
      <c r="A132" s="90">
        <v>116</v>
      </c>
      <c r="B132" s="19" t="s">
        <v>148</v>
      </c>
      <c r="C132" s="67" t="s">
        <v>28</v>
      </c>
      <c r="D132" s="47">
        <f>9157542.51*FX_RATE</f>
        <v>14525258030.338524</v>
      </c>
      <c r="E132" s="10">
        <f>74134.6*FX_RATE</f>
        <v>117588773.71304001</v>
      </c>
      <c r="F132" s="10">
        <v>0</v>
      </c>
      <c r="G132" s="10">
        <f>14140.93*FX_RATE</f>
        <v>22429670.057732001</v>
      </c>
      <c r="H132" s="12">
        <f t="shared" ref="H132:H146" si="64">(E132+F132)-G132</f>
        <v>95159103.655308008</v>
      </c>
      <c r="I132" s="10">
        <v>18827462556.997623</v>
      </c>
      <c r="J132" s="13">
        <f t="shared" si="57"/>
        <v>9.6489748411717532E-3</v>
      </c>
      <c r="K132" s="10">
        <f>12380006.7*FX_RATE</f>
        <v>19636577339.221077</v>
      </c>
      <c r="L132" s="13">
        <f t="shared" ref="L132:L146" si="65">(K132/$K$147)</f>
        <v>1.0119766298825106E-2</v>
      </c>
      <c r="M132" s="13">
        <f t="shared" ref="M132:M146" si="66">((K132-I132)/I132)</f>
        <v>4.2975243199871824E-2</v>
      </c>
      <c r="N132" s="21">
        <f t="shared" ref="N132:N146" si="67">(G132/K132)</f>
        <v>1.142239284894733E-3</v>
      </c>
      <c r="O132" s="22">
        <f t="shared" ref="O132:O146" si="68">H132/K132</f>
        <v>4.8460127246942458E-3</v>
      </c>
      <c r="P132" s="23">
        <f t="shared" ref="P132:P146" si="69">K132/V132</f>
        <v>218142.55166870455</v>
      </c>
      <c r="Q132" s="23">
        <f t="shared" ref="Q132:Q146" si="70">H132/V132</f>
        <v>1057.1215811838142</v>
      </c>
      <c r="R132" s="10">
        <f>136.88*FX_RATE</f>
        <v>217112.54051199998</v>
      </c>
      <c r="S132" s="10">
        <f>137.53*FX_RATE</f>
        <v>218143.53957199998</v>
      </c>
      <c r="T132" s="10">
        <v>574</v>
      </c>
      <c r="U132" s="17">
        <v>86143.77</v>
      </c>
      <c r="V132" s="17">
        <v>90017.18</v>
      </c>
    </row>
    <row r="133" spans="1:22" ht="14.1" customHeight="1">
      <c r="A133" s="90">
        <v>117</v>
      </c>
      <c r="B133" s="19" t="s">
        <v>149</v>
      </c>
      <c r="C133" s="19" t="s">
        <v>62</v>
      </c>
      <c r="D133" s="47">
        <f>10511613.34*C230</f>
        <v>16673020727.113014</v>
      </c>
      <c r="E133" s="10">
        <f>84747.91*C230</f>
        <v>134423100.84148401</v>
      </c>
      <c r="F133" s="10">
        <v>0</v>
      </c>
      <c r="G133" s="10">
        <f>19345.29*C230</f>
        <v>30684578.162195999</v>
      </c>
      <c r="H133" s="12">
        <f t="shared" si="64"/>
        <v>103738522.67928801</v>
      </c>
      <c r="I133" s="10">
        <v>18070502001.005558</v>
      </c>
      <c r="J133" s="13">
        <f t="shared" si="57"/>
        <v>9.2610365654526936E-3</v>
      </c>
      <c r="K133" s="10">
        <f>10711454.81*C230</f>
        <v>16989999754.373045</v>
      </c>
      <c r="L133" s="13">
        <f t="shared" si="65"/>
        <v>8.7558449703929574E-3</v>
      </c>
      <c r="M133" s="13">
        <f t="shared" si="66"/>
        <v>-5.9793703936525229E-2</v>
      </c>
      <c r="N133" s="21">
        <f t="shared" si="67"/>
        <v>1.8060375871575935E-3</v>
      </c>
      <c r="O133" s="22">
        <f t="shared" si="68"/>
        <v>6.1058578092437477E-3</v>
      </c>
      <c r="P133" s="23">
        <f t="shared" si="69"/>
        <v>181425.99073513347</v>
      </c>
      <c r="Q133" s="23">
        <f t="shared" si="70"/>
        <v>1107.7613023298986</v>
      </c>
      <c r="R133" s="10">
        <f>114.28*FX_RATE</f>
        <v>181265.49627199999</v>
      </c>
      <c r="S133" s="10">
        <f>114.28*FX_RATE</f>
        <v>181265.49627199999</v>
      </c>
      <c r="T133" s="10">
        <f>375+36+17</f>
        <v>428</v>
      </c>
      <c r="U133" s="17">
        <v>94759</v>
      </c>
      <c r="V133" s="17">
        <v>93647</v>
      </c>
    </row>
    <row r="134" spans="1:22" ht="14.1" customHeight="1">
      <c r="A134" s="90">
        <v>118</v>
      </c>
      <c r="B134" s="68" t="s">
        <v>257</v>
      </c>
      <c r="C134" s="69" t="s">
        <v>64</v>
      </c>
      <c r="D134" s="47">
        <v>88167889.599999994</v>
      </c>
      <c r="E134" s="10">
        <v>604870.81000000006</v>
      </c>
      <c r="F134" s="10">
        <v>0</v>
      </c>
      <c r="G134" s="10">
        <v>481104.39</v>
      </c>
      <c r="H134" s="12">
        <f t="shared" si="64"/>
        <v>123766.42000000004</v>
      </c>
      <c r="I134" s="10">
        <v>195992181.08000001</v>
      </c>
      <c r="J134" s="13">
        <f t="shared" si="57"/>
        <v>1.0044495473472195E-4</v>
      </c>
      <c r="K134" s="10">
        <v>194612695.55000001</v>
      </c>
      <c r="L134" s="13">
        <f t="shared" si="65"/>
        <v>1.0029420930788962E-4</v>
      </c>
      <c r="M134" s="13">
        <f t="shared" si="66"/>
        <v>-7.0384722614874277E-3</v>
      </c>
      <c r="N134" s="21">
        <f t="shared" si="67"/>
        <v>2.4721120512736249E-3</v>
      </c>
      <c r="O134" s="22">
        <f t="shared" si="68"/>
        <v>6.3596272406700157E-4</v>
      </c>
      <c r="P134" s="23">
        <f t="shared" si="69"/>
        <v>1539.8887100868023</v>
      </c>
      <c r="Q134" s="23">
        <f t="shared" si="70"/>
        <v>0.97931181882682405</v>
      </c>
      <c r="R134" s="10">
        <f>0.9874*FX_RATE</f>
        <v>1566.16687976</v>
      </c>
      <c r="S134" s="10">
        <f>0.9874*FX_RATE</f>
        <v>1566.16687976</v>
      </c>
      <c r="T134" s="10">
        <v>3</v>
      </c>
      <c r="U134" s="17">
        <v>60215.795700000002</v>
      </c>
      <c r="V134" s="17">
        <v>126381.01330000001</v>
      </c>
    </row>
    <row r="135" spans="1:22" ht="15" customHeight="1">
      <c r="A135" s="90">
        <v>119</v>
      </c>
      <c r="B135" s="19" t="s">
        <v>150</v>
      </c>
      <c r="C135" s="67" t="s">
        <v>60</v>
      </c>
      <c r="D135" s="47">
        <f>5803703.17*FX_RATE</f>
        <v>9205557711.9831066</v>
      </c>
      <c r="E135" s="10">
        <f>33042.74*FX_RATE</f>
        <v>52410821.353575997</v>
      </c>
      <c r="F135" s="10">
        <v>0</v>
      </c>
      <c r="G135" s="10">
        <f>7692.34*FX_RATE</f>
        <v>12201223.552616</v>
      </c>
      <c r="H135" s="12">
        <f t="shared" si="64"/>
        <v>40209597.800959997</v>
      </c>
      <c r="I135" s="10">
        <v>9655113874.718502</v>
      </c>
      <c r="J135" s="13">
        <f t="shared" si="57"/>
        <v>4.9481947226702383E-3</v>
      </c>
      <c r="K135" s="10">
        <f>5820352.61*FX_RATE</f>
        <v>9231966261.1977634</v>
      </c>
      <c r="L135" s="13">
        <f t="shared" si="65"/>
        <v>4.7577202191624625E-3</v>
      </c>
      <c r="M135" s="13">
        <f t="shared" si="66"/>
        <v>-4.3826268546529761E-2</v>
      </c>
      <c r="N135" s="21">
        <f t="shared" si="67"/>
        <v>1.3216278317543378E-3</v>
      </c>
      <c r="O135" s="22">
        <f t="shared" si="68"/>
        <v>4.3554749511988755E-3</v>
      </c>
      <c r="P135" s="23">
        <f t="shared" si="69"/>
        <v>2054.3304751958044</v>
      </c>
      <c r="Q135" s="23">
        <f t="shared" si="70"/>
        <v>8.9475849261998093</v>
      </c>
      <c r="R135" s="10">
        <f>1.3*FX_RATE</f>
        <v>2061.9981200000002</v>
      </c>
      <c r="S135" s="10">
        <f>1.3*FX_RATE</f>
        <v>2061.9981200000002</v>
      </c>
      <c r="T135" s="10">
        <v>257</v>
      </c>
      <c r="U135" s="17">
        <v>4692467.84</v>
      </c>
      <c r="V135" s="17">
        <v>4493905.13</v>
      </c>
    </row>
    <row r="136" spans="1:22" ht="15" customHeight="1">
      <c r="A136" s="90">
        <v>120</v>
      </c>
      <c r="B136" s="67" t="s">
        <v>269</v>
      </c>
      <c r="C136" s="67" t="s">
        <v>36</v>
      </c>
      <c r="D136" s="47">
        <f>63335849.18*C230</f>
        <v>100460309182.89503</v>
      </c>
      <c r="E136" s="10">
        <f>413961*C230</f>
        <v>656605233.65639997</v>
      </c>
      <c r="F136" s="10">
        <v>0</v>
      </c>
      <c r="G136" s="10">
        <f>78245.73*C230</f>
        <v>124109652.42925198</v>
      </c>
      <c r="H136" s="12">
        <f t="shared" ref="H136" si="71">(E136+F136)-G136</f>
        <v>532495581.227148</v>
      </c>
      <c r="I136" s="10">
        <v>97821488226.143707</v>
      </c>
      <c r="J136" s="13">
        <f t="shared" si="57"/>
        <v>5.0132994606287382E-2</v>
      </c>
      <c r="K136" s="10">
        <f>62686174*C230</f>
        <v>99429825336.917603</v>
      </c>
      <c r="L136" s="13">
        <f t="shared" si="65"/>
        <v>5.1241444889321967E-2</v>
      </c>
      <c r="M136" s="13">
        <f t="shared" si="66"/>
        <v>1.644155225951727E-2</v>
      </c>
      <c r="N136" s="21">
        <f t="shared" si="67"/>
        <v>1.2482135215334722E-3</v>
      </c>
      <c r="O136" s="22">
        <f t="shared" si="68"/>
        <v>5.3554914677038674E-3</v>
      </c>
      <c r="P136" s="23">
        <f t="shared" si="69"/>
        <v>158615.24000000002</v>
      </c>
      <c r="Q136" s="23">
        <f t="shared" si="70"/>
        <v>849.46256446780114</v>
      </c>
      <c r="R136" s="10">
        <f>100*C230</f>
        <v>158615.24</v>
      </c>
      <c r="S136" s="10">
        <f>100*C230</f>
        <v>158615.24</v>
      </c>
      <c r="T136" s="10">
        <v>1853</v>
      </c>
      <c r="U136" s="17">
        <v>612652.06999999995</v>
      </c>
      <c r="V136" s="17">
        <v>626861.74</v>
      </c>
    </row>
    <row r="137" spans="1:22" ht="15" customHeight="1">
      <c r="A137" s="90">
        <v>121</v>
      </c>
      <c r="B137" s="68" t="s">
        <v>233</v>
      </c>
      <c r="C137" s="69" t="s">
        <v>234</v>
      </c>
      <c r="D137" s="47">
        <f>1036232.84*FX_RATE</f>
        <v>1643623206.1248159</v>
      </c>
      <c r="E137" s="10">
        <f>26336.67*FX_RATE</f>
        <v>41773972.328507997</v>
      </c>
      <c r="F137" s="10">
        <v>0</v>
      </c>
      <c r="G137" s="10">
        <f>10383.43*FX_RATE</f>
        <v>16469702.414732</v>
      </c>
      <c r="H137" s="12">
        <f t="shared" si="64"/>
        <v>25304269.913775995</v>
      </c>
      <c r="I137" s="10">
        <v>1604473566.104358</v>
      </c>
      <c r="J137" s="13">
        <f t="shared" si="57"/>
        <v>8.2228420456542293E-4</v>
      </c>
      <c r="K137" s="10">
        <f>996117.04*FX_RATE</f>
        <v>1579993433.6768961</v>
      </c>
      <c r="L137" s="13">
        <f t="shared" si="65"/>
        <v>8.1425413534529209E-4</v>
      </c>
      <c r="M137" s="13">
        <f t="shared" si="66"/>
        <v>-1.5257423334744818E-2</v>
      </c>
      <c r="N137" s="21">
        <f t="shared" si="67"/>
        <v>1.0423905608521664E-2</v>
      </c>
      <c r="O137" s="22">
        <f t="shared" si="68"/>
        <v>1.6015427263446871E-2</v>
      </c>
      <c r="P137" s="23">
        <f t="shared" si="69"/>
        <v>1754.9256900028799</v>
      </c>
      <c r="Q137" s="23">
        <f t="shared" si="70"/>
        <v>28.105884740995432</v>
      </c>
      <c r="R137" s="10">
        <f>1.1064*FX_RATE</f>
        <v>1754.91901536</v>
      </c>
      <c r="S137" s="10">
        <f>1.151*FX_RATE</f>
        <v>1825.6614124</v>
      </c>
      <c r="T137" s="10">
        <v>53</v>
      </c>
      <c r="U137" s="17">
        <v>935725.76</v>
      </c>
      <c r="V137" s="17">
        <v>900319.28</v>
      </c>
    </row>
    <row r="138" spans="1:22" ht="15" customHeight="1">
      <c r="A138" s="90">
        <v>122</v>
      </c>
      <c r="B138" s="68" t="s">
        <v>235</v>
      </c>
      <c r="C138" s="69" t="s">
        <v>40</v>
      </c>
      <c r="D138" s="47">
        <f>2594443.02*FX_RATE</f>
        <v>4115182022.8362479</v>
      </c>
      <c r="E138" s="10">
        <f>26967.58*FX_RATE</f>
        <v>42774691.739192002</v>
      </c>
      <c r="F138" s="10">
        <f>310.47*FX_RATE</f>
        <v>492452.73562800005</v>
      </c>
      <c r="G138" s="10">
        <f>5760.46*FX_RATE</f>
        <v>9136967.4541039988</v>
      </c>
      <c r="H138" s="12">
        <f t="shared" si="64"/>
        <v>34130177.020716004</v>
      </c>
      <c r="I138" s="10">
        <v>5131953898.7749109</v>
      </c>
      <c r="J138" s="13">
        <f t="shared" si="57"/>
        <v>2.6300991918280546E-3</v>
      </c>
      <c r="K138" s="10">
        <f>3258107.42*FX_RATE</f>
        <v>5167854903.6908073</v>
      </c>
      <c r="L138" s="13">
        <f t="shared" si="65"/>
        <v>2.6632688063785957E-3</v>
      </c>
      <c r="M138" s="13">
        <f t="shared" si="66"/>
        <v>6.9955821162903716E-3</v>
      </c>
      <c r="N138" s="21">
        <f t="shared" si="67"/>
        <v>1.7680386977541704E-3</v>
      </c>
      <c r="O138" s="22">
        <f t="shared" si="68"/>
        <v>6.6043218427709188E-3</v>
      </c>
      <c r="P138" s="23">
        <f t="shared" si="69"/>
        <v>16922.115719710968</v>
      </c>
      <c r="Q138" s="23">
        <f t="shared" si="70"/>
        <v>111.75909847358427</v>
      </c>
      <c r="R138" s="10">
        <f>10.67*FX_RATE</f>
        <v>16924.246107999999</v>
      </c>
      <c r="S138" s="10">
        <f>10.67*FX_RATE</f>
        <v>16924.246107999999</v>
      </c>
      <c r="T138" s="10">
        <v>131</v>
      </c>
      <c r="U138" s="17">
        <v>303240.65000000002</v>
      </c>
      <c r="V138" s="17">
        <v>305390.59000000003</v>
      </c>
    </row>
    <row r="139" spans="1:22">
      <c r="A139" s="90">
        <v>123</v>
      </c>
      <c r="B139" s="67" t="s">
        <v>151</v>
      </c>
      <c r="C139" s="67" t="s">
        <v>44</v>
      </c>
      <c r="D139" s="47">
        <f>15994140.44*FX_RATE</f>
        <v>25369144244.843056</v>
      </c>
      <c r="E139" s="10">
        <f>126119.71*FX_RATE</f>
        <v>200045080.70380402</v>
      </c>
      <c r="F139" s="10">
        <f>515494.69*FX_RATE</f>
        <v>817653139.73075593</v>
      </c>
      <c r="G139" s="10">
        <f>27126.51*FX_RATE</f>
        <v>43026778.940123998</v>
      </c>
      <c r="H139" s="12">
        <f t="shared" si="64"/>
        <v>974671441.49443591</v>
      </c>
      <c r="I139" s="10">
        <v>25091425246.457413</v>
      </c>
      <c r="J139" s="13">
        <f t="shared" si="57"/>
        <v>1.2859222542563248E-2</v>
      </c>
      <c r="K139" s="10">
        <f>15933414.61*FX_RATE</f>
        <v>25272823823.846561</v>
      </c>
      <c r="L139" s="13">
        <f t="shared" si="65"/>
        <v>1.3024422046192074E-2</v>
      </c>
      <c r="M139" s="13">
        <f t="shared" si="66"/>
        <v>7.2295047255141421E-3</v>
      </c>
      <c r="N139" s="21">
        <f t="shared" si="67"/>
        <v>1.7024919431253035E-3</v>
      </c>
      <c r="O139" s="22">
        <f t="shared" si="68"/>
        <v>3.8565988837969488E-2</v>
      </c>
      <c r="P139" s="23">
        <f t="shared" si="69"/>
        <v>1663.043660503952</v>
      </c>
      <c r="Q139" s="23">
        <f t="shared" si="70"/>
        <v>64.136923248051332</v>
      </c>
      <c r="R139" s="10">
        <f>1.05*FX_RATE</f>
        <v>1665.46002</v>
      </c>
      <c r="S139" s="10">
        <f>1.05*FX_RATE</f>
        <v>1665.46002</v>
      </c>
      <c r="T139" s="10">
        <v>520</v>
      </c>
      <c r="U139" s="17">
        <v>15457105</v>
      </c>
      <c r="V139" s="17">
        <v>15196729</v>
      </c>
    </row>
    <row r="140" spans="1:22">
      <c r="A140" s="90">
        <v>124</v>
      </c>
      <c r="B140" s="19" t="s">
        <v>152</v>
      </c>
      <c r="C140" s="67" t="s">
        <v>83</v>
      </c>
      <c r="D140" s="47">
        <f>254888.75*FX_RATE</f>
        <v>404292402.54549998</v>
      </c>
      <c r="E140" s="10">
        <f>1726.22*FX_RATE</f>
        <v>2738047.9959279997</v>
      </c>
      <c r="F140" s="10">
        <f>13027.95*FX_RATE</f>
        <v>20664314.15958</v>
      </c>
      <c r="G140" s="10">
        <f>252.28*FX_RATE</f>
        <v>400154.52747199999</v>
      </c>
      <c r="H140" s="12">
        <f t="shared" si="64"/>
        <v>23002207.628036</v>
      </c>
      <c r="I140" s="10">
        <v>415760453.695701</v>
      </c>
      <c r="J140" s="13">
        <f t="shared" si="57"/>
        <v>2.130750304518839E-4</v>
      </c>
      <c r="K140" s="10">
        <f>268380.94*FX_RATE</f>
        <v>425693072.09525597</v>
      </c>
      <c r="L140" s="13">
        <f t="shared" si="65"/>
        <v>2.193821423262237E-4</v>
      </c>
      <c r="M140" s="13">
        <f t="shared" si="66"/>
        <v>2.3890243315023763E-2</v>
      </c>
      <c r="N140" s="21">
        <f t="shared" si="67"/>
        <v>9.4000714059649698E-4</v>
      </c>
      <c r="O140" s="22">
        <f t="shared" si="68"/>
        <v>5.403472392637123E-2</v>
      </c>
      <c r="P140" s="23">
        <f t="shared" si="69"/>
        <v>1627.9827603696426</v>
      </c>
      <c r="Q140" s="23">
        <f t="shared" si="70"/>
        <v>87.967599013465403</v>
      </c>
      <c r="R140" s="10">
        <f>1.0083*FX_RATE</f>
        <v>1599.3174649199998</v>
      </c>
      <c r="S140" s="10">
        <f>1.0083*FX_RATE</f>
        <v>1599.3174649199998</v>
      </c>
      <c r="T140" s="10">
        <v>2</v>
      </c>
      <c r="U140" s="17">
        <v>261485</v>
      </c>
      <c r="V140" s="17">
        <v>261485</v>
      </c>
    </row>
    <row r="141" spans="1:22">
      <c r="A141" s="90">
        <v>125</v>
      </c>
      <c r="B141" s="19" t="s">
        <v>309</v>
      </c>
      <c r="C141" s="67" t="s">
        <v>304</v>
      </c>
      <c r="D141" s="47">
        <f>339155.7*FX_RATE</f>
        <v>537952627.52867997</v>
      </c>
      <c r="E141" s="10">
        <f>2483.2*FX_RATE</f>
        <v>3938733.6396799996</v>
      </c>
      <c r="F141" s="10">
        <v>0</v>
      </c>
      <c r="G141" s="10">
        <v>0</v>
      </c>
      <c r="H141" s="12">
        <f t="shared" si="64"/>
        <v>3938733.6396799996</v>
      </c>
      <c r="I141" s="10">
        <v>663421622.64542103</v>
      </c>
      <c r="J141" s="13">
        <f t="shared" si="57"/>
        <v>3.4000006780604726E-4</v>
      </c>
      <c r="K141" s="10">
        <f>419169.86*FX_RATE</f>
        <v>664867279.44666398</v>
      </c>
      <c r="L141" s="13">
        <f t="shared" si="65"/>
        <v>3.4264125420152146E-4</v>
      </c>
      <c r="M141" s="13">
        <f t="shared" si="66"/>
        <v>2.1790920764359948E-3</v>
      </c>
      <c r="N141" s="21">
        <f t="shared" si="67"/>
        <v>0</v>
      </c>
      <c r="O141" s="22">
        <f t="shared" si="68"/>
        <v>5.9240900574292245E-3</v>
      </c>
      <c r="P141" s="23">
        <f t="shared" si="69"/>
        <v>1606.1731090648693</v>
      </c>
      <c r="Q141" s="23">
        <f t="shared" si="70"/>
        <v>9.5151141459213768</v>
      </c>
      <c r="R141" s="10">
        <f>1.0128*FX_RATE</f>
        <v>1606.4551507199999</v>
      </c>
      <c r="S141" s="10">
        <f>1.0128*FX_RATE</f>
        <v>1606.4551507199999</v>
      </c>
      <c r="T141" s="10">
        <v>5</v>
      </c>
      <c r="U141" s="17">
        <v>413944.97</v>
      </c>
      <c r="V141" s="17">
        <v>413944.97</v>
      </c>
    </row>
    <row r="142" spans="1:22">
      <c r="A142" s="90">
        <v>126</v>
      </c>
      <c r="B142" s="19" t="s">
        <v>153</v>
      </c>
      <c r="C142" s="19" t="s">
        <v>46</v>
      </c>
      <c r="D142" s="47">
        <f>669844469.39*FX_RATE</f>
        <v>1062475412749.6749</v>
      </c>
      <c r="E142" s="10">
        <f>5222999.1*FX_RATE</f>
        <v>8284472557.6628389</v>
      </c>
      <c r="F142" s="10">
        <v>0</v>
      </c>
      <c r="G142" s="10">
        <f>1126797.45*FX_RATE</f>
        <v>1787272479.6313798</v>
      </c>
      <c r="H142" s="12">
        <f t="shared" si="64"/>
        <v>6497200078.0314589</v>
      </c>
      <c r="I142" s="10">
        <v>1076625356508.1462</v>
      </c>
      <c r="J142" s="13">
        <f t="shared" si="57"/>
        <v>0.55176479288514801</v>
      </c>
      <c r="K142" s="10">
        <f>678042361.74*FX_RATE</f>
        <v>1075478519375.5691</v>
      </c>
      <c r="L142" s="13">
        <f t="shared" si="65"/>
        <v>0.55425093118182511</v>
      </c>
      <c r="M142" s="13">
        <f t="shared" si="66"/>
        <v>-1.0652146781093121E-3</v>
      </c>
      <c r="N142" s="21">
        <f t="shared" si="67"/>
        <v>1.6618393091375582E-3</v>
      </c>
      <c r="O142" s="22">
        <f t="shared" si="68"/>
        <v>6.0412178960150519E-3</v>
      </c>
      <c r="P142" s="23">
        <f t="shared" si="69"/>
        <v>2568.5187922617292</v>
      </c>
      <c r="Q142" s="23">
        <f t="shared" si="70"/>
        <v>15.516981694062526</v>
      </c>
      <c r="R142" s="10">
        <f>1.6193*FX_RATE</f>
        <v>2568.4565813199997</v>
      </c>
      <c r="S142" s="10">
        <f>1.6193*FX_RATE</f>
        <v>2568.4565813199997</v>
      </c>
      <c r="T142" s="10">
        <v>10980</v>
      </c>
      <c r="U142" s="17">
        <v>418843764.26999998</v>
      </c>
      <c r="V142" s="17">
        <v>418715456.79000002</v>
      </c>
    </row>
    <row r="143" spans="1:22">
      <c r="A143" s="90">
        <v>127</v>
      </c>
      <c r="B143" s="19" t="s">
        <v>307</v>
      </c>
      <c r="C143" s="19" t="s">
        <v>306</v>
      </c>
      <c r="D143" s="47">
        <v>454941676.83999997</v>
      </c>
      <c r="E143" s="10">
        <v>6806374.9299999997</v>
      </c>
      <c r="F143" s="10"/>
      <c r="G143" s="10">
        <v>2789297.57</v>
      </c>
      <c r="H143" s="12">
        <f t="shared" si="64"/>
        <v>4017077.36</v>
      </c>
      <c r="I143" s="10">
        <v>480005429.44</v>
      </c>
      <c r="J143" s="13">
        <f t="shared" si="57"/>
        <v>2.460002402485717E-4</v>
      </c>
      <c r="K143" s="10">
        <v>514812814.06999999</v>
      </c>
      <c r="L143" s="13">
        <f t="shared" si="65"/>
        <v>2.6531025626462648E-4</v>
      </c>
      <c r="M143" s="13">
        <f t="shared" si="66"/>
        <v>7.2514564409423762E-2</v>
      </c>
      <c r="N143" s="21">
        <f t="shared" si="67"/>
        <v>5.4180810845565596E-3</v>
      </c>
      <c r="O143" s="22">
        <f t="shared" si="68"/>
        <v>7.802986348070565E-3</v>
      </c>
      <c r="P143" s="23">
        <f t="shared" si="69"/>
        <v>162939.16648309564</v>
      </c>
      <c r="Q143" s="23">
        <f t="shared" si="70"/>
        <v>1271.4120916335921</v>
      </c>
      <c r="R143" s="10">
        <v>2944.74</v>
      </c>
      <c r="S143" s="10">
        <v>3159.54</v>
      </c>
      <c r="T143" s="10">
        <v>20</v>
      </c>
      <c r="U143" s="17">
        <v>2944.74</v>
      </c>
      <c r="V143" s="17">
        <v>3159.54</v>
      </c>
    </row>
    <row r="144" spans="1:22">
      <c r="A144" s="90">
        <v>128</v>
      </c>
      <c r="B144" s="19" t="s">
        <v>154</v>
      </c>
      <c r="C144" s="19" t="s">
        <v>50</v>
      </c>
      <c r="D144" s="47">
        <f>75970694*FX_RATE</f>
        <v>120501098617.76559</v>
      </c>
      <c r="E144" s="10">
        <f>1030495*FX_RATE</f>
        <v>1634522117.438</v>
      </c>
      <c r="F144" s="10">
        <v>0</v>
      </c>
      <c r="G144" s="10">
        <f>253934*FX_RATE</f>
        <v>402778023.54159999</v>
      </c>
      <c r="H144" s="12">
        <f t="shared" si="64"/>
        <v>1231744093.8964</v>
      </c>
      <c r="I144" s="10">
        <v>216826565289.74011</v>
      </c>
      <c r="J144" s="13">
        <f t="shared" si="57"/>
        <v>0.11112246629330269</v>
      </c>
      <c r="K144" s="10">
        <f>123597953*FX_RATE</f>
        <v>196045189786.0372</v>
      </c>
      <c r="L144" s="13">
        <f t="shared" si="65"/>
        <v>0.10103244930983515</v>
      </c>
      <c r="M144" s="13">
        <f t="shared" si="66"/>
        <v>-9.5843309033343121E-2</v>
      </c>
      <c r="N144" s="21">
        <f t="shared" si="67"/>
        <v>2.0545162264944631E-3</v>
      </c>
      <c r="O144" s="22">
        <f t="shared" si="68"/>
        <v>6.2829600422265892E-3</v>
      </c>
      <c r="P144" s="23">
        <f t="shared" si="69"/>
        <v>1913.9546579607988</v>
      </c>
      <c r="Q144" s="23">
        <f t="shared" si="70"/>
        <v>12.025300638601157</v>
      </c>
      <c r="R144" s="10">
        <f>1.21*FX_RATE</f>
        <v>1919.2444039999998</v>
      </c>
      <c r="S144" s="10">
        <f>1.21*FX_RATE</f>
        <v>1919.2444039999998</v>
      </c>
      <c r="T144" s="10">
        <v>385</v>
      </c>
      <c r="U144" s="17">
        <v>112126338</v>
      </c>
      <c r="V144" s="17">
        <v>102429380.43000001</v>
      </c>
    </row>
    <row r="145" spans="1:22">
      <c r="A145" s="90">
        <v>129</v>
      </c>
      <c r="B145" s="19" t="s">
        <v>232</v>
      </c>
      <c r="C145" s="67" t="s">
        <v>212</v>
      </c>
      <c r="D145" s="47">
        <f>771103.66*FX_RATE</f>
        <v>1223087920.9577839</v>
      </c>
      <c r="E145" s="10">
        <f>5735.85*FX_RATE</f>
        <v>9097932.2435400002</v>
      </c>
      <c r="F145" s="10">
        <v>0</v>
      </c>
      <c r="G145" s="10">
        <f>1350.12*FX_RATE</f>
        <v>2141496.0782879996</v>
      </c>
      <c r="H145" s="12">
        <f t="shared" ref="H145" si="72">(E145+F145)-G145</f>
        <v>6956436.1652520001</v>
      </c>
      <c r="I145" s="10">
        <v>1068038815.0460039</v>
      </c>
      <c r="J145" s="13">
        <f t="shared" si="57"/>
        <v>5.4736423586425006E-4</v>
      </c>
      <c r="K145" s="10">
        <f>773532.05*FX_RATE</f>
        <v>1226939717.58442</v>
      </c>
      <c r="L145" s="13">
        <f t="shared" si="65"/>
        <v>6.3230689290750533E-4</v>
      </c>
      <c r="M145" s="13">
        <f t="shared" si="66"/>
        <v>0.14877820946195822</v>
      </c>
      <c r="N145" s="21">
        <f t="shared" si="67"/>
        <v>1.7453963284391381E-3</v>
      </c>
      <c r="O145" s="22">
        <f t="shared" si="68"/>
        <v>5.6697456815137789E-3</v>
      </c>
      <c r="P145" s="23">
        <f t="shared" si="69"/>
        <v>167611.73880578895</v>
      </c>
      <c r="Q145" s="23">
        <f t="shared" si="70"/>
        <v>950.31593226513735</v>
      </c>
      <c r="R145" s="10">
        <f>105.67*FX_RATE</f>
        <v>167608.72410799999</v>
      </c>
      <c r="S145" s="10">
        <f>105.67*FX_RATE</f>
        <v>167608.72410799999</v>
      </c>
      <c r="T145" s="10">
        <v>25</v>
      </c>
      <c r="U145" s="17">
        <v>6424.11</v>
      </c>
      <c r="V145" s="17">
        <v>7320.13</v>
      </c>
    </row>
    <row r="146" spans="1:22">
      <c r="A146" s="90">
        <v>130</v>
      </c>
      <c r="B146" s="19" t="s">
        <v>295</v>
      </c>
      <c r="C146" s="67" t="s">
        <v>296</v>
      </c>
      <c r="D146" s="47">
        <f>771885.52*FX_RATE</f>
        <v>1224328070.0732479</v>
      </c>
      <c r="E146" s="10">
        <f>6955.76*FX_RATE</f>
        <v>11032895.417824</v>
      </c>
      <c r="F146" s="10">
        <v>0</v>
      </c>
      <c r="G146" s="10">
        <f>1983.66*FX_RATE</f>
        <v>3146387.0697840001</v>
      </c>
      <c r="H146" s="12">
        <f t="shared" si="64"/>
        <v>7886508.3480399996</v>
      </c>
      <c r="I146" s="10">
        <v>1882838012.632272</v>
      </c>
      <c r="J146" s="13">
        <f t="shared" si="57"/>
        <v>9.6494450905909774E-4</v>
      </c>
      <c r="K146" s="10">
        <f>1157252.87*FX_RATE</f>
        <v>1835579417.1573882</v>
      </c>
      <c r="L146" s="13">
        <f t="shared" si="65"/>
        <v>9.4597110299178067E-4</v>
      </c>
      <c r="M146" s="13">
        <f t="shared" si="66"/>
        <v>-2.5099660808746187E-2</v>
      </c>
      <c r="N146" s="21">
        <f t="shared" si="67"/>
        <v>1.7141111086637442E-3</v>
      </c>
      <c r="O146" s="22">
        <f t="shared" si="68"/>
        <v>4.2964680657910136E-3</v>
      </c>
      <c r="P146" s="23">
        <f t="shared" si="69"/>
        <v>2145.4004506927113</v>
      </c>
      <c r="Q146" s="23">
        <f t="shared" si="70"/>
        <v>9.217644524734883</v>
      </c>
      <c r="R146" s="10">
        <f>1.2711*FX_RATE</f>
        <v>2016.1583156399997</v>
      </c>
      <c r="S146" s="10">
        <f>1.2711*FX_RATE</f>
        <v>2016.1583156399997</v>
      </c>
      <c r="T146" s="10">
        <v>6</v>
      </c>
      <c r="U146" s="17">
        <v>951304.68</v>
      </c>
      <c r="V146" s="17">
        <f>(U146+44857)-140573.43</f>
        <v>855588.25</v>
      </c>
    </row>
    <row r="147" spans="1:22" ht="15" customHeight="1">
      <c r="A147" s="119" t="s">
        <v>51</v>
      </c>
      <c r="B147" s="119"/>
      <c r="C147" s="119"/>
      <c r="D147" s="119"/>
      <c r="E147" s="119"/>
      <c r="F147" s="119"/>
      <c r="G147" s="119"/>
      <c r="H147" s="119"/>
      <c r="I147" s="27">
        <f>SUM(I112:I146)</f>
        <v>1951239677469.3271</v>
      </c>
      <c r="J147" s="38">
        <f>(I147/$I$219)</f>
        <v>0.35836437167616392</v>
      </c>
      <c r="K147" s="40">
        <f>SUM(K112:K146)</f>
        <v>1940418064940.9722</v>
      </c>
      <c r="L147" s="38">
        <f>(K147/$K$219)</f>
        <v>0.34245813587376045</v>
      </c>
      <c r="M147" s="38">
        <f t="shared" si="59"/>
        <v>-5.5460191043214847E-3</v>
      </c>
      <c r="N147" s="21"/>
      <c r="O147" s="21"/>
      <c r="P147" s="39"/>
      <c r="Q147" s="39"/>
      <c r="R147" s="40"/>
      <c r="S147" s="40"/>
      <c r="T147" s="42">
        <f>SUM(T112:T146)</f>
        <v>21223</v>
      </c>
      <c r="U147" s="42"/>
      <c r="V147" s="40"/>
    </row>
    <row r="148" spans="1:22" ht="6.9" customHeight="1">
      <c r="A148" s="124"/>
      <c r="B148" s="124"/>
      <c r="C148" s="124"/>
      <c r="D148" s="124"/>
      <c r="E148" s="124"/>
      <c r="F148" s="124"/>
      <c r="G148" s="124"/>
      <c r="H148" s="124"/>
      <c r="I148" s="124"/>
      <c r="J148" s="124"/>
      <c r="K148" s="124"/>
      <c r="L148" s="124"/>
      <c r="M148" s="124"/>
      <c r="N148" s="124"/>
      <c r="O148" s="124"/>
      <c r="P148" s="124"/>
      <c r="Q148" s="124"/>
      <c r="R148" s="124"/>
      <c r="S148" s="124"/>
      <c r="T148" s="124"/>
      <c r="U148" s="124"/>
      <c r="V148" s="124"/>
    </row>
    <row r="149" spans="1:22">
      <c r="A149" s="118" t="s">
        <v>155</v>
      </c>
      <c r="B149" s="118"/>
      <c r="C149" s="118"/>
      <c r="D149" s="118"/>
      <c r="E149" s="118"/>
      <c r="F149" s="118"/>
      <c r="G149" s="118"/>
      <c r="H149" s="118"/>
      <c r="I149" s="118"/>
      <c r="J149" s="118"/>
      <c r="K149" s="118"/>
      <c r="L149" s="118"/>
      <c r="M149" s="118"/>
      <c r="N149" s="118"/>
      <c r="O149" s="118"/>
      <c r="P149" s="118"/>
      <c r="Q149" s="118"/>
      <c r="R149" s="118"/>
      <c r="S149" s="118"/>
      <c r="T149" s="118"/>
      <c r="U149" s="118"/>
      <c r="V149" s="118"/>
    </row>
    <row r="150" spans="1:22">
      <c r="A150" s="99">
        <v>131</v>
      </c>
      <c r="B150" s="72" t="s">
        <v>228</v>
      </c>
      <c r="C150" s="72" t="s">
        <v>229</v>
      </c>
      <c r="D150" s="28">
        <v>2380722247.5</v>
      </c>
      <c r="E150" s="28">
        <v>49680427.189999998</v>
      </c>
      <c r="F150" s="28">
        <v>0</v>
      </c>
      <c r="G150" s="28">
        <v>7465079.1500000004</v>
      </c>
      <c r="H150" s="12">
        <f t="shared" ref="H150:H155" si="73">(E150+F150)-G150</f>
        <v>42215348.039999999</v>
      </c>
      <c r="I150" s="29">
        <v>2359122088.6199999</v>
      </c>
      <c r="J150" s="13">
        <f>(I150/$I$156)</f>
        <v>6.6299973691065824E-3</v>
      </c>
      <c r="K150" s="29">
        <v>2401337436.6599998</v>
      </c>
      <c r="L150" s="13">
        <f>(K150/$K$156)</f>
        <v>6.6848428736875978E-3</v>
      </c>
      <c r="M150" s="13">
        <f t="shared" ref="M150:M156" si="74">((K150-I150)/I150)</f>
        <v>1.7894516033587052E-2</v>
      </c>
      <c r="N150" s="21">
        <f>(G150/K150)</f>
        <v>3.1087172656513932E-3</v>
      </c>
      <c r="O150" s="22">
        <f>H150/K150</f>
        <v>1.7579931664546477E-2</v>
      </c>
      <c r="P150" s="23">
        <f>K150/V150</f>
        <v>113.16387543166823</v>
      </c>
      <c r="Q150" s="23">
        <f>H150/V150</f>
        <v>1.9894131969839772</v>
      </c>
      <c r="R150" s="28">
        <v>113.16</v>
      </c>
      <c r="S150" s="28">
        <v>113.16</v>
      </c>
      <c r="T150" s="28">
        <v>8</v>
      </c>
      <c r="U150" s="28">
        <v>21220000</v>
      </c>
      <c r="V150" s="28">
        <v>21220000</v>
      </c>
    </row>
    <row r="151" spans="1:22">
      <c r="A151" s="99">
        <v>132</v>
      </c>
      <c r="B151" s="72" t="s">
        <v>285</v>
      </c>
      <c r="C151" s="72" t="s">
        <v>58</v>
      </c>
      <c r="D151" s="28">
        <v>118919736975.53</v>
      </c>
      <c r="E151" s="28">
        <v>4322261872.1300001</v>
      </c>
      <c r="F151" s="28"/>
      <c r="G151" s="28">
        <v>472728307.63999999</v>
      </c>
      <c r="H151" s="12">
        <f t="shared" si="73"/>
        <v>3849533564.4900002</v>
      </c>
      <c r="I151" s="29">
        <v>250380430321</v>
      </c>
      <c r="J151" s="13">
        <f t="shared" ref="J151:J155" si="75">(I151/$I$156)</f>
        <v>0.70366073986236799</v>
      </c>
      <c r="K151" s="29">
        <v>254459545125</v>
      </c>
      <c r="L151" s="13">
        <f t="shared" ref="L151:L155" si="76">(K151/$K$156)</f>
        <v>0.70836445178507745</v>
      </c>
      <c r="M151" s="13">
        <f t="shared" ref="M151:M155" si="77">((K151-I151)/I151)</f>
        <v>1.6291667838298603E-2</v>
      </c>
      <c r="N151" s="21">
        <f t="shared" ref="N151:N155" si="78">(G151/K151)</f>
        <v>1.857773923975924E-3</v>
      </c>
      <c r="O151" s="22">
        <f t="shared" ref="O151:O155" si="79">H151/K151</f>
        <v>1.5128273386635844E-2</v>
      </c>
      <c r="P151" s="23" t="e">
        <f t="shared" ref="P151:P155" si="80">K151/V151</f>
        <v>#VALUE!</v>
      </c>
      <c r="Q151" s="23" t="e">
        <f t="shared" ref="Q151:Q155" si="81">H151/V151</f>
        <v>#VALUE!</v>
      </c>
      <c r="R151" s="28">
        <v>101.7838</v>
      </c>
      <c r="S151" s="28">
        <v>101.7838</v>
      </c>
      <c r="T151" s="28">
        <v>45</v>
      </c>
      <c r="U151" s="28" t="s">
        <v>286</v>
      </c>
      <c r="V151" s="28" t="s">
        <v>286</v>
      </c>
    </row>
    <row r="152" spans="1:22">
      <c r="A152" s="90">
        <v>133</v>
      </c>
      <c r="B152" s="19" t="s">
        <v>156</v>
      </c>
      <c r="C152" s="19" t="s">
        <v>44</v>
      </c>
      <c r="D152" s="28">
        <v>40151547529</v>
      </c>
      <c r="E152" s="28">
        <v>294961827</v>
      </c>
      <c r="F152" s="28">
        <v>0</v>
      </c>
      <c r="G152" s="28">
        <v>56432284</v>
      </c>
      <c r="H152" s="12">
        <f t="shared" si="73"/>
        <v>238529543</v>
      </c>
      <c r="I152" s="29">
        <v>57302465320</v>
      </c>
      <c r="J152" s="13">
        <f t="shared" si="75"/>
        <v>0.16104092117468904</v>
      </c>
      <c r="K152" s="29">
        <v>57540994864</v>
      </c>
      <c r="L152" s="13">
        <f t="shared" si="76"/>
        <v>0.16018261473344414</v>
      </c>
      <c r="M152" s="13">
        <f t="shared" si="77"/>
        <v>4.1626401703304585E-3</v>
      </c>
      <c r="N152" s="21">
        <f t="shared" si="78"/>
        <v>9.8073180926710655E-4</v>
      </c>
      <c r="O152" s="22">
        <f t="shared" si="79"/>
        <v>4.1453844092159383E-3</v>
      </c>
      <c r="P152" s="23">
        <f t="shared" si="80"/>
        <v>108.43533729327162</v>
      </c>
      <c r="Q152" s="23">
        <f t="shared" si="81"/>
        <v>0.44950615662359983</v>
      </c>
      <c r="R152" s="28">
        <v>108.44</v>
      </c>
      <c r="S152" s="28">
        <v>108.44</v>
      </c>
      <c r="T152" s="28">
        <v>633</v>
      </c>
      <c r="U152" s="28">
        <v>530648000</v>
      </c>
      <c r="V152" s="28">
        <v>530648000</v>
      </c>
    </row>
    <row r="153" spans="1:22">
      <c r="A153" s="90">
        <v>134</v>
      </c>
      <c r="B153" s="19" t="s">
        <v>157</v>
      </c>
      <c r="C153" s="19" t="s">
        <v>122</v>
      </c>
      <c r="D153" s="28">
        <v>2759696551.5100002</v>
      </c>
      <c r="E153" s="28">
        <v>36513180.799999997</v>
      </c>
      <c r="F153" s="28">
        <v>0</v>
      </c>
      <c r="G153" s="28">
        <v>5273520.8899999997</v>
      </c>
      <c r="H153" s="12">
        <f t="shared" si="73"/>
        <v>31239659.909999996</v>
      </c>
      <c r="I153" s="29">
        <v>2891694412.3899999</v>
      </c>
      <c r="J153" s="13">
        <f t="shared" si="75"/>
        <v>8.1267207148320083E-3</v>
      </c>
      <c r="K153" s="29">
        <v>2492934072.3000002</v>
      </c>
      <c r="L153" s="13">
        <f t="shared" si="76"/>
        <v>6.9398295772070632E-3</v>
      </c>
      <c r="M153" s="13">
        <f t="shared" si="77"/>
        <v>-0.13789850628110537</v>
      </c>
      <c r="N153" s="21">
        <f t="shared" si="78"/>
        <v>2.1153872252765225E-3</v>
      </c>
      <c r="O153" s="22">
        <f t="shared" si="79"/>
        <v>1.253128201708842E-2</v>
      </c>
      <c r="P153" s="23">
        <f t="shared" si="80"/>
        <v>124.64670361500001</v>
      </c>
      <c r="Q153" s="23">
        <f t="shared" si="81"/>
        <v>1.5619829954999997</v>
      </c>
      <c r="R153" s="28">
        <v>206</v>
      </c>
      <c r="S153" s="28">
        <v>206</v>
      </c>
      <c r="T153" s="28">
        <v>3250</v>
      </c>
      <c r="U153" s="28">
        <v>20000000</v>
      </c>
      <c r="V153" s="28">
        <v>20000000</v>
      </c>
    </row>
    <row r="154" spans="1:22">
      <c r="A154" s="90">
        <v>135</v>
      </c>
      <c r="B154" s="19" t="s">
        <v>158</v>
      </c>
      <c r="C154" s="19" t="s">
        <v>122</v>
      </c>
      <c r="D154" s="28">
        <v>12285918582.26</v>
      </c>
      <c r="E154" s="28">
        <v>95512430.760000005</v>
      </c>
      <c r="F154" s="28">
        <v>0</v>
      </c>
      <c r="G154" s="28">
        <v>19204923.629999999</v>
      </c>
      <c r="H154" s="12">
        <f t="shared" si="73"/>
        <v>76307507.13000001</v>
      </c>
      <c r="I154" s="29">
        <v>10947498146.48</v>
      </c>
      <c r="J154" s="13">
        <f t="shared" si="75"/>
        <v>3.0766480573253985E-2</v>
      </c>
      <c r="K154" s="29">
        <v>11023805653.610001</v>
      </c>
      <c r="L154" s="13">
        <f t="shared" si="76"/>
        <v>3.068806888171036E-2</v>
      </c>
      <c r="M154" s="13">
        <f t="shared" si="77"/>
        <v>6.9703146882501713E-3</v>
      </c>
      <c r="N154" s="21">
        <f t="shared" si="78"/>
        <v>1.742131912830929E-3</v>
      </c>
      <c r="O154" s="22">
        <f t="shared" si="79"/>
        <v>6.9220657119450713E-3</v>
      </c>
      <c r="P154" s="23">
        <f t="shared" si="80"/>
        <v>58.597658954666315</v>
      </c>
      <c r="Q154" s="23">
        <f t="shared" si="81"/>
        <v>0.40561684585034674</v>
      </c>
      <c r="R154" s="28">
        <v>45.7</v>
      </c>
      <c r="S154" s="28">
        <v>45.7</v>
      </c>
      <c r="T154" s="28">
        <v>5344</v>
      </c>
      <c r="U154" s="28">
        <v>188127066</v>
      </c>
      <c r="V154" s="28">
        <v>188127066</v>
      </c>
    </row>
    <row r="155" spans="1:22" ht="15.9" customHeight="1">
      <c r="A155" s="90">
        <v>136</v>
      </c>
      <c r="B155" s="19" t="s">
        <v>159</v>
      </c>
      <c r="C155" s="67" t="s">
        <v>160</v>
      </c>
      <c r="D155" s="28">
        <v>31327780522.939999</v>
      </c>
      <c r="E155" s="28">
        <v>251820778.61000001</v>
      </c>
      <c r="F155" s="28">
        <v>0</v>
      </c>
      <c r="G155" s="28">
        <v>62078334.539999999</v>
      </c>
      <c r="H155" s="12">
        <f t="shared" si="73"/>
        <v>189742444.07000002</v>
      </c>
      <c r="I155" s="29">
        <v>31944283641.970001</v>
      </c>
      <c r="J155" s="13">
        <f t="shared" si="75"/>
        <v>8.9775140305750456E-2</v>
      </c>
      <c r="K155" s="29">
        <v>31302606448.459999</v>
      </c>
      <c r="L155" s="13">
        <f t="shared" si="76"/>
        <v>8.7140192148873308E-2</v>
      </c>
      <c r="M155" s="13">
        <f t="shared" si="77"/>
        <v>-2.0087387173927246E-2</v>
      </c>
      <c r="N155" s="21">
        <f t="shared" si="78"/>
        <v>1.9831682272916313E-3</v>
      </c>
      <c r="O155" s="22">
        <f t="shared" si="79"/>
        <v>6.0615541514861563E-3</v>
      </c>
      <c r="P155" s="23">
        <f t="shared" si="80"/>
        <v>11.731426097873547</v>
      </c>
      <c r="Q155" s="23">
        <f t="shared" si="81"/>
        <v>7.1110674566418425E-2</v>
      </c>
      <c r="R155" s="28">
        <v>11.73</v>
      </c>
      <c r="S155" s="28">
        <v>11.73</v>
      </c>
      <c r="T155" s="28">
        <v>208295</v>
      </c>
      <c r="U155" s="28">
        <v>2668269500</v>
      </c>
      <c r="V155" s="28">
        <v>2668269500</v>
      </c>
    </row>
    <row r="156" spans="1:22" ht="15" customHeight="1">
      <c r="A156" s="119" t="s">
        <v>51</v>
      </c>
      <c r="B156" s="119"/>
      <c r="C156" s="119"/>
      <c r="D156" s="119"/>
      <c r="E156" s="119"/>
      <c r="F156" s="119"/>
      <c r="G156" s="119"/>
      <c r="H156" s="119"/>
      <c r="I156" s="40">
        <f>SUM(I150:I155)</f>
        <v>355825493930.45996</v>
      </c>
      <c r="J156" s="38">
        <f>(I156/$I$219)</f>
        <v>6.5350854142189024E-2</v>
      </c>
      <c r="K156" s="40">
        <f>SUM(K150:K155)</f>
        <v>359221223600.03003</v>
      </c>
      <c r="L156" s="38">
        <f>(K156/$K$219)</f>
        <v>6.3397797012418447E-2</v>
      </c>
      <c r="M156" s="38">
        <f t="shared" si="74"/>
        <v>9.5432444484534491E-3</v>
      </c>
      <c r="N156" s="21"/>
      <c r="O156" s="21"/>
      <c r="P156" s="41"/>
      <c r="Q156" s="41"/>
      <c r="R156" s="40"/>
      <c r="S156" s="40"/>
      <c r="T156" s="40">
        <f>SUM(T150:T155)</f>
        <v>217575</v>
      </c>
      <c r="U156" s="40"/>
      <c r="V156" s="40"/>
    </row>
    <row r="157" spans="1:22" ht="4.8" customHeight="1">
      <c r="A157" s="124"/>
      <c r="B157" s="124"/>
      <c r="C157" s="124"/>
      <c r="D157" s="124"/>
      <c r="E157" s="124"/>
      <c r="F157" s="124"/>
      <c r="G157" s="124"/>
      <c r="H157" s="124"/>
      <c r="I157" s="124"/>
      <c r="J157" s="124"/>
      <c r="K157" s="124"/>
      <c r="L157" s="124"/>
      <c r="M157" s="124"/>
      <c r="N157" s="124"/>
      <c r="O157" s="124"/>
      <c r="P157" s="124"/>
      <c r="Q157" s="124"/>
      <c r="R157" s="124"/>
      <c r="S157" s="124"/>
      <c r="T157" s="124"/>
      <c r="U157" s="124"/>
      <c r="V157" s="124"/>
    </row>
    <row r="158" spans="1:22" ht="13.8" customHeight="1">
      <c r="A158" s="125" t="s">
        <v>310</v>
      </c>
      <c r="B158" s="126"/>
      <c r="C158" s="126"/>
      <c r="D158" s="126"/>
      <c r="E158" s="126"/>
      <c r="F158" s="126"/>
      <c r="G158" s="126"/>
      <c r="H158" s="126"/>
      <c r="I158" s="126"/>
      <c r="J158" s="126"/>
      <c r="K158" s="126"/>
      <c r="L158" s="126"/>
      <c r="M158" s="126"/>
      <c r="N158" s="126"/>
      <c r="O158" s="126"/>
      <c r="P158" s="126"/>
      <c r="Q158" s="126"/>
      <c r="R158" s="126"/>
      <c r="S158" s="126"/>
      <c r="T158" s="126"/>
      <c r="U158" s="126"/>
      <c r="V158" s="127"/>
    </row>
    <row r="159" spans="1:22">
      <c r="A159" s="90">
        <v>137</v>
      </c>
      <c r="B159" s="19" t="s">
        <v>162</v>
      </c>
      <c r="C159" s="19" t="s">
        <v>55</v>
      </c>
      <c r="D159" s="31">
        <v>306399656.41000003</v>
      </c>
      <c r="E159" s="31">
        <v>5618790.7000000002</v>
      </c>
      <c r="F159" s="31">
        <v>1893847.25</v>
      </c>
      <c r="G159" s="10">
        <v>741922.11</v>
      </c>
      <c r="H159" s="12">
        <f>(E159+F159)-G159</f>
        <v>6770715.8399999999</v>
      </c>
      <c r="I159" s="10">
        <v>289838713.33999997</v>
      </c>
      <c r="J159" s="13">
        <f t="shared" ref="J159:J186" si="82">(I159/$I$187)</f>
        <v>4.9386772061691762E-3</v>
      </c>
      <c r="K159" s="10">
        <v>301092285.67000002</v>
      </c>
      <c r="L159" s="13">
        <f t="shared" ref="L159" si="83">(K159/$K$187)</f>
        <v>4.9396652734107612E-3</v>
      </c>
      <c r="M159" s="13">
        <f t="shared" ref="M159:M187" si="84">((K159-I159)/I159)</f>
        <v>3.882701589555726E-2</v>
      </c>
      <c r="N159" s="21">
        <f t="shared" ref="N159" si="85">(G159/K159)</f>
        <v>2.4641020222389677E-3</v>
      </c>
      <c r="O159" s="22">
        <f t="shared" ref="O159" si="86">H159/K159</f>
        <v>2.2487178058825354E-2</v>
      </c>
      <c r="P159" s="23">
        <f t="shared" ref="P159" si="87">K159/V159</f>
        <v>6.4361513476718404</v>
      </c>
      <c r="Q159" s="23">
        <f t="shared" ref="Q159" si="88">H159/V159</f>
        <v>0.14473088136864545</v>
      </c>
      <c r="R159" s="10">
        <v>6.4497999999999998</v>
      </c>
      <c r="S159" s="10">
        <v>6.5392000000000001</v>
      </c>
      <c r="T159" s="10">
        <v>11844</v>
      </c>
      <c r="U159" s="10">
        <v>46789684.789999999</v>
      </c>
      <c r="V159" s="10">
        <v>46781417.869999997</v>
      </c>
    </row>
    <row r="160" spans="1:22">
      <c r="A160" s="90">
        <v>138</v>
      </c>
      <c r="B160" s="68" t="s">
        <v>222</v>
      </c>
      <c r="C160" s="68" t="s">
        <v>223</v>
      </c>
      <c r="D160" s="31">
        <v>704302268</v>
      </c>
      <c r="E160" s="31">
        <v>6477709.5800000001</v>
      </c>
      <c r="F160" s="31">
        <v>3689778</v>
      </c>
      <c r="G160" s="10">
        <v>1352673.38</v>
      </c>
      <c r="H160" s="12">
        <v>1435258.2</v>
      </c>
      <c r="I160" s="10">
        <v>726060193.82000005</v>
      </c>
      <c r="J160" s="13">
        <f t="shared" si="82"/>
        <v>1.237162864892812E-2</v>
      </c>
      <c r="K160" s="10">
        <v>729027773.85000002</v>
      </c>
      <c r="L160" s="13">
        <f t="shared" ref="L160:L186" si="89">(K160/$K$187)</f>
        <v>1.1960297055852494E-2</v>
      </c>
      <c r="M160" s="13">
        <f t="shared" ref="M160:M186" si="90">((K160-I160)/I160)</f>
        <v>4.0872369195544605E-3</v>
      </c>
      <c r="N160" s="21">
        <f t="shared" ref="N160:N186" si="91">(G160/K160)</f>
        <v>1.8554483498708473E-3</v>
      </c>
      <c r="O160" s="22">
        <f t="shared" ref="O160:O186" si="92">H160/K160</f>
        <v>1.9687291094828839E-3</v>
      </c>
      <c r="P160" s="23">
        <f t="shared" ref="P160:P186" si="93">K160/V160</f>
        <v>1695.5277771058979</v>
      </c>
      <c r="Q160" s="23">
        <f t="shared" ref="Q160:Q186" si="94">H160/V160</f>
        <v>3.3380348907251882</v>
      </c>
      <c r="R160" s="10">
        <v>1683.4866999999999</v>
      </c>
      <c r="S160" s="10">
        <v>1703.383</v>
      </c>
      <c r="T160" s="10">
        <v>158</v>
      </c>
      <c r="U160" s="10">
        <v>432028</v>
      </c>
      <c r="V160" s="10">
        <v>429971</v>
      </c>
    </row>
    <row r="161" spans="1:22">
      <c r="A161" s="90">
        <v>139</v>
      </c>
      <c r="B161" s="19" t="s">
        <v>163</v>
      </c>
      <c r="C161" s="67" t="s">
        <v>58</v>
      </c>
      <c r="D161" s="31">
        <v>6151558076.5500002</v>
      </c>
      <c r="E161" s="31">
        <v>32930262.690000001</v>
      </c>
      <c r="F161" s="31">
        <v>208663386.56999999</v>
      </c>
      <c r="G161" s="10">
        <v>23024250.989999998</v>
      </c>
      <c r="H161" s="12">
        <f t="shared" ref="H161:H186" si="95">(E161+F161)-G161</f>
        <v>218569398.26999998</v>
      </c>
      <c r="I161" s="10">
        <v>7031013348</v>
      </c>
      <c r="J161" s="13">
        <f t="shared" si="82"/>
        <v>0.11980423511370404</v>
      </c>
      <c r="K161" s="10">
        <v>7368428689</v>
      </c>
      <c r="L161" s="13">
        <f t="shared" si="89"/>
        <v>0.12088510083765137</v>
      </c>
      <c r="M161" s="13">
        <f t="shared" si="90"/>
        <v>4.7989574802326206E-2</v>
      </c>
      <c r="N161" s="21">
        <f t="shared" si="91"/>
        <v>3.1247165388696616E-3</v>
      </c>
      <c r="O161" s="22">
        <f t="shared" si="92"/>
        <v>2.9662959023582944E-2</v>
      </c>
      <c r="P161" s="23">
        <f t="shared" si="93"/>
        <v>848.76012425641341</v>
      </c>
      <c r="Q161" s="23">
        <f t="shared" si="94"/>
        <v>25.176736786669156</v>
      </c>
      <c r="R161" s="10">
        <v>844.5163</v>
      </c>
      <c r="S161" s="10">
        <v>869.97910000000002</v>
      </c>
      <c r="T161" s="10">
        <v>21478</v>
      </c>
      <c r="U161" s="10">
        <v>8501804</v>
      </c>
      <c r="V161" s="10">
        <v>8681403</v>
      </c>
    </row>
    <row r="162" spans="1:22">
      <c r="A162" s="90">
        <v>140</v>
      </c>
      <c r="B162" s="19" t="s">
        <v>164</v>
      </c>
      <c r="C162" s="19" t="s">
        <v>105</v>
      </c>
      <c r="D162" s="31">
        <v>2316823409.54</v>
      </c>
      <c r="E162" s="31">
        <v>94058153.379999995</v>
      </c>
      <c r="F162" s="31">
        <v>50678649.759999998</v>
      </c>
      <c r="G162" s="10">
        <v>5124112.8099999996</v>
      </c>
      <c r="H162" s="12">
        <f t="shared" si="95"/>
        <v>139612690.32999998</v>
      </c>
      <c r="I162" s="10">
        <v>1983986036.9100001</v>
      </c>
      <c r="J162" s="13">
        <f t="shared" si="82"/>
        <v>3.3805927803548179E-2</v>
      </c>
      <c r="K162" s="10">
        <v>2123598727.24</v>
      </c>
      <c r="L162" s="13">
        <f t="shared" si="89"/>
        <v>3.4839374460439394E-2</v>
      </c>
      <c r="M162" s="13">
        <f t="shared" si="90"/>
        <v>7.0369794813396253E-2</v>
      </c>
      <c r="N162" s="21">
        <f t="shared" si="91"/>
        <v>2.4129383504856916E-3</v>
      </c>
      <c r="O162" s="22">
        <f t="shared" si="92"/>
        <v>6.5743442270495181E-2</v>
      </c>
      <c r="P162" s="23">
        <f t="shared" si="93"/>
        <v>5.1269607463279261</v>
      </c>
      <c r="Q162" s="23">
        <f t="shared" si="94"/>
        <v>0.33706404784930494</v>
      </c>
      <c r="R162" s="10">
        <v>5.0959000000000003</v>
      </c>
      <c r="S162" s="10">
        <v>5.2138</v>
      </c>
      <c r="T162" s="10">
        <v>2739</v>
      </c>
      <c r="U162" s="10">
        <v>414202259.83999997</v>
      </c>
      <c r="V162" s="10">
        <v>414202259.83999997</v>
      </c>
    </row>
    <row r="163" spans="1:22">
      <c r="A163" s="90">
        <v>141</v>
      </c>
      <c r="B163" s="19" t="s">
        <v>281</v>
      </c>
      <c r="C163" s="67" t="s">
        <v>103</v>
      </c>
      <c r="D163" s="31">
        <v>797877435.75</v>
      </c>
      <c r="E163" s="31">
        <v>11930903.18</v>
      </c>
      <c r="F163" s="31">
        <v>0</v>
      </c>
      <c r="G163" s="10">
        <v>1481854.88</v>
      </c>
      <c r="H163" s="12">
        <f t="shared" ref="H163" si="96">(E163+F163)-G163</f>
        <v>10449048.300000001</v>
      </c>
      <c r="I163" s="10">
        <v>770667970.73000002</v>
      </c>
      <c r="J163" s="13">
        <f t="shared" si="82"/>
        <v>1.3131718315710715E-2</v>
      </c>
      <c r="K163" s="10">
        <v>827556601.84000003</v>
      </c>
      <c r="L163" s="13">
        <f t="shared" si="89"/>
        <v>1.3576743086573761E-2</v>
      </c>
      <c r="M163" s="13">
        <f t="shared" si="90"/>
        <v>7.3817303002891604E-2</v>
      </c>
      <c r="N163" s="21">
        <f t="shared" si="91"/>
        <v>1.7906387027850719E-3</v>
      </c>
      <c r="O163" s="22">
        <f t="shared" si="92"/>
        <v>1.2626385043352263E-2</v>
      </c>
      <c r="P163" s="23">
        <f t="shared" si="93"/>
        <v>1.0386844794522883</v>
      </c>
      <c r="Q163" s="23">
        <f t="shared" si="94"/>
        <v>1.3114830176118504E-2</v>
      </c>
      <c r="R163" s="10">
        <v>1.0390999999999999</v>
      </c>
      <c r="S163" s="10">
        <v>1.0385</v>
      </c>
      <c r="T163" s="10">
        <v>199</v>
      </c>
      <c r="U163" s="10">
        <v>758338124.23000002</v>
      </c>
      <c r="V163" s="10">
        <v>796735311.07000005</v>
      </c>
    </row>
    <row r="164" spans="1:22">
      <c r="A164" s="90">
        <v>142</v>
      </c>
      <c r="B164" s="19" t="s">
        <v>165</v>
      </c>
      <c r="C164" s="19" t="s">
        <v>60</v>
      </c>
      <c r="D164" s="31">
        <v>4173640433.5100002</v>
      </c>
      <c r="E164" s="31">
        <v>37580557.25</v>
      </c>
      <c r="F164" s="31">
        <v>1138106778.6700001</v>
      </c>
      <c r="G164" s="10">
        <v>10847923.439999999</v>
      </c>
      <c r="H164" s="12">
        <f t="shared" si="95"/>
        <v>1164839412.48</v>
      </c>
      <c r="I164" s="10">
        <v>3931040422.8899999</v>
      </c>
      <c r="J164" s="13">
        <f t="shared" si="82"/>
        <v>6.6982562506349569E-2</v>
      </c>
      <c r="K164" s="10">
        <v>4167102143.1999998</v>
      </c>
      <c r="L164" s="13">
        <f t="shared" si="89"/>
        <v>6.8364719812452956E-2</v>
      </c>
      <c r="M164" s="13">
        <f t="shared" si="90"/>
        <v>6.0050697758140432E-2</v>
      </c>
      <c r="N164" s="21">
        <f t="shared" si="91"/>
        <v>2.6032295507087489E-3</v>
      </c>
      <c r="O164" s="22">
        <f t="shared" si="92"/>
        <v>0.27953224385939746</v>
      </c>
      <c r="P164" s="23">
        <f t="shared" si="93"/>
        <v>9193.96444862508</v>
      </c>
      <c r="Q164" s="23">
        <f t="shared" si="94"/>
        <v>2570.009512287696</v>
      </c>
      <c r="R164" s="10">
        <v>9193.9599999999991</v>
      </c>
      <c r="S164" s="10">
        <v>9273.82</v>
      </c>
      <c r="T164" s="10">
        <v>1032</v>
      </c>
      <c r="U164" s="10">
        <v>445198.64</v>
      </c>
      <c r="V164" s="10">
        <v>453243.23</v>
      </c>
    </row>
    <row r="165" spans="1:22" ht="14.1" customHeight="1">
      <c r="A165" s="90">
        <v>143</v>
      </c>
      <c r="B165" s="19" t="s">
        <v>166</v>
      </c>
      <c r="C165" s="67" t="s">
        <v>62</v>
      </c>
      <c r="D165" s="31">
        <v>721857446.00999999</v>
      </c>
      <c r="E165" s="31">
        <v>11022458.73</v>
      </c>
      <c r="F165" s="31">
        <v>10960252.960000001</v>
      </c>
      <c r="G165" s="10">
        <v>1665217.47</v>
      </c>
      <c r="H165" s="12">
        <f t="shared" si="95"/>
        <v>20317494.220000003</v>
      </c>
      <c r="I165" s="10">
        <v>870586995.63999999</v>
      </c>
      <c r="J165" s="13">
        <f t="shared" si="82"/>
        <v>1.4834278353668089E-2</v>
      </c>
      <c r="K165" s="10">
        <v>879804607.59000003</v>
      </c>
      <c r="L165" s="13">
        <f t="shared" si="89"/>
        <v>1.4433914365585231E-2</v>
      </c>
      <c r="M165" s="13">
        <f t="shared" si="90"/>
        <v>1.0587812586407688E-2</v>
      </c>
      <c r="N165" s="21">
        <f t="shared" si="91"/>
        <v>1.8927128315018012E-3</v>
      </c>
      <c r="O165" s="22">
        <f t="shared" si="92"/>
        <v>2.3093189152139801E-2</v>
      </c>
      <c r="P165" s="23">
        <f t="shared" si="93"/>
        <v>200.71818488333975</v>
      </c>
      <c r="Q165" s="23">
        <f t="shared" si="94"/>
        <v>4.6352230097851317</v>
      </c>
      <c r="R165" s="10">
        <v>196.3</v>
      </c>
      <c r="S165" s="10">
        <v>197.68</v>
      </c>
      <c r="T165" s="10">
        <f>480+9+4</f>
        <v>493</v>
      </c>
      <c r="U165" s="10">
        <v>3884624</v>
      </c>
      <c r="V165" s="10">
        <v>4383283</v>
      </c>
    </row>
    <row r="166" spans="1:22">
      <c r="A166" s="90">
        <v>144</v>
      </c>
      <c r="B166" s="19" t="s">
        <v>167</v>
      </c>
      <c r="C166" s="67" t="s">
        <v>64</v>
      </c>
      <c r="D166" s="31">
        <v>236345242.77000001</v>
      </c>
      <c r="E166" s="31">
        <v>1627792.83</v>
      </c>
      <c r="F166" s="31"/>
      <c r="G166" s="10">
        <v>515985</v>
      </c>
      <c r="H166" s="12">
        <f t="shared" si="95"/>
        <v>1111807.83</v>
      </c>
      <c r="I166" s="10">
        <v>237936033.88999999</v>
      </c>
      <c r="J166" s="13">
        <f t="shared" si="82"/>
        <v>4.0542867912899622E-3</v>
      </c>
      <c r="K166" s="10">
        <v>249665069.65000001</v>
      </c>
      <c r="L166" s="13">
        <f t="shared" si="89"/>
        <v>4.0959597214172755E-3</v>
      </c>
      <c r="M166" s="13">
        <f t="shared" si="90"/>
        <v>4.9294911612347295E-2</v>
      </c>
      <c r="N166" s="21">
        <f t="shared" si="91"/>
        <v>2.0667088140257188E-3</v>
      </c>
      <c r="O166" s="22">
        <f t="shared" si="92"/>
        <v>4.4531973638067155E-3</v>
      </c>
      <c r="P166" s="23">
        <f t="shared" si="93"/>
        <v>1.6615020325803906</v>
      </c>
      <c r="Q166" s="23">
        <f t="shared" si="94"/>
        <v>7.3989964714464953E-3</v>
      </c>
      <c r="R166" s="10">
        <v>1.6615</v>
      </c>
      <c r="S166" s="10">
        <v>1.6693</v>
      </c>
      <c r="T166" s="10">
        <v>302</v>
      </c>
      <c r="U166" s="10">
        <v>140462881.88</v>
      </c>
      <c r="V166" s="10">
        <v>150264679.03999999</v>
      </c>
    </row>
    <row r="167" spans="1:22">
      <c r="A167" s="90">
        <v>145</v>
      </c>
      <c r="B167" s="68" t="s">
        <v>224</v>
      </c>
      <c r="C167" s="69" t="s">
        <v>48</v>
      </c>
      <c r="D167" s="31">
        <v>125972848.2</v>
      </c>
      <c r="E167" s="31">
        <v>405817.78</v>
      </c>
      <c r="F167" s="31">
        <v>0</v>
      </c>
      <c r="G167" s="10">
        <v>143986.10999999999</v>
      </c>
      <c r="H167" s="12">
        <v>405817.78</v>
      </c>
      <c r="I167" s="10">
        <v>129722021.22</v>
      </c>
      <c r="J167" s="13">
        <f t="shared" si="82"/>
        <v>2.2103851550909878E-3</v>
      </c>
      <c r="K167" s="10">
        <v>136425945.28999999</v>
      </c>
      <c r="L167" s="13">
        <f t="shared" si="89"/>
        <v>2.2381792440868062E-3</v>
      </c>
      <c r="M167" s="13">
        <f t="shared" si="90"/>
        <v>5.1679152135862723E-2</v>
      </c>
      <c r="N167" s="21">
        <f t="shared" si="91"/>
        <v>1.0554158865744296E-3</v>
      </c>
      <c r="O167" s="22">
        <f t="shared" si="92"/>
        <v>2.9746378457364184E-3</v>
      </c>
      <c r="P167" s="23">
        <f t="shared" si="93"/>
        <v>163.77938777005929</v>
      </c>
      <c r="Q167" s="23">
        <f t="shared" si="94"/>
        <v>0.48718436521235858</v>
      </c>
      <c r="R167" s="10">
        <v>163.5204</v>
      </c>
      <c r="S167" s="10">
        <v>164.40520000000001</v>
      </c>
      <c r="T167" s="10">
        <v>123</v>
      </c>
      <c r="U167" s="10">
        <v>833086.8</v>
      </c>
      <c r="V167" s="10">
        <v>832986.05</v>
      </c>
    </row>
    <row r="168" spans="1:22">
      <c r="A168" s="90">
        <v>146</v>
      </c>
      <c r="B168" s="68" t="s">
        <v>168</v>
      </c>
      <c r="C168" s="69" t="s">
        <v>169</v>
      </c>
      <c r="D168" s="31">
        <v>258577158.87</v>
      </c>
      <c r="E168" s="31">
        <v>2208420.94</v>
      </c>
      <c r="F168" s="31">
        <v>0</v>
      </c>
      <c r="G168" s="10">
        <v>662920.69999999995</v>
      </c>
      <c r="H168" s="12">
        <f t="shared" si="95"/>
        <v>1545500.24</v>
      </c>
      <c r="I168" s="10">
        <v>254913116.43000001</v>
      </c>
      <c r="J168" s="13">
        <f t="shared" si="82"/>
        <v>4.3435660583739134E-3</v>
      </c>
      <c r="K168" s="10">
        <v>254913116.43000001</v>
      </c>
      <c r="L168" s="13">
        <f t="shared" si="89"/>
        <v>4.1820582223294307E-3</v>
      </c>
      <c r="M168" s="13">
        <f t="shared" si="90"/>
        <v>0</v>
      </c>
      <c r="N168" s="21">
        <f t="shared" si="91"/>
        <v>2.6005750872456191E-3</v>
      </c>
      <c r="O168" s="22">
        <f t="shared" si="92"/>
        <v>6.0628509887775805E-3</v>
      </c>
      <c r="P168" s="23">
        <f t="shared" si="93"/>
        <v>126.39697239540929</v>
      </c>
      <c r="Q168" s="23">
        <f t="shared" si="94"/>
        <v>0.76632600906599968</v>
      </c>
      <c r="R168" s="10">
        <v>128.76</v>
      </c>
      <c r="S168" s="10">
        <v>129.74</v>
      </c>
      <c r="T168" s="10">
        <v>81</v>
      </c>
      <c r="U168" s="10">
        <v>1986472</v>
      </c>
      <c r="V168" s="10">
        <v>2016766</v>
      </c>
    </row>
    <row r="169" spans="1:22">
      <c r="A169" s="90">
        <v>147</v>
      </c>
      <c r="B169" s="19" t="s">
        <v>170</v>
      </c>
      <c r="C169" s="67" t="s">
        <v>69</v>
      </c>
      <c r="D169" s="31">
        <v>377983040.73000002</v>
      </c>
      <c r="E169" s="31">
        <v>10290778.24</v>
      </c>
      <c r="F169" s="31">
        <v>18842875.460000001</v>
      </c>
      <c r="G169" s="10">
        <v>787059.33</v>
      </c>
      <c r="H169" s="12">
        <f t="shared" si="95"/>
        <v>28346594.370000005</v>
      </c>
      <c r="I169" s="10">
        <v>345549312.56999999</v>
      </c>
      <c r="J169" s="13">
        <f t="shared" si="82"/>
        <v>5.8879522819126765E-3</v>
      </c>
      <c r="K169" s="10">
        <v>376634095.51999998</v>
      </c>
      <c r="L169" s="13">
        <f t="shared" si="89"/>
        <v>6.1789904656065564E-3</v>
      </c>
      <c r="M169" s="13">
        <f t="shared" si="90"/>
        <v>8.9957588741268177E-2</v>
      </c>
      <c r="N169" s="21">
        <f t="shared" si="91"/>
        <v>2.0897187465551844E-3</v>
      </c>
      <c r="O169" s="22">
        <f t="shared" si="92"/>
        <v>7.5262953373520972E-2</v>
      </c>
      <c r="P169" s="23">
        <f t="shared" si="93"/>
        <v>1.5101231028854987</v>
      </c>
      <c r="Q169" s="23">
        <f t="shared" si="94"/>
        <v>0.11365632468074811</v>
      </c>
      <c r="R169" s="10">
        <v>1.4886999999999999</v>
      </c>
      <c r="S169" s="10">
        <v>1.5083</v>
      </c>
      <c r="T169" s="10">
        <v>98</v>
      </c>
      <c r="U169" s="10">
        <v>249237019.37</v>
      </c>
      <c r="V169" s="10">
        <v>249406220.46000001</v>
      </c>
    </row>
    <row r="170" spans="1:22">
      <c r="A170" s="90">
        <v>148</v>
      </c>
      <c r="B170" s="67" t="s">
        <v>171</v>
      </c>
      <c r="C170" s="67" t="s">
        <v>73</v>
      </c>
      <c r="D170" s="31">
        <v>10781867373.809999</v>
      </c>
      <c r="E170" s="31">
        <v>77231199.780000001</v>
      </c>
      <c r="F170" s="31">
        <v>189050489.97</v>
      </c>
      <c r="G170" s="10">
        <v>17054895.870000001</v>
      </c>
      <c r="H170" s="12">
        <v>249226793.88</v>
      </c>
      <c r="I170" s="10">
        <v>10155303741</v>
      </c>
      <c r="J170" s="13">
        <f t="shared" si="82"/>
        <v>0.173040262735943</v>
      </c>
      <c r="K170" s="10">
        <v>10597928377.77</v>
      </c>
      <c r="L170" s="13">
        <f t="shared" si="89"/>
        <v>0.17386768532203861</v>
      </c>
      <c r="M170" s="13">
        <f t="shared" si="90"/>
        <v>4.3585563569407813E-2</v>
      </c>
      <c r="N170" s="21">
        <f t="shared" si="91"/>
        <v>1.6092669493571975E-3</v>
      </c>
      <c r="O170" s="22">
        <f t="shared" si="92"/>
        <v>2.3516557670154956E-2</v>
      </c>
      <c r="P170" s="23">
        <f t="shared" si="93"/>
        <v>366.86699827898821</v>
      </c>
      <c r="Q170" s="23">
        <f t="shared" si="94"/>
        <v>8.6274489223044668</v>
      </c>
      <c r="R170" s="10">
        <v>366.87</v>
      </c>
      <c r="S170" s="10">
        <v>369.92</v>
      </c>
      <c r="T170" s="10">
        <v>5485</v>
      </c>
      <c r="U170" s="10">
        <v>28855517</v>
      </c>
      <c r="V170" s="10">
        <v>28887658</v>
      </c>
    </row>
    <row r="171" spans="1:22" ht="15.6" customHeight="1">
      <c r="A171" s="90">
        <v>149</v>
      </c>
      <c r="B171" s="97" t="s">
        <v>172</v>
      </c>
      <c r="C171" s="19" t="s">
        <v>251</v>
      </c>
      <c r="D171" s="31">
        <v>3669404161.5300002</v>
      </c>
      <c r="E171" s="31">
        <v>42804084.649999999</v>
      </c>
      <c r="F171" s="31">
        <v>37247397.700000003</v>
      </c>
      <c r="G171" s="10">
        <v>11355738.92</v>
      </c>
      <c r="H171" s="12">
        <v>31448345.73</v>
      </c>
      <c r="I171" s="10">
        <v>3583794026.2199998</v>
      </c>
      <c r="J171" s="13">
        <f t="shared" si="82"/>
        <v>6.1065692932936941E-2</v>
      </c>
      <c r="K171" s="10">
        <v>3644250229.1599998</v>
      </c>
      <c r="L171" s="13">
        <f t="shared" si="89"/>
        <v>5.9786906411579535E-2</v>
      </c>
      <c r="M171" s="13">
        <f t="shared" si="90"/>
        <v>1.6869329681808227E-2</v>
      </c>
      <c r="N171" s="21">
        <f t="shared" si="91"/>
        <v>3.1160700297513597E-3</v>
      </c>
      <c r="O171" s="22">
        <f t="shared" si="92"/>
        <v>8.6295791321796388E-3</v>
      </c>
      <c r="P171" s="23">
        <f t="shared" si="93"/>
        <v>2.5754844900674687</v>
      </c>
      <c r="Q171" s="23">
        <f t="shared" si="94"/>
        <v>2.2225347210738548E-2</v>
      </c>
      <c r="R171" s="10">
        <v>2.5510999999999999</v>
      </c>
      <c r="S171" s="10">
        <v>2.5960000000000001</v>
      </c>
      <c r="T171" s="10">
        <v>10303</v>
      </c>
      <c r="U171" s="10">
        <v>1414868273.0599999</v>
      </c>
      <c r="V171" s="10">
        <v>1414976577.5</v>
      </c>
    </row>
    <row r="172" spans="1:22">
      <c r="A172" s="90">
        <v>150</v>
      </c>
      <c r="B172" s="19" t="s">
        <v>173</v>
      </c>
      <c r="C172" s="67" t="s">
        <v>77</v>
      </c>
      <c r="D172" s="31">
        <v>179194672.97999999</v>
      </c>
      <c r="E172" s="31">
        <v>1570732.2</v>
      </c>
      <c r="F172" s="31">
        <v>0</v>
      </c>
      <c r="G172" s="10">
        <v>527376.37</v>
      </c>
      <c r="H172" s="12">
        <f t="shared" si="95"/>
        <v>1043355.83</v>
      </c>
      <c r="I172" s="10">
        <v>264231877.12</v>
      </c>
      <c r="J172" s="13">
        <f t="shared" si="82"/>
        <v>4.502352131080016E-3</v>
      </c>
      <c r="K172" s="10">
        <v>267197503.99000001</v>
      </c>
      <c r="L172" s="13">
        <f t="shared" si="89"/>
        <v>4.3835936502472275E-3</v>
      </c>
      <c r="M172" s="13">
        <f t="shared" si="90"/>
        <v>1.1223577194106582E-2</v>
      </c>
      <c r="N172" s="21">
        <f t="shared" si="91"/>
        <v>1.9737323969154191E-3</v>
      </c>
      <c r="O172" s="22">
        <f t="shared" si="92"/>
        <v>3.9048112891018924E-3</v>
      </c>
      <c r="P172" s="23">
        <f t="shared" si="93"/>
        <v>304.59990854621509</v>
      </c>
      <c r="Q172" s="23">
        <f t="shared" si="94"/>
        <v>1.1894051615506647</v>
      </c>
      <c r="R172" s="10">
        <v>304.60000000000002</v>
      </c>
      <c r="S172" s="10">
        <v>306.49</v>
      </c>
      <c r="T172" s="10">
        <v>64</v>
      </c>
      <c r="U172" s="10">
        <v>768891.91</v>
      </c>
      <c r="V172" s="10">
        <v>877208.09</v>
      </c>
    </row>
    <row r="173" spans="1:22">
      <c r="A173" s="90">
        <v>151</v>
      </c>
      <c r="B173" s="68" t="s">
        <v>227</v>
      </c>
      <c r="C173" s="68" t="s">
        <v>226</v>
      </c>
      <c r="D173" s="31">
        <v>43820015.57</v>
      </c>
      <c r="E173" s="31">
        <v>1096873.1100000001</v>
      </c>
      <c r="F173" s="31">
        <v>0</v>
      </c>
      <c r="G173" s="10">
        <v>70410.710000000006</v>
      </c>
      <c r="H173" s="12">
        <f>(E173+F173)-G173</f>
        <v>1026462.4000000001</v>
      </c>
      <c r="I173" s="26">
        <v>60399636.729999997</v>
      </c>
      <c r="J173" s="13">
        <f t="shared" si="82"/>
        <v>1.0291734521655517E-3</v>
      </c>
      <c r="K173" s="10">
        <v>45043959.549999997</v>
      </c>
      <c r="L173" s="13">
        <f t="shared" si="89"/>
        <v>7.3898300738903158E-4</v>
      </c>
      <c r="M173" s="13">
        <f t="shared" si="90"/>
        <v>-0.2542345949635979</v>
      </c>
      <c r="N173" s="21">
        <f t="shared" si="91"/>
        <v>1.5631554309039426E-3</v>
      </c>
      <c r="O173" s="22">
        <f t="shared" si="92"/>
        <v>2.2788014425343745E-2</v>
      </c>
      <c r="P173" s="23">
        <f t="shared" si="93"/>
        <v>0.88561125299830912</v>
      </c>
      <c r="Q173" s="23">
        <f t="shared" si="94"/>
        <v>2.0181322008572217E-2</v>
      </c>
      <c r="R173" s="10">
        <v>1.1870000000000001</v>
      </c>
      <c r="S173" s="10">
        <v>1.2</v>
      </c>
      <c r="T173" s="10">
        <v>32</v>
      </c>
      <c r="U173" s="10">
        <v>50879000</v>
      </c>
      <c r="V173" s="10">
        <v>50862000</v>
      </c>
    </row>
    <row r="174" spans="1:22">
      <c r="A174" s="90">
        <v>152</v>
      </c>
      <c r="B174" s="67" t="s">
        <v>174</v>
      </c>
      <c r="C174" s="67" t="s">
        <v>36</v>
      </c>
      <c r="D174" s="31">
        <v>3742153484.0100002</v>
      </c>
      <c r="E174" s="31">
        <v>29198919.620000001</v>
      </c>
      <c r="F174" s="31">
        <v>218980648.84</v>
      </c>
      <c r="G174" s="10">
        <v>7891701.9900000002</v>
      </c>
      <c r="H174" s="12">
        <f t="shared" si="95"/>
        <v>240287866.47</v>
      </c>
      <c r="I174" s="10">
        <v>3293527744.9400001</v>
      </c>
      <c r="J174" s="13">
        <f t="shared" si="82"/>
        <v>5.6119730226445765E-2</v>
      </c>
      <c r="K174" s="10">
        <v>3648289120.6999998</v>
      </c>
      <c r="L174" s="13">
        <f t="shared" si="89"/>
        <v>5.9853167731555953E-2</v>
      </c>
      <c r="M174" s="13">
        <f t="shared" si="90"/>
        <v>0.10771470691420049</v>
      </c>
      <c r="N174" s="21">
        <f t="shared" si="91"/>
        <v>2.163124064160193E-3</v>
      </c>
      <c r="O174" s="22">
        <f t="shared" si="92"/>
        <v>6.5863164491715448E-2</v>
      </c>
      <c r="P174" s="23">
        <f t="shared" si="93"/>
        <v>5.1322830747140689</v>
      </c>
      <c r="Q174" s="23">
        <f t="shared" si="94"/>
        <v>0.33802840436793985</v>
      </c>
      <c r="R174" s="10">
        <v>5.13</v>
      </c>
      <c r="S174" s="10">
        <v>5.27</v>
      </c>
      <c r="T174" s="10">
        <v>2414</v>
      </c>
      <c r="U174" s="10">
        <v>709413537.98000002</v>
      </c>
      <c r="V174" s="10">
        <v>710851110.03999996</v>
      </c>
    </row>
    <row r="175" spans="1:22">
      <c r="A175" s="90">
        <v>153</v>
      </c>
      <c r="B175" s="68" t="s">
        <v>255</v>
      </c>
      <c r="C175" s="69" t="s">
        <v>256</v>
      </c>
      <c r="D175" s="17">
        <v>82672863.150000006</v>
      </c>
      <c r="E175" s="17">
        <v>1845880.79</v>
      </c>
      <c r="F175" s="17">
        <v>288158.07</v>
      </c>
      <c r="G175" s="17">
        <v>213559.99</v>
      </c>
      <c r="H175" s="12">
        <f t="shared" si="95"/>
        <v>1920478.8699999999</v>
      </c>
      <c r="I175" s="17">
        <v>82366847.140000001</v>
      </c>
      <c r="J175" s="13">
        <f t="shared" si="82"/>
        <v>1.4034814943342476E-3</v>
      </c>
      <c r="K175" s="17">
        <v>84370069.659999996</v>
      </c>
      <c r="L175" s="13">
        <f t="shared" si="89"/>
        <v>1.3841600168777544E-3</v>
      </c>
      <c r="M175" s="13">
        <f t="shared" si="90"/>
        <v>2.4320738131387892E-2</v>
      </c>
      <c r="N175" s="21">
        <f t="shared" si="91"/>
        <v>2.5312292719517474E-3</v>
      </c>
      <c r="O175" s="22">
        <f t="shared" si="92"/>
        <v>2.276256115159405E-2</v>
      </c>
      <c r="P175" s="23">
        <f t="shared" si="93"/>
        <v>2.3490709297107775</v>
      </c>
      <c r="Q175" s="23">
        <f t="shared" si="94"/>
        <v>5.3470870686973461E-2</v>
      </c>
      <c r="R175" s="17">
        <v>2.3422000000000001</v>
      </c>
      <c r="S175" s="17">
        <v>2.3531</v>
      </c>
      <c r="T175" s="17">
        <v>98</v>
      </c>
      <c r="U175" s="17">
        <v>35636367.509999998</v>
      </c>
      <c r="V175" s="17">
        <v>35916356.799999997</v>
      </c>
    </row>
    <row r="176" spans="1:22">
      <c r="A176" s="90">
        <v>154</v>
      </c>
      <c r="B176" s="67" t="s">
        <v>175</v>
      </c>
      <c r="C176" s="67" t="s">
        <v>115</v>
      </c>
      <c r="D176" s="31">
        <v>576935190.50999999</v>
      </c>
      <c r="E176" s="31">
        <v>19876287.539999999</v>
      </c>
      <c r="F176" s="31">
        <v>5712110.3899999997</v>
      </c>
      <c r="G176" s="10">
        <v>8198989.4299999997</v>
      </c>
      <c r="H176" s="12">
        <f t="shared" si="95"/>
        <v>17389408.5</v>
      </c>
      <c r="I176" s="10">
        <v>523672685.81999999</v>
      </c>
      <c r="J176" s="13">
        <f t="shared" si="82"/>
        <v>8.9230673402789489E-3</v>
      </c>
      <c r="K176" s="10">
        <v>573569951.80999994</v>
      </c>
      <c r="L176" s="13">
        <f t="shared" si="89"/>
        <v>9.4098843034889391E-3</v>
      </c>
      <c r="M176" s="13">
        <f t="shared" si="90"/>
        <v>9.5283308335754879E-2</v>
      </c>
      <c r="N176" s="21">
        <f t="shared" si="91"/>
        <v>1.4294663456700721E-2</v>
      </c>
      <c r="O176" s="22">
        <f t="shared" si="92"/>
        <v>3.0317851284093058E-2</v>
      </c>
      <c r="P176" s="23">
        <f t="shared" si="93"/>
        <v>280.42660959946949</v>
      </c>
      <c r="Q176" s="23">
        <f t="shared" si="94"/>
        <v>8.5019322459391393</v>
      </c>
      <c r="R176" s="10">
        <v>280.42660000000001</v>
      </c>
      <c r="S176" s="10">
        <v>282.07190000000003</v>
      </c>
      <c r="T176" s="10">
        <v>155</v>
      </c>
      <c r="U176" s="10">
        <v>2044537.49</v>
      </c>
      <c r="V176" s="10">
        <v>2045347.81</v>
      </c>
    </row>
    <row r="177" spans="1:22">
      <c r="A177" s="90">
        <v>155</v>
      </c>
      <c r="B177" s="19" t="s">
        <v>176</v>
      </c>
      <c r="C177" s="67" t="s">
        <v>32</v>
      </c>
      <c r="D177" s="31">
        <v>2227673779.4299998</v>
      </c>
      <c r="E177" s="31">
        <v>37274127.049999997</v>
      </c>
      <c r="F177" s="31">
        <v>-15484904.93</v>
      </c>
      <c r="G177" s="10">
        <v>5217743.38</v>
      </c>
      <c r="H177" s="12">
        <f t="shared" si="95"/>
        <v>16571478.739999998</v>
      </c>
      <c r="I177" s="10">
        <v>2175791805.7199998</v>
      </c>
      <c r="J177" s="13">
        <f t="shared" si="82"/>
        <v>3.7074182646104334E-2</v>
      </c>
      <c r="K177" s="10">
        <v>1954356512.5699999</v>
      </c>
      <c r="L177" s="13">
        <f t="shared" si="89"/>
        <v>3.2062817469813626E-2</v>
      </c>
      <c r="M177" s="13">
        <f t="shared" si="90"/>
        <v>-0.10177228012710703</v>
      </c>
      <c r="N177" s="21">
        <f t="shared" si="91"/>
        <v>2.6698012089609031E-3</v>
      </c>
      <c r="O177" s="22">
        <f t="shared" si="92"/>
        <v>8.4792506553516816E-3</v>
      </c>
      <c r="P177" s="23">
        <f t="shared" si="93"/>
        <v>2619.9564482472015</v>
      </c>
      <c r="Q177" s="23">
        <f t="shared" si="94"/>
        <v>22.215267430792945</v>
      </c>
      <c r="R177" s="10">
        <v>552.22</v>
      </c>
      <c r="S177" s="10">
        <v>552.22</v>
      </c>
      <c r="T177" s="10">
        <v>823</v>
      </c>
      <c r="U177" s="10">
        <v>745950</v>
      </c>
      <c r="V177" s="10">
        <v>745950</v>
      </c>
    </row>
    <row r="178" spans="1:22">
      <c r="A178" s="90">
        <v>156</v>
      </c>
      <c r="B178" s="19" t="s">
        <v>177</v>
      </c>
      <c r="C178" s="67" t="s">
        <v>83</v>
      </c>
      <c r="D178" s="31">
        <v>23805270.920000002</v>
      </c>
      <c r="E178" s="31">
        <v>1052868.5</v>
      </c>
      <c r="F178" s="31">
        <v>596574</v>
      </c>
      <c r="G178" s="10">
        <v>122973.94</v>
      </c>
      <c r="H178" s="12">
        <f t="shared" si="95"/>
        <v>1526468.56</v>
      </c>
      <c r="I178" s="10">
        <v>36892028.369999997</v>
      </c>
      <c r="J178" s="13">
        <f t="shared" si="82"/>
        <v>6.2861795617528667E-4</v>
      </c>
      <c r="K178" s="10">
        <v>38833235.630000003</v>
      </c>
      <c r="L178" s="13">
        <f t="shared" si="89"/>
        <v>6.370910004181526E-4</v>
      </c>
      <c r="M178" s="13">
        <f t="shared" si="90"/>
        <v>5.2618610192183515E-2</v>
      </c>
      <c r="N178" s="21">
        <f t="shared" si="91"/>
        <v>3.1667188686434985E-3</v>
      </c>
      <c r="O178" s="22">
        <f t="shared" si="92"/>
        <v>3.9308302160141168E-2</v>
      </c>
      <c r="P178" s="23">
        <f t="shared" si="93"/>
        <v>2.4632374104238717</v>
      </c>
      <c r="Q178" s="23">
        <f t="shared" si="94"/>
        <v>9.6825680421105204E-2</v>
      </c>
      <c r="R178" s="10">
        <v>1.0798000000000001</v>
      </c>
      <c r="S178" s="10">
        <v>1.0798000000000001</v>
      </c>
      <c r="T178" s="10">
        <v>9</v>
      </c>
      <c r="U178" s="10">
        <v>15784817.890000001</v>
      </c>
      <c r="V178" s="10">
        <v>15765120.92</v>
      </c>
    </row>
    <row r="179" spans="1:22">
      <c r="A179" s="90">
        <v>157</v>
      </c>
      <c r="B179" s="67" t="s">
        <v>178</v>
      </c>
      <c r="C179" s="67" t="s">
        <v>42</v>
      </c>
      <c r="D179" s="31">
        <v>302223556.56</v>
      </c>
      <c r="E179" s="31">
        <v>3927855.28</v>
      </c>
      <c r="F179" s="31">
        <v>105170870.38</v>
      </c>
      <c r="G179" s="10">
        <v>441494.2</v>
      </c>
      <c r="H179" s="12">
        <f t="shared" si="95"/>
        <v>108657231.45999999</v>
      </c>
      <c r="I179" s="10">
        <v>288677222.16000003</v>
      </c>
      <c r="J179" s="13">
        <f t="shared" si="82"/>
        <v>4.9188860956245221E-3</v>
      </c>
      <c r="K179" s="10">
        <v>303841107.13999999</v>
      </c>
      <c r="L179" s="13">
        <f t="shared" si="89"/>
        <v>4.9847619384679551E-3</v>
      </c>
      <c r="M179" s="13">
        <f t="shared" si="90"/>
        <v>5.2528858586547371E-2</v>
      </c>
      <c r="N179" s="21">
        <f t="shared" si="91"/>
        <v>1.4530430202670832E-3</v>
      </c>
      <c r="O179" s="22">
        <f t="shared" si="92"/>
        <v>0.35761201794836245</v>
      </c>
      <c r="P179" s="23">
        <f t="shared" si="93"/>
        <v>3.0547806358044465</v>
      </c>
      <c r="Q179" s="23">
        <f t="shared" si="94"/>
        <v>1.0924262675596097</v>
      </c>
      <c r="R179" s="10">
        <v>3</v>
      </c>
      <c r="S179" s="10">
        <v>3.07</v>
      </c>
      <c r="T179" s="10">
        <v>121</v>
      </c>
      <c r="U179" s="10">
        <v>99263364.900000006</v>
      </c>
      <c r="V179" s="10">
        <v>99464132.900000006</v>
      </c>
    </row>
    <row r="180" spans="1:22">
      <c r="A180" s="90">
        <v>158</v>
      </c>
      <c r="B180" s="19" t="s">
        <v>179</v>
      </c>
      <c r="C180" s="19" t="s">
        <v>46</v>
      </c>
      <c r="D180" s="31">
        <v>2850264360.4000001</v>
      </c>
      <c r="E180" s="31">
        <v>40524871.710000001</v>
      </c>
      <c r="F180" s="31">
        <v>47674561.93</v>
      </c>
      <c r="G180" s="10">
        <v>6830602.8600000003</v>
      </c>
      <c r="H180" s="12">
        <f t="shared" si="95"/>
        <v>81368830.780000001</v>
      </c>
      <c r="I180" s="10">
        <v>2939220968.4699998</v>
      </c>
      <c r="J180" s="13">
        <f t="shared" si="82"/>
        <v>5.0082556031254569E-2</v>
      </c>
      <c r="K180" s="10">
        <v>2876886667.6999998</v>
      </c>
      <c r="L180" s="13">
        <f t="shared" si="89"/>
        <v>4.7197679397044827E-2</v>
      </c>
      <c r="M180" s="13">
        <f t="shared" si="90"/>
        <v>-2.1207762682248374E-2</v>
      </c>
      <c r="N180" s="21">
        <f t="shared" si="91"/>
        <v>2.3743037696583647E-3</v>
      </c>
      <c r="O180" s="22">
        <f t="shared" si="92"/>
        <v>2.8283641373002846E-2</v>
      </c>
      <c r="P180" s="23">
        <f t="shared" si="93"/>
        <v>7380.0288083859714</v>
      </c>
      <c r="Q180" s="23">
        <f t="shared" si="94"/>
        <v>208.73408813881835</v>
      </c>
      <c r="R180" s="10">
        <v>7337.46</v>
      </c>
      <c r="S180" s="10">
        <v>7409.2</v>
      </c>
      <c r="T180" s="10">
        <v>2383</v>
      </c>
      <c r="U180" s="10">
        <v>417208.53</v>
      </c>
      <c r="V180" s="10">
        <v>389820.52</v>
      </c>
    </row>
    <row r="181" spans="1:22">
      <c r="A181" s="90">
        <v>159</v>
      </c>
      <c r="B181" s="19" t="s">
        <v>308</v>
      </c>
      <c r="C181" s="19" t="s">
        <v>306</v>
      </c>
      <c r="D181" s="31">
        <v>104615857.31384499</v>
      </c>
      <c r="E181" s="31">
        <v>5265388.3899999997</v>
      </c>
      <c r="F181" s="31">
        <v>4472369.13</v>
      </c>
      <c r="G181" s="10">
        <v>886550.51</v>
      </c>
      <c r="H181" s="12">
        <f t="shared" si="95"/>
        <v>8851207.0099999998</v>
      </c>
      <c r="I181" s="10">
        <v>111200253.47</v>
      </c>
      <c r="J181" s="13">
        <f t="shared" si="82"/>
        <v>1.8947853818557939E-3</v>
      </c>
      <c r="K181" s="10">
        <v>114312681.98</v>
      </c>
      <c r="L181" s="13">
        <f t="shared" si="89"/>
        <v>1.8753930683761651E-3</v>
      </c>
      <c r="M181" s="13">
        <f t="shared" si="90"/>
        <v>2.7989401218763296E-2</v>
      </c>
      <c r="N181" s="21">
        <f t="shared" si="91"/>
        <v>7.7554869209971794E-3</v>
      </c>
      <c r="O181" s="22">
        <f t="shared" si="92"/>
        <v>7.7429790436975274E-2</v>
      </c>
      <c r="P181" s="23">
        <f t="shared" si="93"/>
        <v>1214.6471897691088</v>
      </c>
      <c r="Q181" s="23">
        <f t="shared" si="94"/>
        <v>94.049877358683034</v>
      </c>
      <c r="R181" s="10">
        <v>1204.5420999999999</v>
      </c>
      <c r="S181" s="10">
        <v>1221.1433999999999</v>
      </c>
      <c r="T181" s="10">
        <v>9</v>
      </c>
      <c r="U181" s="10">
        <v>94112.02</v>
      </c>
      <c r="V181" s="10">
        <v>94111.84</v>
      </c>
    </row>
    <row r="182" spans="1:22">
      <c r="A182" s="90">
        <v>160</v>
      </c>
      <c r="B182" s="68" t="s">
        <v>225</v>
      </c>
      <c r="C182" s="68" t="s">
        <v>226</v>
      </c>
      <c r="D182" s="31">
        <v>767009207.75999999</v>
      </c>
      <c r="E182" s="31">
        <v>112360387.64</v>
      </c>
      <c r="F182" s="31">
        <v>0</v>
      </c>
      <c r="G182" s="10">
        <v>895440.62</v>
      </c>
      <c r="H182" s="12">
        <f t="shared" si="95"/>
        <v>111464947.02</v>
      </c>
      <c r="I182" s="10">
        <v>755122688.67999995</v>
      </c>
      <c r="J182" s="13">
        <f t="shared" si="82"/>
        <v>1.2866836067100446E-2</v>
      </c>
      <c r="K182" s="10">
        <v>764757093.92999995</v>
      </c>
      <c r="L182" s="13">
        <f t="shared" si="89"/>
        <v>1.254646578232458E-2</v>
      </c>
      <c r="M182" s="13">
        <f t="shared" si="90"/>
        <v>1.2758728342332716E-2</v>
      </c>
      <c r="N182" s="21">
        <f t="shared" si="91"/>
        <v>1.1708823979630345E-3</v>
      </c>
      <c r="O182" s="22">
        <f t="shared" si="92"/>
        <v>0.1457520929256037</v>
      </c>
      <c r="P182" s="23">
        <f t="shared" si="93"/>
        <v>1.4597567371891844</v>
      </c>
      <c r="Q182" s="23">
        <f t="shared" si="94"/>
        <v>0.21276259960757407</v>
      </c>
      <c r="R182" s="10">
        <v>1.456</v>
      </c>
      <c r="S182" s="10">
        <v>1.456</v>
      </c>
      <c r="T182" s="10">
        <v>43</v>
      </c>
      <c r="U182" s="10">
        <v>523893519</v>
      </c>
      <c r="V182" s="10">
        <v>523893519</v>
      </c>
    </row>
    <row r="183" spans="1:22">
      <c r="A183" s="90">
        <v>161</v>
      </c>
      <c r="B183" s="19" t="s">
        <v>180</v>
      </c>
      <c r="C183" s="19" t="s">
        <v>50</v>
      </c>
      <c r="D183" s="31">
        <v>1797564300</v>
      </c>
      <c r="E183" s="31">
        <v>18971864</v>
      </c>
      <c r="F183" s="31">
        <v>24379540</v>
      </c>
      <c r="G183" s="10">
        <v>4159454</v>
      </c>
      <c r="H183" s="12">
        <f t="shared" si="95"/>
        <v>39191950</v>
      </c>
      <c r="I183" s="10">
        <v>2407374901.3499999</v>
      </c>
      <c r="J183" s="13">
        <f t="shared" si="82"/>
        <v>4.1020219193611103E-2</v>
      </c>
      <c r="K183" s="10">
        <v>2496303434.3800001</v>
      </c>
      <c r="L183" s="13">
        <f t="shared" si="89"/>
        <v>4.0953900094995103E-2</v>
      </c>
      <c r="M183" s="13">
        <f t="shared" si="90"/>
        <v>3.6940043272915724E-2</v>
      </c>
      <c r="N183" s="21">
        <f t="shared" si="91"/>
        <v>1.6662453541162043E-3</v>
      </c>
      <c r="O183" s="22">
        <f t="shared" si="92"/>
        <v>1.5699994423848555E-2</v>
      </c>
      <c r="P183" s="23">
        <f t="shared" si="93"/>
        <v>2.2396147993269593</v>
      </c>
      <c r="Q183" s="23">
        <f t="shared" si="94"/>
        <v>3.516193986100196E-2</v>
      </c>
      <c r="R183" s="10">
        <v>2.2400000000000002</v>
      </c>
      <c r="S183" s="10">
        <v>2.2599999999999998</v>
      </c>
      <c r="T183" s="10">
        <v>1393</v>
      </c>
      <c r="U183" s="10">
        <v>1112348825</v>
      </c>
      <c r="V183" s="10">
        <v>1114612850</v>
      </c>
    </row>
    <row r="184" spans="1:22">
      <c r="A184" s="90">
        <v>162</v>
      </c>
      <c r="B184" s="87" t="s">
        <v>181</v>
      </c>
      <c r="C184" s="19" t="s">
        <v>90</v>
      </c>
      <c r="D184" s="31">
        <v>8785056766.6299992</v>
      </c>
      <c r="E184" s="31">
        <v>107252855.61</v>
      </c>
      <c r="F184" s="31">
        <v>226185175.59</v>
      </c>
      <c r="G184" s="10">
        <v>24082778.670000002</v>
      </c>
      <c r="H184" s="12">
        <f t="shared" si="95"/>
        <v>309355252.52999997</v>
      </c>
      <c r="I184" s="10">
        <v>10067134277.48</v>
      </c>
      <c r="J184" s="13">
        <f t="shared" si="82"/>
        <v>0.17153790815139311</v>
      </c>
      <c r="K184" s="10">
        <v>10380489534.01</v>
      </c>
      <c r="L184" s="13">
        <f t="shared" si="89"/>
        <v>0.1703004232009856</v>
      </c>
      <c r="M184" s="13">
        <f t="shared" si="90"/>
        <v>3.1126559743120823E-2</v>
      </c>
      <c r="N184" s="21">
        <f t="shared" si="91"/>
        <v>2.3200041376754592E-3</v>
      </c>
      <c r="O184" s="22">
        <f t="shared" si="92"/>
        <v>2.9801605359405004E-2</v>
      </c>
      <c r="P184" s="23">
        <f t="shared" si="93"/>
        <v>607.33447431999093</v>
      </c>
      <c r="Q184" s="23">
        <f t="shared" si="94"/>
        <v>18.099542324846063</v>
      </c>
      <c r="R184" s="10">
        <v>602.66</v>
      </c>
      <c r="S184" s="10">
        <v>609.73</v>
      </c>
      <c r="T184" s="10">
        <v>35</v>
      </c>
      <c r="U184" s="10">
        <v>17085226.030000001</v>
      </c>
      <c r="V184" s="10">
        <v>17091882.600000001</v>
      </c>
    </row>
    <row r="185" spans="1:22">
      <c r="A185" s="90">
        <v>163</v>
      </c>
      <c r="B185" s="19" t="s">
        <v>182</v>
      </c>
      <c r="C185" s="19" t="s">
        <v>50</v>
      </c>
      <c r="D185" s="31">
        <v>723260701.51999998</v>
      </c>
      <c r="E185" s="31">
        <v>14482461</v>
      </c>
      <c r="F185" s="31">
        <v>38809162.149999999</v>
      </c>
      <c r="G185" s="10">
        <v>2374119</v>
      </c>
      <c r="H185" s="12">
        <f t="shared" si="95"/>
        <v>50917504.149999999</v>
      </c>
      <c r="I185" s="10">
        <v>1354536152</v>
      </c>
      <c r="J185" s="13">
        <f t="shared" si="82"/>
        <v>2.3080480663627372E-2</v>
      </c>
      <c r="K185" s="10">
        <v>1428911432.05</v>
      </c>
      <c r="L185" s="13">
        <f t="shared" si="89"/>
        <v>2.3442461051337057E-2</v>
      </c>
      <c r="M185" s="13">
        <f t="shared" si="90"/>
        <v>5.4908301960182718E-2</v>
      </c>
      <c r="N185" s="21">
        <f t="shared" si="91"/>
        <v>1.6614878618431584E-3</v>
      </c>
      <c r="O185" s="22">
        <f t="shared" si="92"/>
        <v>3.5633771980500405E-2</v>
      </c>
      <c r="P185" s="23">
        <f t="shared" si="93"/>
        <v>1.7491609025600494</v>
      </c>
      <c r="Q185" s="23">
        <f t="shared" si="94"/>
        <v>6.2329200759031089E-2</v>
      </c>
      <c r="R185" s="10">
        <v>1.75</v>
      </c>
      <c r="S185" s="10">
        <v>1.76</v>
      </c>
      <c r="T185" s="10">
        <v>229</v>
      </c>
      <c r="U185" s="10">
        <v>823876039</v>
      </c>
      <c r="V185" s="10">
        <v>816912515</v>
      </c>
    </row>
    <row r="186" spans="1:22">
      <c r="A186" s="90">
        <v>164</v>
      </c>
      <c r="B186" s="19" t="s">
        <v>183</v>
      </c>
      <c r="C186" s="19" t="s">
        <v>94</v>
      </c>
      <c r="D186" s="31">
        <v>4222817782.1100001</v>
      </c>
      <c r="E186" s="31">
        <v>23736216.989999998</v>
      </c>
      <c r="F186" s="31">
        <v>255761297.44999999</v>
      </c>
      <c r="G186" s="10">
        <v>9354405.75</v>
      </c>
      <c r="H186" s="12">
        <f t="shared" si="95"/>
        <v>270143108.69</v>
      </c>
      <c r="I186" s="10">
        <v>4016958173.9099998</v>
      </c>
      <c r="J186" s="13">
        <f t="shared" si="82"/>
        <v>6.8446549265323467E-2</v>
      </c>
      <c r="K186" s="10">
        <v>4320395577.1599998</v>
      </c>
      <c r="L186" s="13">
        <f t="shared" si="89"/>
        <v>7.0879624007653824E-2</v>
      </c>
      <c r="M186" s="13">
        <f t="shared" si="90"/>
        <v>7.5539099515851346E-2</v>
      </c>
      <c r="N186" s="21">
        <f t="shared" si="91"/>
        <v>2.1651734390833472E-3</v>
      </c>
      <c r="O186" s="22">
        <f t="shared" si="92"/>
        <v>6.2527401453266421E-2</v>
      </c>
      <c r="P186" s="23">
        <f t="shared" si="93"/>
        <v>25.914613967751983</v>
      </c>
      <c r="Q186" s="23">
        <f t="shared" si="94"/>
        <v>1.6203734710680537</v>
      </c>
      <c r="R186" s="10">
        <v>25.739100000000001</v>
      </c>
      <c r="S186" s="10">
        <v>26.065200000000001</v>
      </c>
      <c r="T186" s="10">
        <v>6153</v>
      </c>
      <c r="U186" s="10">
        <v>166780236.58000001</v>
      </c>
      <c r="V186" s="10">
        <v>166716570.91</v>
      </c>
    </row>
    <row r="187" spans="1:22" ht="15" customHeight="1">
      <c r="A187" s="119" t="s">
        <v>51</v>
      </c>
      <c r="B187" s="119"/>
      <c r="C187" s="119"/>
      <c r="D187" s="119"/>
      <c r="E187" s="119"/>
      <c r="F187" s="119"/>
      <c r="G187" s="119"/>
      <c r="H187" s="119"/>
      <c r="I187" s="40">
        <f>SUM(I159:I186)</f>
        <v>58687519196.020004</v>
      </c>
      <c r="J187" s="38">
        <f>(I187/$I$219)</f>
        <v>1.0778540527215743E-2</v>
      </c>
      <c r="K187" s="40">
        <f>SUM(K159:K186)</f>
        <v>60953985544.470001</v>
      </c>
      <c r="L187" s="38">
        <f>(K187/$K$219)</f>
        <v>1.0757572628695524E-2</v>
      </c>
      <c r="M187" s="38">
        <f t="shared" si="84"/>
        <v>3.8619222272453825E-2</v>
      </c>
      <c r="N187" s="21"/>
      <c r="O187" s="21"/>
      <c r="P187" s="39"/>
      <c r="Q187" s="39"/>
      <c r="R187" s="40"/>
      <c r="S187" s="40"/>
      <c r="T187" s="40">
        <f>SUM(T159:T186)</f>
        <v>68296</v>
      </c>
      <c r="U187" s="40"/>
      <c r="V187" s="43"/>
    </row>
    <row r="188" spans="1:22" ht="6" customHeight="1">
      <c r="A188" s="124"/>
      <c r="B188" s="124"/>
      <c r="C188" s="124"/>
      <c r="D188" s="124"/>
      <c r="E188" s="124"/>
      <c r="F188" s="124"/>
      <c r="G188" s="124"/>
      <c r="H188" s="124"/>
      <c r="I188" s="124"/>
      <c r="J188" s="124"/>
      <c r="K188" s="124"/>
      <c r="L188" s="124"/>
      <c r="M188" s="124"/>
      <c r="N188" s="124"/>
      <c r="O188" s="124"/>
      <c r="P188" s="124"/>
      <c r="Q188" s="124"/>
      <c r="R188" s="124"/>
      <c r="S188" s="124"/>
      <c r="T188" s="124"/>
      <c r="U188" s="124"/>
      <c r="V188" s="124"/>
    </row>
    <row r="189" spans="1:22">
      <c r="A189" s="118" t="s">
        <v>184</v>
      </c>
      <c r="B189" s="118"/>
      <c r="C189" s="118"/>
      <c r="D189" s="118"/>
      <c r="E189" s="118"/>
      <c r="F189" s="118"/>
      <c r="G189" s="118"/>
      <c r="H189" s="118"/>
      <c r="I189" s="118"/>
      <c r="J189" s="118"/>
      <c r="K189" s="118"/>
      <c r="L189" s="118"/>
      <c r="M189" s="118"/>
      <c r="N189" s="118"/>
      <c r="O189" s="118"/>
      <c r="P189" s="118"/>
      <c r="Q189" s="118"/>
      <c r="R189" s="118"/>
      <c r="S189" s="118"/>
      <c r="T189" s="118"/>
      <c r="U189" s="118"/>
      <c r="V189" s="118"/>
    </row>
    <row r="190" spans="1:22">
      <c r="A190" s="90">
        <v>165</v>
      </c>
      <c r="B190" s="67" t="s">
        <v>185</v>
      </c>
      <c r="C190" s="19" t="s">
        <v>46</v>
      </c>
      <c r="D190" s="10">
        <v>4812714918.3400002</v>
      </c>
      <c r="E190" s="10">
        <v>86573155.549999997</v>
      </c>
      <c r="F190" s="26">
        <v>142953964.59999999</v>
      </c>
      <c r="G190" s="10">
        <v>16649609.42</v>
      </c>
      <c r="H190" s="12">
        <f>(E190+F190)-G190</f>
        <v>212877510.72999999</v>
      </c>
      <c r="I190" s="10">
        <v>4639775835.9200001</v>
      </c>
      <c r="J190" s="13">
        <f t="shared" ref="J190:J191" si="97">(I190/$I$192)</f>
        <v>0.81053317028616534</v>
      </c>
      <c r="K190" s="10">
        <v>4858786188.2799997</v>
      </c>
      <c r="L190" s="13">
        <f t="shared" ref="L190" si="98">(K190/$K$192)</f>
        <v>0.80878592361561574</v>
      </c>
      <c r="M190" s="13">
        <f t="shared" ref="M190" si="99">((K190-I190)/I190)</f>
        <v>4.7202787398579804E-2</v>
      </c>
      <c r="N190" s="21">
        <f t="shared" ref="N190" si="100">(G190/K190)</f>
        <v>3.4267013971845356E-3</v>
      </c>
      <c r="O190" s="22">
        <f t="shared" ref="O190" si="101">H190/K190</f>
        <v>4.3812899452848365E-2</v>
      </c>
      <c r="P190" s="23">
        <f t="shared" ref="P190" si="102">K190/V190</f>
        <v>3.4127774955245695</v>
      </c>
      <c r="Q190" s="23">
        <f t="shared" ref="Q190" si="103">H190/V190</f>
        <v>0.14952367726636162</v>
      </c>
      <c r="R190" s="10">
        <v>3.39</v>
      </c>
      <c r="S190" s="10">
        <v>3.43</v>
      </c>
      <c r="T190" s="10">
        <v>10440</v>
      </c>
      <c r="U190" s="10">
        <v>1443637884.71</v>
      </c>
      <c r="V190" s="10">
        <v>1423704356.54</v>
      </c>
    </row>
    <row r="191" spans="1:22">
      <c r="A191" s="90">
        <v>166</v>
      </c>
      <c r="B191" s="67" t="s">
        <v>186</v>
      </c>
      <c r="C191" s="19" t="s">
        <v>94</v>
      </c>
      <c r="D191" s="10">
        <v>1102284417.55</v>
      </c>
      <c r="E191" s="10">
        <v>7162907.7400000002</v>
      </c>
      <c r="F191" s="10">
        <v>46986301.399999999</v>
      </c>
      <c r="G191" s="10">
        <v>5664761.3899999997</v>
      </c>
      <c r="H191" s="12">
        <f>(E191+F191)-G191</f>
        <v>48484447.75</v>
      </c>
      <c r="I191" s="10">
        <v>1084574512.73</v>
      </c>
      <c r="J191" s="13">
        <f t="shared" si="97"/>
        <v>0.18946682971383474</v>
      </c>
      <c r="K191" s="10">
        <v>1148719687.3900001</v>
      </c>
      <c r="L191" s="13">
        <f t="shared" ref="L191" si="104">(K191/$K$192)</f>
        <v>0.19121407638438417</v>
      </c>
      <c r="M191" s="13">
        <f t="shared" ref="M191" si="105">((K191-I191)/I191)</f>
        <v>5.9143169885616464E-2</v>
      </c>
      <c r="N191" s="21">
        <f t="shared" ref="N191" si="106">(G191/K191)</f>
        <v>4.9313696388984798E-3</v>
      </c>
      <c r="O191" s="22">
        <f t="shared" ref="O191" si="107">H191/K191</f>
        <v>4.2207379469713154E-2</v>
      </c>
      <c r="P191" s="23">
        <f t="shared" ref="P191" si="108">K191/V191</f>
        <v>32.396115597120676</v>
      </c>
      <c r="Q191" s="23">
        <f t="shared" ref="Q191" si="109">H191/V191</f>
        <v>1.367355144352365</v>
      </c>
      <c r="R191" s="10">
        <v>32.285699999999999</v>
      </c>
      <c r="S191" s="10">
        <v>32.6066</v>
      </c>
      <c r="T191" s="10">
        <v>1492</v>
      </c>
      <c r="U191" s="10">
        <v>35290352.689999998</v>
      </c>
      <c r="V191" s="10">
        <v>35458562.43</v>
      </c>
    </row>
    <row r="192" spans="1:22" ht="15" customHeight="1">
      <c r="A192" s="119" t="s">
        <v>51</v>
      </c>
      <c r="B192" s="119"/>
      <c r="C192" s="119"/>
      <c r="D192" s="119"/>
      <c r="E192" s="119"/>
      <c r="F192" s="119"/>
      <c r="G192" s="119"/>
      <c r="H192" s="119"/>
      <c r="I192" s="40">
        <f>SUM(I190:I191)</f>
        <v>5724350348.6499996</v>
      </c>
      <c r="J192" s="38">
        <f>(I192/$I$219)</f>
        <v>1.0513332829561806E-3</v>
      </c>
      <c r="K192" s="40">
        <f>SUM(K190:K191)</f>
        <v>6007505875.6700001</v>
      </c>
      <c r="L192" s="38">
        <f>(K192/$K$219)</f>
        <v>1.0602453670184703E-3</v>
      </c>
      <c r="M192" s="38">
        <f t="shared" ref="M192" si="110">((K192-I192)/I192)</f>
        <v>4.9465093813969359E-2</v>
      </c>
      <c r="N192" s="21"/>
      <c r="O192" s="44"/>
      <c r="P192" s="39"/>
      <c r="Q192" s="39"/>
      <c r="R192" s="40"/>
      <c r="S192" s="40"/>
      <c r="T192" s="40">
        <f>SUM(T190:T191)</f>
        <v>11932</v>
      </c>
      <c r="U192" s="40"/>
      <c r="V192" s="43"/>
    </row>
    <row r="193" spans="1:22" ht="8.1" customHeight="1">
      <c r="A193" s="121"/>
      <c r="B193" s="121"/>
      <c r="C193" s="121"/>
      <c r="D193" s="121"/>
      <c r="E193" s="121"/>
      <c r="F193" s="121"/>
      <c r="G193" s="121"/>
      <c r="H193" s="121"/>
      <c r="I193" s="121"/>
      <c r="J193" s="121"/>
      <c r="K193" s="121"/>
      <c r="L193" s="121"/>
      <c r="M193" s="121"/>
      <c r="N193" s="121"/>
      <c r="O193" s="121"/>
      <c r="P193" s="121"/>
      <c r="Q193" s="121"/>
      <c r="R193" s="121"/>
      <c r="S193" s="121"/>
      <c r="T193" s="121"/>
      <c r="U193" s="121"/>
      <c r="V193" s="121"/>
    </row>
    <row r="194" spans="1:22">
      <c r="A194" s="118" t="s">
        <v>187</v>
      </c>
      <c r="B194" s="118"/>
      <c r="C194" s="118"/>
      <c r="D194" s="118"/>
      <c r="E194" s="118"/>
      <c r="F194" s="118"/>
      <c r="G194" s="118"/>
      <c r="H194" s="118"/>
      <c r="I194" s="118"/>
      <c r="J194" s="118"/>
      <c r="K194" s="118"/>
      <c r="L194" s="118"/>
      <c r="M194" s="118"/>
      <c r="N194" s="118"/>
      <c r="O194" s="118"/>
      <c r="P194" s="118"/>
      <c r="Q194" s="118"/>
      <c r="R194" s="118"/>
      <c r="S194" s="118"/>
      <c r="T194" s="118"/>
      <c r="U194" s="118"/>
      <c r="V194" s="118"/>
    </row>
    <row r="195" spans="1:22" ht="12.9" customHeight="1">
      <c r="A195" s="122" t="s">
        <v>188</v>
      </c>
      <c r="B195" s="122"/>
      <c r="C195" s="122"/>
      <c r="D195" s="122"/>
      <c r="E195" s="122"/>
      <c r="F195" s="122"/>
      <c r="G195" s="122"/>
      <c r="H195" s="122"/>
      <c r="I195" s="122"/>
      <c r="J195" s="122"/>
      <c r="K195" s="122"/>
      <c r="L195" s="122"/>
      <c r="M195" s="122"/>
      <c r="N195" s="122"/>
      <c r="O195" s="122"/>
      <c r="P195" s="122"/>
      <c r="Q195" s="122"/>
      <c r="R195" s="122"/>
      <c r="S195" s="122"/>
      <c r="T195" s="122"/>
      <c r="U195" s="122"/>
      <c r="V195" s="122"/>
    </row>
    <row r="196" spans="1:22" ht="15" customHeight="1">
      <c r="A196" s="90">
        <v>167</v>
      </c>
      <c r="B196" s="67" t="s">
        <v>189</v>
      </c>
      <c r="C196" s="19" t="s">
        <v>118</v>
      </c>
      <c r="D196" s="30">
        <v>4964991891.2299995</v>
      </c>
      <c r="E196" s="20">
        <v>99413282.989999995</v>
      </c>
      <c r="F196" s="20">
        <v>266163066.21000001</v>
      </c>
      <c r="G196" s="33">
        <v>15818498.59</v>
      </c>
      <c r="H196" s="12">
        <f>(E196+F196)-G196</f>
        <v>349757850.61000001</v>
      </c>
      <c r="I196" s="31">
        <v>5370577379.1899996</v>
      </c>
      <c r="J196" s="13">
        <f>(I196/$I$218)</f>
        <v>9.0957958501606609E-2</v>
      </c>
      <c r="K196" s="31">
        <v>5812887880.2299995</v>
      </c>
      <c r="L196" s="13">
        <f>(K196/$K$218)</f>
        <v>9.9204088445424152E-2</v>
      </c>
      <c r="M196" s="13">
        <f>((K196-I196)/I196)</f>
        <v>8.2358091097220171E-2</v>
      </c>
      <c r="N196" s="21">
        <f>(G196/K196)</f>
        <v>2.7212805262939472E-3</v>
      </c>
      <c r="O196" s="22">
        <f>H196/K196</f>
        <v>6.016937842540343E-2</v>
      </c>
      <c r="P196" s="23">
        <f>K196/V196</f>
        <v>2.5181530464761943</v>
      </c>
      <c r="Q196" s="23">
        <f>H196/V196</f>
        <v>0.15151570358650865</v>
      </c>
      <c r="R196" s="31">
        <v>2.4900000000000002</v>
      </c>
      <c r="S196" s="31">
        <v>2.54</v>
      </c>
      <c r="T196" s="31">
        <v>15036</v>
      </c>
      <c r="U196" s="10">
        <v>2271065468.1999998</v>
      </c>
      <c r="V196" s="10">
        <v>2308393403</v>
      </c>
    </row>
    <row r="197" spans="1:22">
      <c r="A197" s="90">
        <v>168</v>
      </c>
      <c r="B197" s="19" t="s">
        <v>190</v>
      </c>
      <c r="C197" s="19" t="s">
        <v>46</v>
      </c>
      <c r="D197" s="33">
        <v>1089707801.5699999</v>
      </c>
      <c r="E197" s="33">
        <v>24271261.059999999</v>
      </c>
      <c r="F197" s="33">
        <v>75508298.530000001</v>
      </c>
      <c r="G197" s="33">
        <v>2479769.56</v>
      </c>
      <c r="H197" s="12">
        <f>(E197+F197)-G197</f>
        <v>97299790.030000001</v>
      </c>
      <c r="I197" s="17">
        <v>978087929.28999996</v>
      </c>
      <c r="J197" s="13">
        <f>(I197/$I$218)</f>
        <v>1.6565235914485606E-2</v>
      </c>
      <c r="K197" s="17">
        <v>1108465627.8800001</v>
      </c>
      <c r="L197" s="13">
        <f>(K197/$K$218)</f>
        <v>1.8917330671543792E-2</v>
      </c>
      <c r="M197" s="13">
        <f>((K197-I197)/I197)</f>
        <v>0.13329854575001465</v>
      </c>
      <c r="N197" s="21">
        <f>(G197/K197)</f>
        <v>2.2371190388128606E-3</v>
      </c>
      <c r="O197" s="22">
        <f>H197/K197</f>
        <v>8.7778806651940183E-2</v>
      </c>
      <c r="P197" s="23">
        <f>K197/V197</f>
        <v>636.35056068183997</v>
      </c>
      <c r="Q197" s="23">
        <f>H197/V197</f>
        <v>55.858092828944955</v>
      </c>
      <c r="R197" s="17">
        <v>631.57000000000005</v>
      </c>
      <c r="S197" s="17">
        <v>639.63</v>
      </c>
      <c r="T197" s="17">
        <v>1007</v>
      </c>
      <c r="U197" s="17">
        <v>1681842.3</v>
      </c>
      <c r="V197" s="17">
        <v>1741910.35</v>
      </c>
    </row>
    <row r="198" spans="1:22" ht="6.9" customHeight="1">
      <c r="A198" s="121"/>
      <c r="B198" s="121"/>
      <c r="C198" s="121"/>
      <c r="D198" s="121"/>
      <c r="E198" s="121"/>
      <c r="F198" s="121"/>
      <c r="G198" s="121"/>
      <c r="H198" s="121"/>
      <c r="I198" s="121"/>
      <c r="J198" s="121"/>
      <c r="K198" s="121"/>
      <c r="L198" s="121"/>
      <c r="M198" s="121"/>
      <c r="N198" s="121"/>
      <c r="O198" s="121"/>
      <c r="P198" s="121"/>
      <c r="Q198" s="121"/>
      <c r="R198" s="121"/>
      <c r="S198" s="121"/>
      <c r="T198" s="121"/>
      <c r="U198" s="121"/>
      <c r="V198" s="121"/>
    </row>
    <row r="199" spans="1:22">
      <c r="A199" s="123" t="s">
        <v>146</v>
      </c>
      <c r="B199" s="123"/>
      <c r="C199" s="123"/>
      <c r="D199" s="123"/>
      <c r="E199" s="123"/>
      <c r="F199" s="123"/>
      <c r="G199" s="123"/>
      <c r="H199" s="123"/>
      <c r="I199" s="123"/>
      <c r="J199" s="123"/>
      <c r="K199" s="123"/>
      <c r="L199" s="123"/>
      <c r="M199" s="123"/>
      <c r="N199" s="123"/>
      <c r="O199" s="123"/>
      <c r="P199" s="123"/>
      <c r="Q199" s="123"/>
      <c r="R199" s="123"/>
      <c r="S199" s="123"/>
      <c r="T199" s="123"/>
      <c r="U199" s="123"/>
      <c r="V199" s="123"/>
    </row>
    <row r="200" spans="1:22">
      <c r="A200" s="95">
        <v>169</v>
      </c>
      <c r="B200" s="70" t="s">
        <v>272</v>
      </c>
      <c r="C200" s="71" t="s">
        <v>58</v>
      </c>
      <c r="D200" s="59">
        <v>490457971.29000002</v>
      </c>
      <c r="E200" s="59">
        <v>14253474.93</v>
      </c>
      <c r="F200" s="10">
        <v>0</v>
      </c>
      <c r="G200" s="59">
        <v>2507479.5</v>
      </c>
      <c r="H200" s="59">
        <f>(E200+F200)-G200</f>
        <v>11745995.43</v>
      </c>
      <c r="I200" s="59">
        <v>1270247059</v>
      </c>
      <c r="J200" s="13">
        <f t="shared" ref="J200:J212" si="111">(I200/$I$218)</f>
        <v>2.1513344119573168E-2</v>
      </c>
      <c r="K200" s="59">
        <v>1297475706</v>
      </c>
      <c r="L200" s="13">
        <f t="shared" ref="L200:L212" si="112">(K200/$K$218)</f>
        <v>2.2143020361975442E-2</v>
      </c>
      <c r="M200" s="13">
        <f t="shared" ref="M200:M218" si="113">((K200-I200)/I200)</f>
        <v>2.1435709539399137E-2</v>
      </c>
      <c r="N200" s="21">
        <f>(G200/K200)</f>
        <v>1.9325830059125592E-3</v>
      </c>
      <c r="O200" s="22">
        <f>H200/K200</f>
        <v>9.0529598170372219E-3</v>
      </c>
      <c r="P200" s="23">
        <f>K200/V200</f>
        <v>1.0754101175858282</v>
      </c>
      <c r="Q200" s="23">
        <f>H200/V200</f>
        <v>9.7356445813397766E-3</v>
      </c>
      <c r="R200" s="59">
        <v>1.0753999999999999</v>
      </c>
      <c r="S200" s="59">
        <v>1.0753999999999999</v>
      </c>
      <c r="T200" s="59">
        <v>614</v>
      </c>
      <c r="U200" s="59">
        <v>1191973604</v>
      </c>
      <c r="V200" s="59">
        <v>1206493862</v>
      </c>
    </row>
    <row r="201" spans="1:22">
      <c r="A201" s="95">
        <v>170</v>
      </c>
      <c r="B201" s="70" t="s">
        <v>191</v>
      </c>
      <c r="C201" s="71" t="s">
        <v>192</v>
      </c>
      <c r="D201" s="59">
        <v>288717325</v>
      </c>
      <c r="E201" s="59">
        <v>2161018</v>
      </c>
      <c r="F201" s="10">
        <v>0</v>
      </c>
      <c r="G201" s="59">
        <v>811631</v>
      </c>
      <c r="H201" s="59">
        <f>(E201+F201)-G201</f>
        <v>1349387</v>
      </c>
      <c r="I201" s="59">
        <v>348077834</v>
      </c>
      <c r="J201" s="13">
        <f t="shared" si="111"/>
        <v>5.8951667474300877E-3</v>
      </c>
      <c r="K201" s="59">
        <v>349345974.72144568</v>
      </c>
      <c r="L201" s="13">
        <f t="shared" ref="L201:L212" si="114">(K201/$K$218)</f>
        <v>5.9620191698842723E-3</v>
      </c>
      <c r="M201" s="13">
        <f t="shared" si="113"/>
        <v>3.6432676762912738E-3</v>
      </c>
      <c r="N201" s="21">
        <f t="shared" ref="N201:N212" si="115">(G201/K201)</f>
        <v>2.3232871099979372E-3</v>
      </c>
      <c r="O201" s="22">
        <f t="shared" ref="O201:O212" si="116">H201/K201</f>
        <v>3.8626092688657612E-3</v>
      </c>
      <c r="P201" s="23">
        <f t="shared" ref="P201:P212" si="117">K201/V201</f>
        <v>1067.3146948683543</v>
      </c>
      <c r="Q201" s="23">
        <f t="shared" ref="Q201:Q212" si="118">H201/V201</f>
        <v>4.1226196331951375</v>
      </c>
      <c r="R201" s="59">
        <v>1067.6300000000001</v>
      </c>
      <c r="S201" s="59">
        <v>1067.6300000000001</v>
      </c>
      <c r="T201" s="59">
        <v>21</v>
      </c>
      <c r="U201" s="59">
        <v>327217</v>
      </c>
      <c r="V201" s="59">
        <f>U201+96</f>
        <v>327313</v>
      </c>
    </row>
    <row r="202" spans="1:22" ht="15" customHeight="1">
      <c r="A202" s="95">
        <v>171</v>
      </c>
      <c r="B202" s="70" t="s">
        <v>193</v>
      </c>
      <c r="C202" s="71" t="s">
        <v>62</v>
      </c>
      <c r="D202" s="59">
        <v>84183750.260000005</v>
      </c>
      <c r="E202" s="59">
        <v>2060108.12</v>
      </c>
      <c r="F202" s="10">
        <v>0</v>
      </c>
      <c r="G202" s="59">
        <v>378129.3</v>
      </c>
      <c r="H202" s="59">
        <f t="shared" ref="H202:H211" si="119">(E202+F202)-G202</f>
        <v>1681978.82</v>
      </c>
      <c r="I202" s="59">
        <v>210156921.53999999</v>
      </c>
      <c r="J202" s="13">
        <f t="shared" si="111"/>
        <v>3.5592904074577812E-3</v>
      </c>
      <c r="K202" s="59">
        <v>210874455.80000001</v>
      </c>
      <c r="L202" s="13">
        <f t="shared" si="114"/>
        <v>3.5988322147435191E-3</v>
      </c>
      <c r="M202" s="13">
        <f t="shared" si="113"/>
        <v>3.4142785055187876E-3</v>
      </c>
      <c r="N202" s="21">
        <f t="shared" si="115"/>
        <v>1.7931489073225149E-3</v>
      </c>
      <c r="O202" s="22">
        <f t="shared" si="116"/>
        <v>7.9762094162568551E-3</v>
      </c>
      <c r="P202" s="23">
        <f t="shared" si="117"/>
        <v>117.34178686057952</v>
      </c>
      <c r="Q202" s="23">
        <f t="shared" si="118"/>
        <v>0.93594266527775927</v>
      </c>
      <c r="R202" s="59">
        <v>117.31</v>
      </c>
      <c r="S202" s="59">
        <v>117.31</v>
      </c>
      <c r="T202" s="59">
        <v>66</v>
      </c>
      <c r="U202" s="59">
        <v>1752313</v>
      </c>
      <c r="V202" s="59">
        <v>1797096</v>
      </c>
    </row>
    <row r="203" spans="1:22" ht="15" customHeight="1">
      <c r="A203" s="95">
        <v>172</v>
      </c>
      <c r="B203" s="70" t="s">
        <v>194</v>
      </c>
      <c r="C203" s="71" t="s">
        <v>169</v>
      </c>
      <c r="D203" s="59">
        <v>33669302.710000001</v>
      </c>
      <c r="E203" s="59">
        <v>668240.22</v>
      </c>
      <c r="F203" s="10">
        <v>0</v>
      </c>
      <c r="G203" s="59">
        <v>160357.65</v>
      </c>
      <c r="H203" s="59">
        <f t="shared" si="119"/>
        <v>507882.56999999995</v>
      </c>
      <c r="I203" s="59">
        <v>62058774.5</v>
      </c>
      <c r="J203" s="13">
        <f t="shared" si="111"/>
        <v>1.0510488979274166E-3</v>
      </c>
      <c r="K203" s="59">
        <v>62058774.5</v>
      </c>
      <c r="L203" s="13">
        <f t="shared" si="114"/>
        <v>1.0591093929836883E-3</v>
      </c>
      <c r="M203" s="13">
        <f t="shared" si="113"/>
        <v>0</v>
      </c>
      <c r="N203" s="21">
        <f t="shared" si="115"/>
        <v>2.5839641741555821E-3</v>
      </c>
      <c r="O203" s="22">
        <f t="shared" si="116"/>
        <v>8.1838962192203775E-3</v>
      </c>
      <c r="P203" s="23">
        <f t="shared" si="117"/>
        <v>100.16264969818263</v>
      </c>
      <c r="Q203" s="23">
        <f t="shared" si="118"/>
        <v>0.81972073017205194</v>
      </c>
      <c r="R203" s="59">
        <v>101.29</v>
      </c>
      <c r="S203" s="59">
        <v>101.29</v>
      </c>
      <c r="T203" s="59">
        <v>20</v>
      </c>
      <c r="U203" s="59">
        <v>609236</v>
      </c>
      <c r="V203" s="59">
        <v>619580</v>
      </c>
    </row>
    <row r="204" spans="1:22" ht="15" customHeight="1">
      <c r="A204" s="95">
        <v>173</v>
      </c>
      <c r="B204" s="19" t="s">
        <v>259</v>
      </c>
      <c r="C204" s="67" t="s">
        <v>69</v>
      </c>
      <c r="D204" s="16">
        <v>157754870.09</v>
      </c>
      <c r="E204" s="31">
        <v>1522664.99</v>
      </c>
      <c r="F204" s="31">
        <v>0</v>
      </c>
      <c r="G204" s="10">
        <v>468490.53</v>
      </c>
      <c r="H204" s="12">
        <f t="shared" si="119"/>
        <v>1054174.46</v>
      </c>
      <c r="I204" s="17">
        <v>110581673.20999999</v>
      </c>
      <c r="J204" s="13">
        <f t="shared" si="111"/>
        <v>1.8728495155562607E-3</v>
      </c>
      <c r="K204" s="17">
        <v>155990970.30000001</v>
      </c>
      <c r="L204" s="13">
        <f t="shared" si="114"/>
        <v>2.6621779626887342E-3</v>
      </c>
      <c r="M204" s="13">
        <f t="shared" si="113"/>
        <v>0.41064035089942569</v>
      </c>
      <c r="N204" s="21">
        <f t="shared" si="115"/>
        <v>3.0033182632238551E-3</v>
      </c>
      <c r="O204" s="22">
        <f t="shared" si="116"/>
        <v>6.7579197563334848E-3</v>
      </c>
      <c r="P204" s="23">
        <f t="shared" si="117"/>
        <v>1.0912448302502424</v>
      </c>
      <c r="Q204" s="23">
        <f t="shared" si="118"/>
        <v>7.3745449973448935E-3</v>
      </c>
      <c r="R204" s="10">
        <v>1.0911</v>
      </c>
      <c r="S204" s="10">
        <v>1.0911</v>
      </c>
      <c r="T204" s="10">
        <v>41</v>
      </c>
      <c r="U204" s="10">
        <v>102349137.68000001</v>
      </c>
      <c r="V204" s="10">
        <v>142947729.03</v>
      </c>
    </row>
    <row r="205" spans="1:22" ht="15" customHeight="1">
      <c r="A205" s="95">
        <v>174</v>
      </c>
      <c r="B205" s="71" t="s">
        <v>195</v>
      </c>
      <c r="C205" s="71" t="s">
        <v>73</v>
      </c>
      <c r="D205" s="59">
        <v>5452432517.0600004</v>
      </c>
      <c r="E205" s="59">
        <v>69857537.950000003</v>
      </c>
      <c r="F205" s="10">
        <v>0</v>
      </c>
      <c r="G205" s="59">
        <v>8969800.5600000005</v>
      </c>
      <c r="H205" s="59">
        <f t="shared" si="119"/>
        <v>60887737.390000001</v>
      </c>
      <c r="I205" s="59">
        <v>5412959005.8199997</v>
      </c>
      <c r="J205" s="13">
        <f t="shared" si="111"/>
        <v>9.1675748408363997E-2</v>
      </c>
      <c r="K205" s="59">
        <v>5423674222.29</v>
      </c>
      <c r="L205" s="13">
        <f t="shared" si="114"/>
        <v>9.2561678176723255E-2</v>
      </c>
      <c r="M205" s="13">
        <f t="shared" si="113"/>
        <v>1.9795487936412033E-3</v>
      </c>
      <c r="N205" s="21">
        <f t="shared" si="115"/>
        <v>1.6538236244235084E-3</v>
      </c>
      <c r="O205" s="22">
        <f t="shared" si="116"/>
        <v>1.1226289576863965E-2</v>
      </c>
      <c r="P205" s="23">
        <f t="shared" si="117"/>
        <v>152.9350883883404</v>
      </c>
      <c r="Q205" s="23">
        <f t="shared" si="118"/>
        <v>1.716893588710795</v>
      </c>
      <c r="R205" s="59">
        <v>152.93</v>
      </c>
      <c r="S205" s="59">
        <v>152.93</v>
      </c>
      <c r="T205" s="59">
        <v>703</v>
      </c>
      <c r="U205" s="59">
        <v>35800226</v>
      </c>
      <c r="V205" s="59">
        <v>35463897</v>
      </c>
    </row>
    <row r="206" spans="1:22" ht="15" customHeight="1">
      <c r="A206" s="95">
        <v>175</v>
      </c>
      <c r="B206" s="71" t="s">
        <v>221</v>
      </c>
      <c r="C206" s="71" t="s">
        <v>60</v>
      </c>
      <c r="D206" s="59">
        <v>767473194.35000002</v>
      </c>
      <c r="E206" s="59">
        <v>8723689.3800000008</v>
      </c>
      <c r="F206" s="10">
        <v>0</v>
      </c>
      <c r="G206" s="59">
        <v>1794714.32</v>
      </c>
      <c r="H206" s="59">
        <f t="shared" si="119"/>
        <v>6928975.0600000005</v>
      </c>
      <c r="I206" s="59">
        <v>798031437.86000001</v>
      </c>
      <c r="J206" s="13">
        <f t="shared" si="111"/>
        <v>1.3515736816140073E-2</v>
      </c>
      <c r="K206" s="59">
        <v>780052600.51999998</v>
      </c>
      <c r="L206" s="13">
        <f t="shared" si="114"/>
        <v>1.3312558020817582E-2</v>
      </c>
      <c r="M206" s="13">
        <f t="shared" si="113"/>
        <v>-2.2528983805715799E-2</v>
      </c>
      <c r="N206" s="21">
        <f t="shared" si="115"/>
        <v>2.3007606394794462E-3</v>
      </c>
      <c r="O206" s="22">
        <f t="shared" si="116"/>
        <v>8.8827023400486014E-3</v>
      </c>
      <c r="P206" s="23">
        <f t="shared" si="117"/>
        <v>1252.4001923942305</v>
      </c>
      <c r="Q206" s="23">
        <f t="shared" si="118"/>
        <v>11.12469811965755</v>
      </c>
      <c r="R206" s="59">
        <v>1252.4000000000001</v>
      </c>
      <c r="S206" s="59">
        <v>1252.4000000000001</v>
      </c>
      <c r="T206" s="59">
        <v>194</v>
      </c>
      <c r="U206" s="59">
        <v>642749.15</v>
      </c>
      <c r="V206" s="59">
        <v>622846.12</v>
      </c>
    </row>
    <row r="207" spans="1:22" ht="15" customHeight="1">
      <c r="A207" s="95">
        <v>176</v>
      </c>
      <c r="B207" s="70" t="s">
        <v>117</v>
      </c>
      <c r="C207" s="71" t="s">
        <v>118</v>
      </c>
      <c r="D207" s="59">
        <v>18578816631.740002</v>
      </c>
      <c r="E207" s="59">
        <v>504405416.07999998</v>
      </c>
      <c r="F207" s="10">
        <v>-7000000</v>
      </c>
      <c r="G207" s="59">
        <v>49980779.399999999</v>
      </c>
      <c r="H207" s="59">
        <f t="shared" si="119"/>
        <v>447424636.68000001</v>
      </c>
      <c r="I207" s="59">
        <v>30692575808.700001</v>
      </c>
      <c r="J207" s="13">
        <f t="shared" si="111"/>
        <v>0.51982009374496796</v>
      </c>
      <c r="K207" s="59">
        <v>29548852299.290001</v>
      </c>
      <c r="L207" s="13">
        <f t="shared" si="114"/>
        <v>0.50428754473818516</v>
      </c>
      <c r="M207" s="13">
        <f t="shared" si="113"/>
        <v>-3.7263848969163557E-2</v>
      </c>
      <c r="N207" s="21">
        <f t="shared" si="115"/>
        <v>1.6914626292000158E-3</v>
      </c>
      <c r="O207" s="22">
        <f t="shared" si="116"/>
        <v>1.5141861759915146E-2</v>
      </c>
      <c r="P207" s="23">
        <f t="shared" si="117"/>
        <v>1260.8341079638583</v>
      </c>
      <c r="Q207" s="23">
        <f t="shared" si="118"/>
        <v>19.091375764974671</v>
      </c>
      <c r="R207" s="59">
        <v>1260.83</v>
      </c>
      <c r="S207" s="59">
        <v>1260.83</v>
      </c>
      <c r="T207" s="59">
        <v>10339</v>
      </c>
      <c r="U207" s="59">
        <v>24703728.25</v>
      </c>
      <c r="V207" s="59">
        <v>23435955.699999999</v>
      </c>
    </row>
    <row r="208" spans="1:22" ht="15" customHeight="1">
      <c r="A208" s="95">
        <v>177</v>
      </c>
      <c r="B208" s="73" t="s">
        <v>218</v>
      </c>
      <c r="C208" s="73" t="s">
        <v>219</v>
      </c>
      <c r="D208" s="59">
        <v>499966833.76999998</v>
      </c>
      <c r="E208" s="59">
        <v>493150.68</v>
      </c>
      <c r="F208" s="10">
        <v>26276509.449999999</v>
      </c>
      <c r="G208" s="59">
        <v>872743.84</v>
      </c>
      <c r="H208" s="59">
        <v>10833182.789999999</v>
      </c>
      <c r="I208" s="59">
        <v>513384868.88</v>
      </c>
      <c r="J208" s="13">
        <f t="shared" si="111"/>
        <v>8.6948639414227442E-3</v>
      </c>
      <c r="K208" s="59">
        <v>505903746.35000002</v>
      </c>
      <c r="L208" s="13">
        <f t="shared" si="114"/>
        <v>8.633870295084901E-3</v>
      </c>
      <c r="M208" s="13">
        <f t="shared" si="113"/>
        <v>-1.4572152362652959E-2</v>
      </c>
      <c r="N208" s="21">
        <f t="shared" si="115"/>
        <v>1.7251183575861652E-3</v>
      </c>
      <c r="O208" s="22">
        <f t="shared" si="116"/>
        <v>2.1413525533580977E-2</v>
      </c>
      <c r="P208" s="23">
        <f t="shared" si="117"/>
        <v>127.91723087486639</v>
      </c>
      <c r="Q208" s="23">
        <f t="shared" si="118"/>
        <v>2.7391588895239245</v>
      </c>
      <c r="R208" s="59">
        <v>124.55</v>
      </c>
      <c r="S208" s="59">
        <v>125.55</v>
      </c>
      <c r="T208" s="59">
        <v>149</v>
      </c>
      <c r="U208" s="59">
        <v>4100159.09</v>
      </c>
      <c r="V208" s="59">
        <v>3954930.41</v>
      </c>
    </row>
    <row r="209" spans="1:22" ht="15" customHeight="1">
      <c r="A209" s="95">
        <v>178</v>
      </c>
      <c r="B209" s="73" t="s">
        <v>220</v>
      </c>
      <c r="C209" s="73" t="s">
        <v>219</v>
      </c>
      <c r="D209" s="59">
        <v>202667490.44</v>
      </c>
      <c r="E209" s="59">
        <v>0</v>
      </c>
      <c r="F209" s="10">
        <v>15668268.17</v>
      </c>
      <c r="G209" s="59">
        <v>365766.53</v>
      </c>
      <c r="H209" s="59">
        <f t="shared" si="119"/>
        <v>15302501.640000001</v>
      </c>
      <c r="I209" s="59">
        <v>182917741.36000001</v>
      </c>
      <c r="J209" s="13">
        <f t="shared" si="111"/>
        <v>3.0979582181050037E-3</v>
      </c>
      <c r="K209" s="59">
        <v>233240247.94</v>
      </c>
      <c r="L209" s="13">
        <f t="shared" si="114"/>
        <v>3.9805319941517434E-3</v>
      </c>
      <c r="M209" s="13">
        <f t="shared" si="113"/>
        <v>0.27511003692616326</v>
      </c>
      <c r="N209" s="21">
        <f t="shared" si="115"/>
        <v>1.5681964550736192E-3</v>
      </c>
      <c r="O209" s="22">
        <f t="shared" si="116"/>
        <v>6.5608323499709617E-2</v>
      </c>
      <c r="P209" s="23">
        <f t="shared" si="117"/>
        <v>122.23776521889087</v>
      </c>
      <c r="Q209" s="23">
        <f t="shared" si="118"/>
        <v>8.0198148443625463</v>
      </c>
      <c r="R209" s="59">
        <v>122.24</v>
      </c>
      <c r="S209" s="59">
        <v>122.24</v>
      </c>
      <c r="T209" s="59">
        <v>78</v>
      </c>
      <c r="U209" s="59">
        <v>1522855.77</v>
      </c>
      <c r="V209" s="59">
        <v>1908086.65</v>
      </c>
    </row>
    <row r="210" spans="1:22" ht="13.8" customHeight="1">
      <c r="A210" s="95">
        <v>179</v>
      </c>
      <c r="B210" s="71" t="s">
        <v>196</v>
      </c>
      <c r="C210" s="71" t="s">
        <v>144</v>
      </c>
      <c r="D210" s="59">
        <v>1012011762.09</v>
      </c>
      <c r="E210" s="59">
        <v>18514576.91</v>
      </c>
      <c r="F210" s="10">
        <v>0</v>
      </c>
      <c r="G210" s="59">
        <v>2629892.09</v>
      </c>
      <c r="H210" s="59">
        <f t="shared" si="119"/>
        <v>15884684.82</v>
      </c>
      <c r="I210" s="59">
        <v>1442274326</v>
      </c>
      <c r="J210" s="13">
        <f t="shared" si="111"/>
        <v>2.4426857492187631E-2</v>
      </c>
      <c r="K210" s="59">
        <v>1442274326</v>
      </c>
      <c r="L210" s="13">
        <f t="shared" si="114"/>
        <v>2.4614187086885161E-2</v>
      </c>
      <c r="M210" s="13">
        <f t="shared" si="113"/>
        <v>0</v>
      </c>
      <c r="N210" s="21">
        <f t="shared" si="115"/>
        <v>1.8234340323409458E-3</v>
      </c>
      <c r="O210" s="22">
        <f t="shared" si="116"/>
        <v>1.1013636264367643E-2</v>
      </c>
      <c r="P210" s="23">
        <f t="shared" si="117"/>
        <v>104.36978940489202</v>
      </c>
      <c r="Q210" s="23">
        <f t="shared" si="118"/>
        <v>1.1494908974941325</v>
      </c>
      <c r="R210" s="59">
        <v>104.37</v>
      </c>
      <c r="S210" s="59">
        <v>104.37</v>
      </c>
      <c r="T210" s="59">
        <v>627</v>
      </c>
      <c r="U210" s="59">
        <v>13837317</v>
      </c>
      <c r="V210" s="59">
        <v>13818887</v>
      </c>
    </row>
    <row r="211" spans="1:22">
      <c r="A211" s="95">
        <v>180</v>
      </c>
      <c r="B211" s="70" t="s">
        <v>197</v>
      </c>
      <c r="C211" s="70" t="s">
        <v>46</v>
      </c>
      <c r="D211" s="59">
        <v>5989405202.6700001</v>
      </c>
      <c r="E211" s="59">
        <v>60310110.509999998</v>
      </c>
      <c r="F211" s="10">
        <v>0</v>
      </c>
      <c r="G211" s="59">
        <v>10165806.970000001</v>
      </c>
      <c r="H211" s="59">
        <f t="shared" si="119"/>
        <v>50144303.539999999</v>
      </c>
      <c r="I211" s="59">
        <v>6189195096.75</v>
      </c>
      <c r="J211" s="13">
        <f t="shared" si="111"/>
        <v>0.10482235168045187</v>
      </c>
      <c r="K211" s="59">
        <v>5971017162.5900002</v>
      </c>
      <c r="L211" s="13">
        <f t="shared" si="114"/>
        <v>0.10190275933608518</v>
      </c>
      <c r="M211" s="13">
        <f t="shared" si="113"/>
        <v>-3.5251422963636578E-2</v>
      </c>
      <c r="N211" s="21">
        <f t="shared" si="115"/>
        <v>1.7025251633325503E-3</v>
      </c>
      <c r="O211" s="22">
        <f t="shared" si="116"/>
        <v>8.3979499932050616E-3</v>
      </c>
      <c r="P211" s="23">
        <f t="shared" si="117"/>
        <v>136.30683066610874</v>
      </c>
      <c r="Q211" s="23">
        <f t="shared" si="118"/>
        <v>1.1446979476662515</v>
      </c>
      <c r="R211" s="59">
        <v>136.31</v>
      </c>
      <c r="S211" s="59">
        <v>136.31</v>
      </c>
      <c r="T211" s="59">
        <v>1336</v>
      </c>
      <c r="U211" s="59">
        <v>44443043.079999998</v>
      </c>
      <c r="V211" s="59">
        <v>43805707.560000002</v>
      </c>
    </row>
    <row r="212" spans="1:22" ht="15" customHeight="1">
      <c r="A212" s="95">
        <v>181</v>
      </c>
      <c r="B212" s="71" t="s">
        <v>198</v>
      </c>
      <c r="C212" s="71" t="s">
        <v>50</v>
      </c>
      <c r="D212" s="59">
        <v>3053236231</v>
      </c>
      <c r="E212" s="59">
        <v>44525574</v>
      </c>
      <c r="F212" s="10">
        <v>0</v>
      </c>
      <c r="G212" s="59">
        <v>6662962</v>
      </c>
      <c r="H212" s="59">
        <f>(E212+F212)-G212</f>
        <v>37862612</v>
      </c>
      <c r="I212" s="59">
        <v>4146104609</v>
      </c>
      <c r="J212" s="13">
        <f t="shared" si="111"/>
        <v>7.0219863590461853E-2</v>
      </c>
      <c r="K212" s="59">
        <v>4187968801</v>
      </c>
      <c r="L212" s="13">
        <f t="shared" si="114"/>
        <v>7.1472843774279413E-2</v>
      </c>
      <c r="M212" s="13">
        <f t="shared" si="113"/>
        <v>1.009723486212212E-2</v>
      </c>
      <c r="N212" s="21">
        <f t="shared" si="115"/>
        <v>1.5909769906616838E-3</v>
      </c>
      <c r="O212" s="22">
        <f t="shared" si="116"/>
        <v>9.0408056504526005E-3</v>
      </c>
      <c r="P212" s="23">
        <f t="shared" si="117"/>
        <v>1.2649908757035646</v>
      </c>
      <c r="Q212" s="23">
        <f t="shared" si="118"/>
        <v>1.143653665683177E-2</v>
      </c>
      <c r="R212" s="59">
        <v>1.26</v>
      </c>
      <c r="S212" s="59">
        <v>1.26</v>
      </c>
      <c r="T212" s="59">
        <v>184</v>
      </c>
      <c r="U212" s="59">
        <v>3299290981</v>
      </c>
      <c r="V212" s="59">
        <v>3310671153</v>
      </c>
    </row>
    <row r="213" spans="1:22" ht="4.95" customHeight="1">
      <c r="A213" s="90"/>
      <c r="B213" s="19"/>
      <c r="C213" s="19"/>
      <c r="D213" s="11"/>
      <c r="E213" s="11"/>
      <c r="F213" s="11"/>
      <c r="G213" s="34"/>
      <c r="H213" s="12"/>
      <c r="I213" s="24"/>
      <c r="J213" s="13"/>
      <c r="K213" s="35"/>
      <c r="L213" s="13"/>
      <c r="M213" s="13"/>
      <c r="N213" s="21"/>
      <c r="O213" s="22"/>
      <c r="P213" s="23"/>
      <c r="Q213" s="23"/>
      <c r="R213" s="12"/>
      <c r="S213" s="12"/>
      <c r="T213" s="45"/>
      <c r="U213" s="34"/>
      <c r="V213" s="45"/>
    </row>
    <row r="214" spans="1:22" ht="15" customHeight="1">
      <c r="A214" s="122" t="s">
        <v>216</v>
      </c>
      <c r="B214" s="122"/>
      <c r="C214" s="122"/>
      <c r="D214" s="122"/>
      <c r="E214" s="122"/>
      <c r="F214" s="122"/>
      <c r="G214" s="122"/>
      <c r="H214" s="122"/>
      <c r="I214" s="122"/>
      <c r="J214" s="122"/>
      <c r="K214" s="122"/>
      <c r="L214" s="122"/>
      <c r="M214" s="122"/>
      <c r="N214" s="122"/>
      <c r="O214" s="122"/>
      <c r="P214" s="122"/>
      <c r="Q214" s="122"/>
      <c r="R214" s="122"/>
      <c r="S214" s="122"/>
      <c r="T214" s="122"/>
      <c r="U214" s="122"/>
      <c r="V214" s="122"/>
    </row>
    <row r="215" spans="1:22" ht="15" customHeight="1">
      <c r="A215" s="95">
        <v>182</v>
      </c>
      <c r="B215" s="70" t="s">
        <v>284</v>
      </c>
      <c r="C215" s="71" t="s">
        <v>58</v>
      </c>
      <c r="D215" s="16">
        <v>891311380.40999997</v>
      </c>
      <c r="E215" s="16">
        <v>9472663.1300000008</v>
      </c>
      <c r="F215" s="16">
        <v>60234528.600000001</v>
      </c>
      <c r="G215" s="16">
        <v>2910445.2</v>
      </c>
      <c r="H215" s="16">
        <f>(E215+F215)-G215</f>
        <v>66796746.530000001</v>
      </c>
      <c r="I215" s="10">
        <v>1109984129</v>
      </c>
      <c r="J215" s="76">
        <f t="shared" ref="J215:J217" si="120">(I215/$I$218)</f>
        <v>1.8799075632767667E-2</v>
      </c>
      <c r="K215" s="75">
        <v>1209582695</v>
      </c>
      <c r="L215" s="13">
        <f t="shared" ref="L215" si="121">(K215/$K$218)</f>
        <v>2.0643017916266198E-2</v>
      </c>
      <c r="M215" s="13">
        <f>((K215-I215)/I215)</f>
        <v>8.9729720811170269E-2</v>
      </c>
      <c r="N215" s="21">
        <f t="shared" ref="N215" si="122">(G215/K215)</f>
        <v>2.4061564472034713E-3</v>
      </c>
      <c r="O215" s="22">
        <f t="shared" ref="O215" si="123">H215/K215</f>
        <v>5.5222968058417865E-2</v>
      </c>
      <c r="P215" s="23">
        <f t="shared" ref="P215" si="124">K215/V215</f>
        <v>75.775650935372212</v>
      </c>
      <c r="Q215" s="23">
        <f t="shared" ref="Q215" si="125">H215/V215</f>
        <v>4.1845563512098813</v>
      </c>
      <c r="R215" s="75">
        <v>75.396699999999996</v>
      </c>
      <c r="S215" s="75">
        <v>77.67</v>
      </c>
      <c r="T215" s="75">
        <v>1800</v>
      </c>
      <c r="U215" s="75">
        <v>15257742</v>
      </c>
      <c r="V215" s="75">
        <v>15962683</v>
      </c>
    </row>
    <row r="216" spans="1:22" ht="15" customHeight="1">
      <c r="A216" s="96">
        <v>183</v>
      </c>
      <c r="B216" s="67" t="s">
        <v>217</v>
      </c>
      <c r="C216" s="19" t="s">
        <v>118</v>
      </c>
      <c r="D216" s="16">
        <v>142641986.90000001</v>
      </c>
      <c r="E216" s="16">
        <v>4140843</v>
      </c>
      <c r="F216" s="16">
        <v>6560000</v>
      </c>
      <c r="G216" s="10">
        <v>614247.16</v>
      </c>
      <c r="H216" s="12">
        <f>(E216+F216)-G216</f>
        <v>10086595.84</v>
      </c>
      <c r="I216" s="17">
        <v>207397528.49000001</v>
      </c>
      <c r="J216" s="76">
        <f t="shared" si="120"/>
        <v>3.5125563710943809E-3</v>
      </c>
      <c r="K216" s="17">
        <v>233070288.71000001</v>
      </c>
      <c r="L216" s="13">
        <f t="shared" ref="L216:L217" si="126">(K216/$K$218)</f>
        <v>3.9776314306396929E-3</v>
      </c>
      <c r="M216" s="13">
        <f t="shared" ref="M216:M217" si="127">((K216-I216)/I216)</f>
        <v>0.12378527558604852</v>
      </c>
      <c r="N216" s="21">
        <f t="shared" ref="N216:N217" si="128">(G216/K216)</f>
        <v>2.6354588712261093E-3</v>
      </c>
      <c r="O216" s="22">
        <f t="shared" ref="O216:O217" si="129">H216/K216</f>
        <v>4.3277055586224231E-2</v>
      </c>
      <c r="P216" s="23">
        <f t="shared" ref="P216:P217" si="130">K216/V216</f>
        <v>1134.7621703664095</v>
      </c>
      <c r="Q216" s="23">
        <f t="shared" ref="Q216:Q217" si="131">H216/V216</f>
        <v>49.109165524091551</v>
      </c>
      <c r="R216" s="12">
        <v>1134.76</v>
      </c>
      <c r="S216" s="12">
        <v>1134.76</v>
      </c>
      <c r="T216" s="10">
        <v>136</v>
      </c>
      <c r="U216" s="10">
        <v>195266.72</v>
      </c>
      <c r="V216" s="10">
        <v>205391.31</v>
      </c>
    </row>
    <row r="217" spans="1:22" ht="15" customHeight="1">
      <c r="A217" s="97">
        <v>184</v>
      </c>
      <c r="B217" s="97" t="s">
        <v>282</v>
      </c>
      <c r="C217" s="97" t="s">
        <v>283</v>
      </c>
      <c r="D217" s="64">
        <f>35000000+21000000</f>
        <v>56000000</v>
      </c>
      <c r="E217" s="64">
        <v>1853975.43</v>
      </c>
      <c r="F217" s="64">
        <v>6560000</v>
      </c>
      <c r="G217" s="64">
        <v>75830.33</v>
      </c>
      <c r="H217" s="64">
        <f>(E217+F217)-G217</f>
        <v>8338145.0999999996</v>
      </c>
      <c r="I217" s="64">
        <v>0</v>
      </c>
      <c r="J217" s="76">
        <f t="shared" si="120"/>
        <v>0</v>
      </c>
      <c r="K217" s="64">
        <v>62509349.590000004</v>
      </c>
      <c r="L217" s="13">
        <f t="shared" si="126"/>
        <v>1.0667990116380733E-3</v>
      </c>
      <c r="M217" s="13" t="e">
        <f t="shared" si="127"/>
        <v>#DIV/0!</v>
      </c>
      <c r="N217" s="21">
        <f t="shared" si="128"/>
        <v>1.2131038076283397E-3</v>
      </c>
      <c r="O217" s="22">
        <f t="shared" si="129"/>
        <v>0.13339036727609629</v>
      </c>
      <c r="P217" s="23">
        <f t="shared" si="130"/>
        <v>104.00128707715243</v>
      </c>
      <c r="Q217" s="23">
        <f t="shared" si="131"/>
        <v>13.872769880408089</v>
      </c>
      <c r="R217" s="64">
        <v>102.92</v>
      </c>
      <c r="S217" s="64">
        <v>105.04</v>
      </c>
      <c r="T217" s="64">
        <v>158</v>
      </c>
      <c r="U217" s="64">
        <v>588597</v>
      </c>
      <c r="V217" s="64">
        <v>601044</v>
      </c>
    </row>
    <row r="218" spans="1:22" ht="15" customHeight="1">
      <c r="A218" s="119" t="s">
        <v>51</v>
      </c>
      <c r="B218" s="119"/>
      <c r="C218" s="119"/>
      <c r="D218" s="119"/>
      <c r="E218" s="119"/>
      <c r="F218" s="119"/>
      <c r="G218" s="119"/>
      <c r="H218" s="119"/>
      <c r="I218" s="40">
        <f>SUM(I196:I217)</f>
        <v>59044612122.589996</v>
      </c>
      <c r="J218" s="38">
        <f>(I218/$I$219)</f>
        <v>1.0844124157836778E-2</v>
      </c>
      <c r="K218" s="40">
        <f>SUM(K196:K217)</f>
        <v>58595245128.711449</v>
      </c>
      <c r="L218" s="38">
        <f>(K218/$K$219)</f>
        <v>1.0341286128180315E-2</v>
      </c>
      <c r="M218" s="38">
        <f t="shared" si="113"/>
        <v>-7.6106350389017708E-3</v>
      </c>
      <c r="N218" s="21"/>
      <c r="O218" s="21"/>
      <c r="P218" s="39"/>
      <c r="Q218" s="39"/>
      <c r="R218" s="40"/>
      <c r="S218" s="40"/>
      <c r="T218" s="40">
        <f>SUM(T196:T217)</f>
        <v>32509</v>
      </c>
      <c r="U218" s="40"/>
      <c r="V218" s="40"/>
    </row>
    <row r="219" spans="1:22" ht="15" customHeight="1">
      <c r="A219" s="120" t="s">
        <v>302</v>
      </c>
      <c r="B219" s="120"/>
      <c r="C219" s="120"/>
      <c r="D219" s="120"/>
      <c r="E219" s="120"/>
      <c r="F219" s="120"/>
      <c r="G219" s="120"/>
      <c r="H219" s="120"/>
      <c r="I219" s="78">
        <f>SUM(I24,I68,I108,I147,I156,I187,I192,I218)</f>
        <v>5444848404831.2861</v>
      </c>
      <c r="J219" s="79"/>
      <c r="K219" s="78">
        <f>SUM(K24,K68,K108,K147,K156,K187,K192,K218)</f>
        <v>5666146783139.251</v>
      </c>
      <c r="L219" s="80"/>
      <c r="M219" s="80"/>
      <c r="N219" s="81"/>
      <c r="O219" s="81"/>
      <c r="P219" s="82"/>
      <c r="Q219" s="82"/>
      <c r="R219" s="83"/>
      <c r="S219" s="83"/>
      <c r="T219" s="78">
        <f>SUM(T24,T68,T108,T147,T156,T187,T192,T218)</f>
        <v>856010</v>
      </c>
      <c r="U219" s="83"/>
      <c r="V219" s="83"/>
    </row>
    <row r="220" spans="1:22" s="6" customFormat="1" ht="6.6" customHeight="1">
      <c r="A220" s="89"/>
      <c r="B220" s="89"/>
      <c r="C220" s="89"/>
      <c r="D220" s="89"/>
      <c r="E220" s="89"/>
      <c r="F220" s="89"/>
      <c r="G220" s="89"/>
      <c r="H220" s="89"/>
      <c r="I220" s="40"/>
      <c r="J220" s="84"/>
      <c r="K220" s="40"/>
      <c r="L220" s="84"/>
      <c r="M220" s="84"/>
      <c r="N220" s="85"/>
      <c r="O220" s="85"/>
      <c r="P220" s="86"/>
      <c r="Q220" s="86"/>
      <c r="R220" s="40"/>
      <c r="S220" s="40"/>
      <c r="T220" s="40"/>
      <c r="U220" s="40"/>
      <c r="V220" s="40"/>
    </row>
    <row r="221" spans="1:22" s="6" customFormat="1" ht="15" customHeight="1">
      <c r="A221" s="130" t="s">
        <v>287</v>
      </c>
      <c r="B221" s="130"/>
      <c r="C221" s="130"/>
      <c r="D221" s="130"/>
      <c r="E221" s="130"/>
      <c r="F221" s="130"/>
      <c r="G221" s="130"/>
      <c r="H221" s="130"/>
      <c r="I221" s="130"/>
      <c r="J221" s="130"/>
      <c r="K221" s="130"/>
      <c r="L221" s="130"/>
      <c r="M221" s="130"/>
      <c r="N221" s="130"/>
      <c r="O221" s="130"/>
      <c r="P221" s="130"/>
      <c r="Q221" s="130"/>
      <c r="R221" s="130"/>
      <c r="S221" s="130"/>
      <c r="T221" s="130"/>
      <c r="U221" s="130"/>
      <c r="V221" s="130"/>
    </row>
    <row r="222" spans="1:22" s="6" customFormat="1" ht="15" customHeight="1">
      <c r="A222" s="116">
        <v>1</v>
      </c>
      <c r="B222" s="68" t="s">
        <v>288</v>
      </c>
      <c r="C222" s="69" t="s">
        <v>58</v>
      </c>
      <c r="D222" s="64">
        <f>409799.36*1586.1524</f>
        <v>650004238.38246393</v>
      </c>
      <c r="E222" s="16">
        <f>3010.05*FX_RATE</f>
        <v>4774398.0316200005</v>
      </c>
      <c r="F222" s="16">
        <v>0</v>
      </c>
      <c r="G222" s="16">
        <f>791.18*FX_RATE</f>
        <v>1254932.055832</v>
      </c>
      <c r="H222" s="64">
        <f>(E222+F222)-G222</f>
        <v>3519465.9757880005</v>
      </c>
      <c r="I222" s="115">
        <v>0</v>
      </c>
      <c r="J222" s="13">
        <f t="shared" ref="J222:J226" si="132">(I222/$I$218)</f>
        <v>0</v>
      </c>
      <c r="K222" s="10">
        <f>868481*FX_RATE</f>
        <v>1377543222.5044</v>
      </c>
      <c r="L222" s="13">
        <f t="shared" ref="L222:L226" si="133">(K222/$K$218)</f>
        <v>2.3509471109446883E-2</v>
      </c>
      <c r="M222" s="13" t="e">
        <f>((K222-I222)/I222)</f>
        <v>#DIV/0!</v>
      </c>
      <c r="N222" s="21">
        <f t="shared" ref="N222" si="134">(G222/K222)</f>
        <v>9.1099287146178209E-4</v>
      </c>
      <c r="O222" s="22">
        <f t="shared" ref="O222" si="135">H222/K222</f>
        <v>2.5548860596835169E-3</v>
      </c>
      <c r="P222" s="23">
        <f t="shared" ref="P222" si="136">K222/V222</f>
        <v>1591.3562579688346</v>
      </c>
      <c r="Q222" s="23">
        <f t="shared" ref="Q222" si="137">H222/V222</f>
        <v>4.0657339194747024</v>
      </c>
      <c r="R222" s="10">
        <f>1.0033*FX_RATE</f>
        <v>1591.3867029200001</v>
      </c>
      <c r="S222" s="10">
        <f>1.0033*FX_RATE</f>
        <v>1591.3867029200001</v>
      </c>
      <c r="T222" s="10">
        <v>27</v>
      </c>
      <c r="U222" s="10">
        <v>106227</v>
      </c>
      <c r="V222" s="10">
        <v>865641</v>
      </c>
    </row>
    <row r="223" spans="1:22" s="6" customFormat="1" ht="15" customHeight="1">
      <c r="A223" s="116">
        <v>2</v>
      </c>
      <c r="B223" s="68" t="s">
        <v>289</v>
      </c>
      <c r="C223" s="69" t="s">
        <v>290</v>
      </c>
      <c r="D223" s="92">
        <v>3867378523.0300002</v>
      </c>
      <c r="E223" s="92">
        <v>111818521.64</v>
      </c>
      <c r="F223" s="93">
        <v>0</v>
      </c>
      <c r="G223" s="92">
        <v>13611963.08</v>
      </c>
      <c r="H223" s="64">
        <f>(E223+F223)-G223</f>
        <v>98206558.560000002</v>
      </c>
      <c r="I223" s="10">
        <v>0</v>
      </c>
      <c r="J223" s="13">
        <f t="shared" si="132"/>
        <v>0</v>
      </c>
      <c r="K223" s="10">
        <v>3974990775.6199999</v>
      </c>
      <c r="L223" s="13">
        <f t="shared" si="133"/>
        <v>6.7838111554759412E-2</v>
      </c>
      <c r="M223" s="13" t="e">
        <f t="shared" ref="M223:M226" si="138">((K223-I223)/I223)</f>
        <v>#DIV/0!</v>
      </c>
      <c r="N223" s="21">
        <f t="shared" ref="N223:N226" si="139">(G223/K223)</f>
        <v>3.4244011743340139E-3</v>
      </c>
      <c r="O223" s="22">
        <f t="shared" ref="O223:O226" si="140">H223/K223</f>
        <v>2.4706109800891857E-2</v>
      </c>
      <c r="P223" s="23">
        <f t="shared" ref="P223:P226" si="141">K223/V223</f>
        <v>119.78203463049793</v>
      </c>
      <c r="Q223" s="23">
        <f t="shared" ref="Q223:Q226" si="142">H223/V223</f>
        <v>2.9593480997553128</v>
      </c>
      <c r="R223" s="10">
        <v>123.3</v>
      </c>
      <c r="S223" s="10">
        <v>123.3</v>
      </c>
      <c r="T223" s="10">
        <v>9</v>
      </c>
      <c r="U223" s="10">
        <v>33185200</v>
      </c>
      <c r="V223" s="10">
        <v>33185200</v>
      </c>
    </row>
    <row r="224" spans="1:22" s="6" customFormat="1" ht="15" customHeight="1">
      <c r="A224" s="116">
        <v>3</v>
      </c>
      <c r="B224" s="68" t="s">
        <v>291</v>
      </c>
      <c r="C224" s="69" t="s">
        <v>136</v>
      </c>
      <c r="D224" s="92">
        <v>560196868.11000001</v>
      </c>
      <c r="E224" s="92">
        <v>2115702.46</v>
      </c>
      <c r="F224" s="93">
        <v>0</v>
      </c>
      <c r="G224" s="92">
        <v>470444.97</v>
      </c>
      <c r="H224" s="64">
        <f>(E224+F224)-G224</f>
        <v>1645257.49</v>
      </c>
      <c r="I224" s="10">
        <v>0</v>
      </c>
      <c r="J224" s="13">
        <f t="shared" si="132"/>
        <v>0</v>
      </c>
      <c r="K224" s="10">
        <v>559554513.97000003</v>
      </c>
      <c r="L224" s="13">
        <f t="shared" si="133"/>
        <v>9.5494866988075876E-3</v>
      </c>
      <c r="M224" s="13" t="e">
        <f t="shared" si="138"/>
        <v>#DIV/0!</v>
      </c>
      <c r="N224" s="21">
        <f t="shared" si="139"/>
        <v>8.4074912855626146E-4</v>
      </c>
      <c r="O224" s="22">
        <f t="shared" si="140"/>
        <v>2.9402988429617222E-3</v>
      </c>
      <c r="P224" s="23">
        <f t="shared" si="141"/>
        <v>161123.496966451</v>
      </c>
      <c r="Q224" s="23">
        <f t="shared" si="142"/>
        <v>473.75123170440247</v>
      </c>
      <c r="R224" s="10">
        <f>101.4*FX_RATE</f>
        <v>160835.85336000001</v>
      </c>
      <c r="S224" s="10">
        <f>101.4*FX_RATE</f>
        <v>160835.85336000001</v>
      </c>
      <c r="T224" s="10">
        <v>3</v>
      </c>
      <c r="U224" s="10">
        <v>1000</v>
      </c>
      <c r="V224" s="10">
        <v>3472.83</v>
      </c>
    </row>
    <row r="225" spans="1:22" ht="15" customHeight="1">
      <c r="A225" s="116">
        <v>4</v>
      </c>
      <c r="B225" s="68" t="s">
        <v>292</v>
      </c>
      <c r="C225" s="69" t="s">
        <v>293</v>
      </c>
      <c r="D225" s="16">
        <v>11036817079.66</v>
      </c>
      <c r="E225" s="16">
        <v>216567712.61000001</v>
      </c>
      <c r="F225" s="93">
        <v>0</v>
      </c>
      <c r="G225" s="16">
        <v>21871046.32</v>
      </c>
      <c r="H225" s="64">
        <f>(E225+F225)-G225</f>
        <v>194696666.29000002</v>
      </c>
      <c r="I225" s="10">
        <v>0</v>
      </c>
      <c r="J225" s="13">
        <f t="shared" si="132"/>
        <v>0</v>
      </c>
      <c r="K225" s="10">
        <v>10976384859.4</v>
      </c>
      <c r="L225" s="13">
        <f t="shared" si="133"/>
        <v>0.18732552164069047</v>
      </c>
      <c r="M225" s="13" t="e">
        <f t="shared" si="138"/>
        <v>#DIV/0!</v>
      </c>
      <c r="N225" s="21">
        <f t="shared" si="139"/>
        <v>1.9925546161284596E-3</v>
      </c>
      <c r="O225" s="22">
        <f t="shared" si="140"/>
        <v>1.7737776944224484E-2</v>
      </c>
      <c r="P225" s="23">
        <f t="shared" si="141"/>
        <v>1.0523858925599232</v>
      </c>
      <c r="Q225" s="23">
        <f t="shared" si="142"/>
        <v>1.8666986221476511E-2</v>
      </c>
      <c r="R225" s="10">
        <v>1.05</v>
      </c>
      <c r="S225" s="10">
        <v>1.05</v>
      </c>
      <c r="T225" s="10">
        <v>16</v>
      </c>
      <c r="U225" s="10">
        <v>10430000000</v>
      </c>
      <c r="V225" s="10">
        <v>10430000000</v>
      </c>
    </row>
    <row r="226" spans="1:22" ht="15" customHeight="1">
      <c r="A226" s="116">
        <v>5</v>
      </c>
      <c r="B226" s="68" t="s">
        <v>294</v>
      </c>
      <c r="C226" s="69" t="s">
        <v>50</v>
      </c>
      <c r="D226" s="17">
        <v>82933767.125068486</v>
      </c>
      <c r="E226" s="16">
        <v>131164.39000000001</v>
      </c>
      <c r="F226" s="93">
        <v>0</v>
      </c>
      <c r="G226" s="16">
        <v>62377</v>
      </c>
      <c r="H226" s="64">
        <f>(E226+F226)-G226</f>
        <v>68787.390000000014</v>
      </c>
      <c r="I226" s="10">
        <v>0</v>
      </c>
      <c r="J226" s="13">
        <f t="shared" si="132"/>
        <v>0</v>
      </c>
      <c r="K226" s="10">
        <v>100185097.78506848</v>
      </c>
      <c r="L226" s="13">
        <f t="shared" si="133"/>
        <v>1.7097820405904943E-3</v>
      </c>
      <c r="M226" s="13" t="e">
        <f t="shared" si="138"/>
        <v>#DIV/0!</v>
      </c>
      <c r="N226" s="21">
        <f t="shared" si="139"/>
        <v>6.2261754870789401E-4</v>
      </c>
      <c r="O226" s="22">
        <f t="shared" si="140"/>
        <v>6.8660301303066686E-4</v>
      </c>
      <c r="P226" s="23">
        <f t="shared" si="141"/>
        <v>1.0018509778506848</v>
      </c>
      <c r="Q226" s="23">
        <f t="shared" si="142"/>
        <v>6.8787390000000018E-4</v>
      </c>
      <c r="R226" s="10">
        <v>1</v>
      </c>
      <c r="S226" s="10">
        <v>1</v>
      </c>
      <c r="T226" s="10">
        <v>1</v>
      </c>
      <c r="U226" s="10">
        <v>100000000</v>
      </c>
      <c r="V226" s="10">
        <v>100000000</v>
      </c>
    </row>
    <row r="227" spans="1:22" ht="15" customHeight="1">
      <c r="A227" s="119" t="s">
        <v>51</v>
      </c>
      <c r="B227" s="119"/>
      <c r="C227" s="119"/>
      <c r="D227" s="119"/>
      <c r="E227" s="119"/>
      <c r="F227" s="119"/>
      <c r="G227" s="119"/>
      <c r="H227" s="119"/>
      <c r="I227" s="10">
        <f>SUM(I222:I226)</f>
        <v>0</v>
      </c>
      <c r="J227" s="84"/>
      <c r="K227" s="40">
        <f>SUM(K222:K226)</f>
        <v>16988658469.279469</v>
      </c>
      <c r="L227" s="84"/>
      <c r="M227" s="84"/>
      <c r="N227" s="85"/>
      <c r="O227" s="85"/>
      <c r="P227" s="86"/>
      <c r="Q227" s="86"/>
      <c r="R227" s="40"/>
      <c r="S227" s="40"/>
      <c r="T227" s="40">
        <f>SUM(T222:T226)</f>
        <v>56</v>
      </c>
      <c r="U227" s="40"/>
      <c r="V227" s="40"/>
    </row>
    <row r="228" spans="1:22" ht="15.6" customHeight="1">
      <c r="A228" s="129" t="s">
        <v>199</v>
      </c>
      <c r="B228" s="129"/>
      <c r="C228" s="129"/>
      <c r="D228" s="129"/>
      <c r="E228" s="129"/>
      <c r="F228" s="129"/>
      <c r="G228" s="129"/>
      <c r="H228" s="129"/>
      <c r="I228" s="88">
        <f>I219+I227</f>
        <v>5444848404831.2861</v>
      </c>
      <c r="J228" s="91"/>
      <c r="K228" s="88">
        <f>K219+K227</f>
        <v>5683135441608.5303</v>
      </c>
      <c r="L228" s="94"/>
      <c r="M228" s="94"/>
      <c r="N228" s="94"/>
      <c r="O228" s="94"/>
      <c r="P228" s="94"/>
      <c r="Q228" s="94"/>
      <c r="R228" s="114"/>
      <c r="S228" s="114"/>
      <c r="T228" s="117">
        <f>T219+T227</f>
        <v>856066</v>
      </c>
      <c r="U228" s="114"/>
      <c r="V228" s="114"/>
    </row>
    <row r="229" spans="1:22" ht="4.8" customHeight="1">
      <c r="A229" s="65"/>
      <c r="B229" s="14"/>
      <c r="C229" s="14"/>
      <c r="D229" s="6"/>
      <c r="E229" s="6"/>
      <c r="F229" s="6"/>
      <c r="G229" s="6"/>
      <c r="H229" s="7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>
      <c r="A230" s="66" t="s">
        <v>200</v>
      </c>
      <c r="B230" s="46" t="s">
        <v>279</v>
      </c>
      <c r="C230" s="77">
        <v>1586.1523999999999</v>
      </c>
      <c r="D230" s="6"/>
      <c r="E230" s="6"/>
      <c r="F230" s="6"/>
      <c r="G230" s="6"/>
      <c r="H230" s="7"/>
      <c r="I230" s="8"/>
      <c r="J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9"/>
    </row>
  </sheetData>
  <sheetProtection algorithmName="SHA-512" hashValue="MGVxh7wJLQppxvZxclFVOyuPImqTSpIqFko/uYKK0Hzvspp8H2SS/ZVg7qw30IPSP19B/7B4r74k4VK/lL2w6Q==" saltValue="i+OCu55sWxFq+coVFvlOSA==" spinCount="100000" sheet="1" objects="1" scenarios="1"/>
  <mergeCells count="36">
    <mergeCell ref="A227:H227"/>
    <mergeCell ref="A228:H228"/>
    <mergeCell ref="A221:V221"/>
    <mergeCell ref="A1:V1"/>
    <mergeCell ref="A3:V3"/>
    <mergeCell ref="A4:V4"/>
    <mergeCell ref="A24:H24"/>
    <mergeCell ref="A25:V25"/>
    <mergeCell ref="A26:V26"/>
    <mergeCell ref="A68:H68"/>
    <mergeCell ref="A69:V69"/>
    <mergeCell ref="A70:V70"/>
    <mergeCell ref="A108:H108"/>
    <mergeCell ref="A109:V109"/>
    <mergeCell ref="A110:V110"/>
    <mergeCell ref="A111:V111"/>
    <mergeCell ref="A129:V129"/>
    <mergeCell ref="A130:V130"/>
    <mergeCell ref="A147:H147"/>
    <mergeCell ref="A148:V148"/>
    <mergeCell ref="A149:V149"/>
    <mergeCell ref="A156:H156"/>
    <mergeCell ref="A157:V157"/>
    <mergeCell ref="A158:V158"/>
    <mergeCell ref="A187:H187"/>
    <mergeCell ref="A188:V188"/>
    <mergeCell ref="A189:V189"/>
    <mergeCell ref="A192:H192"/>
    <mergeCell ref="A218:H218"/>
    <mergeCell ref="A219:H219"/>
    <mergeCell ref="A193:V193"/>
    <mergeCell ref="A194:V194"/>
    <mergeCell ref="A195:V195"/>
    <mergeCell ref="A198:V198"/>
    <mergeCell ref="A199:V199"/>
    <mergeCell ref="A214:V214"/>
  </mergeCells>
  <pageMargins left="0.7" right="0.7" top="0.75" bottom="0.75" header="0.3" footer="0.3"/>
  <pageSetup scale="83" orientation="portrait" r:id="rId1"/>
  <colBreaks count="1" manualBreakCount="1">
    <brk id="3" max="1048575" man="1"/>
  </colBreaks>
  <ignoredErrors>
    <ignoredError sqref="J24 J68 J108 J147 J156 J187 J192 J21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>
      <selection activeCell="G8" sqref="G8"/>
    </sheetView>
  </sheetViews>
  <sheetFormatPr defaultColWidth="9" defaultRowHeight="14.4"/>
  <cols>
    <col min="1" max="1" width="34" customWidth="1"/>
    <col min="2" max="2" width="11.6640625" customWidth="1"/>
    <col min="3" max="3" width="11.5546875" customWidth="1"/>
  </cols>
  <sheetData>
    <row r="1" spans="1:6">
      <c r="A1" s="2"/>
      <c r="B1" s="2"/>
      <c r="C1" s="2"/>
      <c r="D1" s="2"/>
      <c r="E1" s="2"/>
      <c r="F1" s="2"/>
    </row>
    <row r="2" spans="1:6">
      <c r="A2" s="60"/>
      <c r="B2" s="60"/>
      <c r="C2" s="60"/>
      <c r="D2" s="60"/>
      <c r="E2" s="60"/>
      <c r="F2" s="2"/>
    </row>
    <row r="3" spans="1:6">
      <c r="A3" s="146"/>
      <c r="B3" s="146"/>
      <c r="C3" s="146"/>
      <c r="D3" s="146"/>
      <c r="E3" s="60"/>
      <c r="F3" s="2"/>
    </row>
    <row r="4" spans="1:6" ht="33" customHeight="1">
      <c r="A4" s="100" t="s">
        <v>201</v>
      </c>
      <c r="B4" s="101" t="s">
        <v>300</v>
      </c>
      <c r="C4" s="101" t="s">
        <v>301</v>
      </c>
      <c r="D4" s="146"/>
      <c r="E4" s="60"/>
      <c r="F4" s="2"/>
    </row>
    <row r="5" spans="1:6" ht="18.899999999999999" customHeight="1">
      <c r="A5" s="102" t="s">
        <v>20</v>
      </c>
      <c r="B5" s="103">
        <v>38.4092374166</v>
      </c>
      <c r="C5" s="103">
        <f>May!K24/1000000000</f>
        <v>42.132274390619997</v>
      </c>
      <c r="D5" s="146"/>
      <c r="E5" s="60"/>
      <c r="F5" s="2"/>
    </row>
    <row r="6" spans="1:6">
      <c r="A6" s="100" t="s">
        <v>52</v>
      </c>
      <c r="B6" s="103">
        <v>2770.932964702899</v>
      </c>
      <c r="C6" s="103">
        <f>May!K68/1000000000</f>
        <v>2990.538782123167</v>
      </c>
      <c r="D6" s="146"/>
      <c r="E6" s="60"/>
      <c r="F6" s="2"/>
    </row>
    <row r="7" spans="1:6">
      <c r="A7" s="100" t="s">
        <v>202</v>
      </c>
      <c r="B7" s="103">
        <v>204.98454964474001</v>
      </c>
      <c r="C7" s="103">
        <f>May!K108/1000000000</f>
        <v>208.27970153560997</v>
      </c>
      <c r="D7" s="146"/>
      <c r="E7" s="60"/>
      <c r="F7" s="2"/>
    </row>
    <row r="8" spans="1:6">
      <c r="A8" s="100" t="s">
        <v>203</v>
      </c>
      <c r="B8" s="103">
        <v>1951.2396774693273</v>
      </c>
      <c r="C8" s="103">
        <f>May!K147/1000000000</f>
        <v>1940.4180649409723</v>
      </c>
      <c r="D8" s="146"/>
      <c r="E8" s="60"/>
      <c r="F8" s="2"/>
    </row>
    <row r="9" spans="1:6">
      <c r="A9" s="100" t="s">
        <v>204</v>
      </c>
      <c r="B9" s="103">
        <v>355.82549393045997</v>
      </c>
      <c r="C9" s="103">
        <f>May!K156/1000000000</f>
        <v>359.22122360003004</v>
      </c>
      <c r="D9" s="146"/>
      <c r="E9" s="60"/>
      <c r="F9" s="2"/>
    </row>
    <row r="10" spans="1:6">
      <c r="A10" s="100" t="s">
        <v>161</v>
      </c>
      <c r="B10" s="103">
        <v>58.687519196020006</v>
      </c>
      <c r="C10" s="103">
        <f>May!K187/1000000000</f>
        <v>60.953985544470001</v>
      </c>
      <c r="D10" s="146"/>
      <c r="E10" s="60"/>
      <c r="F10" s="2"/>
    </row>
    <row r="11" spans="1:6">
      <c r="A11" s="100" t="s">
        <v>184</v>
      </c>
      <c r="B11" s="103">
        <v>6.8343344776499997</v>
      </c>
      <c r="C11" s="103">
        <f>May!K192/1000000000</f>
        <v>6.0075058756699997</v>
      </c>
      <c r="D11" s="146"/>
      <c r="E11" s="60"/>
      <c r="F11" s="2"/>
    </row>
    <row r="12" spans="1:6">
      <c r="A12" s="100" t="s">
        <v>205</v>
      </c>
      <c r="B12" s="103">
        <v>57.934627993589999</v>
      </c>
      <c r="C12" s="103">
        <f>May!K218/1000000000</f>
        <v>58.595245128711447</v>
      </c>
      <c r="D12" s="146"/>
      <c r="E12" s="60"/>
      <c r="F12" s="2"/>
    </row>
    <row r="13" spans="1:6">
      <c r="A13" s="146"/>
      <c r="B13" s="146"/>
      <c r="C13" s="146"/>
      <c r="D13" s="146"/>
      <c r="E13" s="60"/>
      <c r="F13" s="2"/>
    </row>
    <row r="14" spans="1:6">
      <c r="A14" s="146"/>
      <c r="B14" s="146"/>
      <c r="C14" s="146"/>
      <c r="D14" s="146"/>
      <c r="E14" s="60"/>
      <c r="F14" s="2"/>
    </row>
    <row r="15" spans="1:6">
      <c r="A15" s="146"/>
      <c r="B15" s="146"/>
      <c r="C15" s="146"/>
      <c r="D15" s="146"/>
      <c r="E15" s="60"/>
      <c r="F15" s="2"/>
    </row>
    <row r="16" spans="1:6">
      <c r="A16" s="146"/>
      <c r="B16" s="147"/>
      <c r="C16" s="146"/>
      <c r="D16" s="146"/>
      <c r="E16" s="60"/>
      <c r="F16" s="2"/>
    </row>
    <row r="17" spans="1:6">
      <c r="A17" s="148"/>
      <c r="B17" s="149"/>
      <c r="C17" s="150"/>
      <c r="D17" s="146"/>
      <c r="E17" s="60"/>
      <c r="F17" s="2"/>
    </row>
    <row r="18" spans="1:6" ht="15.6">
      <c r="A18" s="151"/>
      <c r="B18" s="145"/>
      <c r="C18" s="152"/>
      <c r="D18" s="60"/>
      <c r="E18" s="60"/>
      <c r="F18" s="2"/>
    </row>
    <row r="19" spans="1:6">
      <c r="A19" s="143"/>
      <c r="B19" s="153"/>
      <c r="C19" s="154"/>
      <c r="D19" s="60"/>
      <c r="E19" s="60"/>
      <c r="F19" s="2"/>
    </row>
    <row r="20" spans="1:6">
      <c r="A20" s="54"/>
      <c r="B20" s="52"/>
      <c r="C20" s="53"/>
      <c r="D20" s="2"/>
      <c r="E20" s="2"/>
      <c r="F20" s="2"/>
    </row>
    <row r="21" spans="1:6">
      <c r="A21" s="54"/>
      <c r="B21" s="51"/>
      <c r="C21" s="55"/>
      <c r="D21" s="2"/>
      <c r="E21" s="2"/>
      <c r="F21" s="2"/>
    </row>
    <row r="22" spans="1:6">
      <c r="A22" s="54"/>
      <c r="B22" s="56"/>
      <c r="C22" s="57"/>
      <c r="D22" s="2"/>
      <c r="E22" s="2"/>
      <c r="F22" s="2"/>
    </row>
    <row r="23" spans="1:6">
      <c r="A23" s="54"/>
      <c r="B23" s="51"/>
      <c r="C23" s="55"/>
      <c r="D23" s="2"/>
      <c r="E23" s="2"/>
      <c r="F23" s="2"/>
    </row>
    <row r="24" spans="1:6">
      <c r="A24" s="54"/>
      <c r="B24" s="51"/>
      <c r="C24" s="50"/>
      <c r="D24" s="2"/>
      <c r="E24" s="2"/>
      <c r="F24" s="2"/>
    </row>
    <row r="25" spans="1:6">
      <c r="A25" s="54"/>
      <c r="B25" s="51"/>
      <c r="C25" s="51"/>
      <c r="D25" s="2"/>
      <c r="E25" s="2"/>
      <c r="F25" s="2"/>
    </row>
    <row r="26" spans="1:6">
      <c r="A26" s="54"/>
      <c r="B26" s="51"/>
      <c r="C26" s="51"/>
      <c r="D26" s="2"/>
      <c r="E26" s="2"/>
      <c r="F26" s="2"/>
    </row>
    <row r="27" spans="1:6">
      <c r="A27" s="2"/>
      <c r="B27" s="2"/>
      <c r="C27" s="2"/>
      <c r="D27" s="2"/>
      <c r="E27" s="2"/>
    </row>
    <row r="28" spans="1:6">
      <c r="A28" s="2"/>
      <c r="B28" s="2"/>
      <c r="C28" s="2"/>
      <c r="D28" s="2"/>
      <c r="E28" s="2"/>
    </row>
  </sheetData>
  <sheetProtection algorithmName="SHA-512" hashValue="p1hLbN2i0XU1dB6+Igr6ULHu71brckSLibe7O654cr5GGDpYL7gl6dVntavG8v3JZwVX1Z01NfLtqGkUdsdh3g==" saltValue="KsAkxSL+Uqy6xgqwLzd0Nw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zoomScale="85" zoomScaleNormal="85" workbookViewId="0">
      <selection activeCell="I11" sqref="I11"/>
    </sheetView>
  </sheetViews>
  <sheetFormatPr defaultColWidth="9" defaultRowHeight="14.4"/>
  <cols>
    <col min="1" max="1" width="26.6640625" customWidth="1"/>
    <col min="2" max="2" width="21.33203125" customWidth="1"/>
  </cols>
  <sheetData>
    <row r="1" spans="1:6">
      <c r="A1" s="104" t="s">
        <v>201</v>
      </c>
      <c r="B1" s="105" t="s">
        <v>301</v>
      </c>
      <c r="C1" s="60"/>
      <c r="D1" s="60"/>
      <c r="E1" s="2"/>
      <c r="F1" s="2"/>
    </row>
    <row r="2" spans="1:6">
      <c r="A2" s="104" t="s">
        <v>184</v>
      </c>
      <c r="B2" s="106">
        <f>May!K192</f>
        <v>6007505875.6700001</v>
      </c>
      <c r="C2" s="60"/>
      <c r="D2" s="60"/>
      <c r="E2" s="2"/>
      <c r="F2" s="2"/>
    </row>
    <row r="3" spans="1:6">
      <c r="A3" s="104" t="s">
        <v>20</v>
      </c>
      <c r="B3" s="107">
        <f>May!K24</f>
        <v>42132274390.619995</v>
      </c>
      <c r="C3" s="60"/>
      <c r="D3" s="60"/>
      <c r="E3" s="2"/>
      <c r="F3" s="2"/>
    </row>
    <row r="4" spans="1:6">
      <c r="A4" s="104" t="s">
        <v>205</v>
      </c>
      <c r="B4" s="108">
        <f>May!K218</f>
        <v>58595245128.711449</v>
      </c>
      <c r="C4" s="60"/>
      <c r="D4" s="60"/>
      <c r="E4" s="2"/>
      <c r="F4" s="2"/>
    </row>
    <row r="5" spans="1:6">
      <c r="A5" s="104" t="s">
        <v>161</v>
      </c>
      <c r="B5" s="108">
        <f>May!K187</f>
        <v>60953985544.470001</v>
      </c>
      <c r="C5" s="60"/>
      <c r="D5" s="60"/>
      <c r="E5" s="2"/>
      <c r="F5" s="2"/>
    </row>
    <row r="6" spans="1:6">
      <c r="A6" s="104" t="s">
        <v>202</v>
      </c>
      <c r="B6" s="109">
        <f>May!K108</f>
        <v>208279701535.60999</v>
      </c>
      <c r="C6" s="60"/>
      <c r="D6" s="60"/>
      <c r="E6" s="2"/>
      <c r="F6" s="2"/>
    </row>
    <row r="7" spans="1:6">
      <c r="A7" s="104" t="s">
        <v>204</v>
      </c>
      <c r="B7" s="109">
        <f>May!K156</f>
        <v>359221223600.03003</v>
      </c>
      <c r="C7" s="60"/>
      <c r="D7" s="60"/>
      <c r="E7" s="2"/>
      <c r="F7" s="2"/>
    </row>
    <row r="8" spans="1:6">
      <c r="A8" s="104" t="s">
        <v>203</v>
      </c>
      <c r="B8" s="108">
        <f>May!K147</f>
        <v>1940418064940.9722</v>
      </c>
      <c r="C8" s="60"/>
      <c r="D8" s="60"/>
      <c r="E8" s="2"/>
      <c r="F8" s="2"/>
    </row>
    <row r="9" spans="1:6">
      <c r="A9" s="104" t="s">
        <v>52</v>
      </c>
      <c r="B9" s="108">
        <f>May!K68</f>
        <v>2990538782123.167</v>
      </c>
      <c r="C9" s="60"/>
      <c r="D9" s="60"/>
      <c r="E9" s="2"/>
      <c r="F9" s="2"/>
    </row>
    <row r="10" spans="1:6">
      <c r="A10" s="60"/>
      <c r="B10" s="60"/>
      <c r="C10" s="60"/>
      <c r="D10" s="60"/>
      <c r="E10" s="2"/>
      <c r="F10" s="2"/>
    </row>
    <row r="11" spans="1:6">
      <c r="A11" s="112"/>
      <c r="B11" s="60"/>
      <c r="C11" s="60"/>
      <c r="D11" s="60"/>
      <c r="E11" s="2"/>
      <c r="F11" s="2"/>
    </row>
    <row r="12" spans="1:6">
      <c r="A12" s="137"/>
      <c r="B12" s="60"/>
      <c r="C12" s="60"/>
      <c r="D12" s="60"/>
      <c r="E12" s="2"/>
      <c r="F12" s="2"/>
    </row>
    <row r="13" spans="1:6" ht="15" customHeight="1">
      <c r="A13" s="60"/>
      <c r="B13" s="138"/>
      <c r="C13" s="60"/>
      <c r="D13" s="60"/>
      <c r="E13" s="2"/>
      <c r="F13" s="2"/>
    </row>
    <row r="14" spans="1:6">
      <c r="A14" s="104"/>
      <c r="B14" s="138"/>
      <c r="C14" s="60"/>
      <c r="D14" s="60"/>
      <c r="E14" s="2"/>
      <c r="F14" s="2"/>
    </row>
    <row r="15" spans="1:6">
      <c r="A15" s="139"/>
      <c r="B15" s="138"/>
      <c r="C15" s="60"/>
      <c r="D15" s="60"/>
      <c r="E15" s="2"/>
      <c r="F15" s="2"/>
    </row>
    <row r="16" spans="1:6">
      <c r="A16" s="140"/>
      <c r="B16" s="138"/>
      <c r="C16" s="60"/>
      <c r="D16" s="60"/>
      <c r="E16" s="2"/>
      <c r="F16" s="2"/>
    </row>
    <row r="17" spans="1:17">
      <c r="A17" s="140"/>
      <c r="B17" s="138"/>
      <c r="C17" s="60"/>
      <c r="D17" s="60"/>
      <c r="E17" s="2"/>
      <c r="F17" s="2"/>
    </row>
    <row r="18" spans="1:17">
      <c r="A18" s="139"/>
      <c r="B18" s="138"/>
      <c r="C18" s="60"/>
      <c r="D18" s="60"/>
      <c r="E18" s="2"/>
      <c r="F18" s="2"/>
    </row>
    <row r="19" spans="1:17">
      <c r="A19" s="141"/>
      <c r="B19" s="138"/>
      <c r="C19" s="60"/>
      <c r="D19" s="60"/>
      <c r="E19" s="2"/>
      <c r="F19" s="2"/>
    </row>
    <row r="20" spans="1:17">
      <c r="A20" s="142"/>
      <c r="B20" s="138"/>
      <c r="C20" s="60"/>
      <c r="D20" s="60"/>
      <c r="E20" s="2"/>
      <c r="F20" s="2"/>
    </row>
    <row r="21" spans="1:17">
      <c r="A21" s="143"/>
      <c r="B21" s="144"/>
      <c r="C21" s="60"/>
      <c r="D21" s="60"/>
      <c r="E21" s="2"/>
      <c r="F21" s="2"/>
    </row>
    <row r="22" spans="1:17">
      <c r="A22" s="60"/>
      <c r="B22" s="145"/>
      <c r="C22" s="60"/>
      <c r="D22" s="60"/>
      <c r="E22" s="2"/>
      <c r="F22" s="2"/>
    </row>
    <row r="23" spans="1:17">
      <c r="A23" s="2"/>
      <c r="B23" s="2"/>
      <c r="C23" s="2"/>
      <c r="D23" s="2"/>
      <c r="E23" s="2"/>
      <c r="F23" s="2"/>
    </row>
    <row r="24" spans="1:17">
      <c r="A24" s="2"/>
      <c r="B24" s="2"/>
      <c r="C24" s="2"/>
      <c r="D24" s="2"/>
      <c r="E24" s="2"/>
      <c r="F24" s="2"/>
    </row>
    <row r="25" spans="1:17">
      <c r="A25" s="2"/>
      <c r="B25" s="2"/>
      <c r="C25" s="2"/>
      <c r="D25" s="2"/>
      <c r="E25" s="2"/>
      <c r="F25" s="2"/>
    </row>
    <row r="26" spans="1:17">
      <c r="A26" s="2"/>
      <c r="B26" s="2"/>
      <c r="C26" s="2"/>
      <c r="D26" s="2"/>
      <c r="E26" s="2"/>
      <c r="F26" s="2"/>
    </row>
    <row r="27" spans="1:17">
      <c r="A27" s="2"/>
      <c r="B27" s="2"/>
      <c r="C27" s="2"/>
      <c r="D27" s="2"/>
      <c r="E27" s="2"/>
      <c r="F27" s="2"/>
    </row>
    <row r="28" spans="1:17">
      <c r="A28" s="61"/>
      <c r="B28" s="61"/>
      <c r="C28" s="61"/>
      <c r="D28" s="2"/>
      <c r="E28" s="2"/>
      <c r="F28" s="2"/>
    </row>
    <row r="32" spans="1:17" ht="15.9" customHeight="1">
      <c r="A32" s="135"/>
      <c r="B32" s="135"/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"/>
    </row>
    <row r="33" spans="1:17">
      <c r="A33" s="135"/>
      <c r="B33" s="135"/>
      <c r="C33" s="135"/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"/>
    </row>
  </sheetData>
  <sheetProtection algorithmName="SHA-512" hashValue="ALYetvvY/0522dcL+VZMx4aLTsvNiFi7a0NO2Qwcvd+h+tx9ZO26qSFxBUVAk0ZwiBFznOX4n2CP72DIZ+sg4Q==" saltValue="mjhK4CdfdG8grRws9HTCZw==" spinCount="100000" sheet="1" objects="1" scenarios="1"/>
  <sortState ref="A13:A19">
    <sortCondition ref="A12:A19"/>
  </sortState>
  <mergeCells count="1">
    <mergeCell ref="A32:P33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F8" sqref="F8"/>
    </sheetView>
  </sheetViews>
  <sheetFormatPr defaultColWidth="9" defaultRowHeight="14.4"/>
  <cols>
    <col min="1" max="1" width="34.6640625" customWidth="1"/>
    <col min="2" max="2" width="15" customWidth="1"/>
  </cols>
  <sheetData>
    <row r="1" spans="1:5">
      <c r="A1" s="136"/>
      <c r="B1" s="136"/>
      <c r="C1" s="136"/>
      <c r="D1" s="136"/>
      <c r="E1" s="136"/>
    </row>
    <row r="2" spans="1:5">
      <c r="A2" s="2"/>
      <c r="B2" s="2"/>
      <c r="C2" s="2"/>
      <c r="D2" s="2"/>
      <c r="E2" s="136"/>
    </row>
    <row r="3" spans="1:5">
      <c r="A3" s="2"/>
      <c r="B3" s="2"/>
      <c r="C3" s="2"/>
      <c r="D3" s="2"/>
      <c r="E3" s="136"/>
    </row>
    <row r="4" spans="1:5">
      <c r="A4" s="60"/>
      <c r="B4" s="60"/>
      <c r="C4" s="60"/>
      <c r="D4" s="60"/>
      <c r="E4" s="136"/>
    </row>
    <row r="5" spans="1:5" ht="15.6">
      <c r="A5" s="110" t="s">
        <v>201</v>
      </c>
      <c r="B5" s="111" t="s">
        <v>206</v>
      </c>
      <c r="C5" s="60"/>
      <c r="D5" s="60"/>
      <c r="E5" s="136"/>
    </row>
    <row r="6" spans="1:5">
      <c r="A6" s="112" t="s">
        <v>20</v>
      </c>
      <c r="B6" s="113">
        <f>May!T24</f>
        <v>51154</v>
      </c>
      <c r="C6" s="60"/>
      <c r="D6" s="60"/>
      <c r="E6" s="136"/>
    </row>
    <row r="7" spans="1:5">
      <c r="A7" s="112" t="s">
        <v>52</v>
      </c>
      <c r="B7" s="113">
        <f>May!T68</f>
        <v>408111</v>
      </c>
      <c r="C7" s="60"/>
      <c r="D7" s="60"/>
      <c r="E7" s="136"/>
    </row>
    <row r="8" spans="1:5">
      <c r="A8" s="112" t="s">
        <v>202</v>
      </c>
      <c r="B8" s="113">
        <f>May!T108</f>
        <v>45210</v>
      </c>
      <c r="C8" s="60"/>
      <c r="D8" s="60"/>
      <c r="E8" s="136"/>
    </row>
    <row r="9" spans="1:5">
      <c r="A9" s="112" t="s">
        <v>203</v>
      </c>
      <c r="B9" s="113">
        <f>May!T147</f>
        <v>21223</v>
      </c>
      <c r="C9" s="60"/>
      <c r="D9" s="60"/>
      <c r="E9" s="136"/>
    </row>
    <row r="10" spans="1:5">
      <c r="A10" s="112" t="s">
        <v>204</v>
      </c>
      <c r="B10" s="113">
        <f>May!T156</f>
        <v>217575</v>
      </c>
      <c r="C10" s="60"/>
      <c r="D10" s="60"/>
      <c r="E10" s="136"/>
    </row>
    <row r="11" spans="1:5">
      <c r="A11" s="112" t="s">
        <v>161</v>
      </c>
      <c r="B11" s="113">
        <f>May!T187</f>
        <v>68296</v>
      </c>
      <c r="C11" s="60"/>
      <c r="D11" s="60"/>
      <c r="E11" s="136"/>
    </row>
    <row r="12" spans="1:5">
      <c r="A12" s="112" t="s">
        <v>184</v>
      </c>
      <c r="B12" s="113">
        <f>May!T192</f>
        <v>11932</v>
      </c>
      <c r="C12" s="60"/>
      <c r="D12" s="60"/>
      <c r="E12" s="136"/>
    </row>
    <row r="13" spans="1:5">
      <c r="A13" s="112" t="s">
        <v>205</v>
      </c>
      <c r="B13" s="113">
        <f>May!T218</f>
        <v>32509</v>
      </c>
      <c r="C13" s="60"/>
      <c r="D13" s="60"/>
      <c r="E13" s="136"/>
    </row>
    <row r="14" spans="1:5">
      <c r="A14" s="60"/>
      <c r="B14" s="60"/>
      <c r="C14" s="60"/>
      <c r="D14" s="60"/>
      <c r="E14" s="136"/>
    </row>
    <row r="15" spans="1:5">
      <c r="A15" s="60"/>
      <c r="B15" s="60"/>
      <c r="C15" s="60"/>
      <c r="D15" s="60"/>
      <c r="E15" s="136"/>
    </row>
    <row r="16" spans="1:5">
      <c r="A16" s="60"/>
      <c r="B16" s="60"/>
      <c r="C16" s="60"/>
      <c r="D16" s="60"/>
      <c r="E16" s="136"/>
    </row>
    <row r="17" spans="1:5">
      <c r="A17" s="60"/>
      <c r="B17" s="60"/>
      <c r="C17" s="60"/>
      <c r="D17" s="60"/>
      <c r="E17" s="136"/>
    </row>
    <row r="18" spans="1:5">
      <c r="A18" s="60"/>
      <c r="B18" s="60"/>
      <c r="C18" s="60"/>
      <c r="D18" s="60"/>
      <c r="E18" s="136"/>
    </row>
    <row r="19" spans="1:5">
      <c r="A19" s="60"/>
      <c r="B19" s="60"/>
      <c r="C19" s="60"/>
      <c r="D19" s="60"/>
      <c r="E19" s="136"/>
    </row>
    <row r="20" spans="1:5">
      <c r="A20" s="2"/>
      <c r="B20" s="2"/>
      <c r="C20" s="2"/>
      <c r="D20" s="2"/>
      <c r="E20" s="136"/>
    </row>
    <row r="21" spans="1:5">
      <c r="A21" s="2"/>
      <c r="B21" s="2"/>
      <c r="C21" s="2"/>
      <c r="D21" s="2"/>
      <c r="E21" s="136"/>
    </row>
    <row r="22" spans="1:5">
      <c r="A22" s="2"/>
      <c r="B22" s="2"/>
      <c r="C22" s="2"/>
      <c r="D22" s="2"/>
      <c r="E22" s="136"/>
    </row>
    <row r="23" spans="1:5">
      <c r="A23" s="2"/>
      <c r="B23" s="2"/>
      <c r="C23" s="2"/>
      <c r="D23" s="2"/>
      <c r="E23" s="136"/>
    </row>
    <row r="24" spans="1:5">
      <c r="A24" s="2"/>
      <c r="B24" s="2"/>
      <c r="C24" s="2"/>
      <c r="D24" s="2"/>
    </row>
    <row r="25" spans="1:5">
      <c r="A25" s="2"/>
      <c r="B25" s="2"/>
      <c r="C25" s="2"/>
      <c r="D25" s="2"/>
    </row>
    <row r="26" spans="1:5">
      <c r="A26" s="2"/>
      <c r="B26" s="2"/>
      <c r="C26" s="2"/>
      <c r="D26" s="2"/>
    </row>
  </sheetData>
  <sheetProtection algorithmName="SHA-512" hashValue="cFvasoZZdtMx1WZ8qxWpKHbJ5O323/6ZECiKdD5D5tgSR4UAuv4Hk+vFWsjz/fplq5HfNl/59/mo6sxqAW3EEQ==" saltValue="kdu1a7kuRngoZyubsjXzsQ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May</vt:lpstr>
      <vt:lpstr>NAV Comparison</vt:lpstr>
      <vt:lpstr>Market Share</vt:lpstr>
      <vt:lpstr>Unitholders</vt:lpstr>
      <vt:lpstr>May!_Hlk34300669</vt:lpstr>
      <vt:lpstr>FX_RATE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RV;Mohammed N. Abdulaziz</dc:creator>
  <cp:lastModifiedBy>Isaac, Tunde</cp:lastModifiedBy>
  <cp:lastPrinted>2025-09-10T13:51:24Z</cp:lastPrinted>
  <dcterms:created xsi:type="dcterms:W3CDTF">2023-10-09T09:40:00Z</dcterms:created>
  <dcterms:modified xsi:type="dcterms:W3CDTF">2025-10-08T09:27:03Z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054E73640F5C4E6A998570FE791E2000_13</vt:lpwstr>
  </property>
  <property fmtid="{D5CDD505-2E9C-101B-9397-08002B2CF9AE}" pid="3" name="KSOProductBuildVer">
    <vt:lpwstr>1033-12.2.0.13266</vt:lpwstr>
  </property>
</Properties>
</file>