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s Update 2025\"/>
    </mc:Choice>
  </mc:AlternateContent>
  <bookViews>
    <workbookView xWindow="0" yWindow="0" windowWidth="11352" windowHeight="10920" tabRatio="604"/>
  </bookViews>
  <sheets>
    <sheet name="April" sheetId="7" r:id="rId1"/>
    <sheet name="NAV Comparison" sheetId="2" r:id="rId2"/>
    <sheet name="Market Share" sheetId="3" r:id="rId3"/>
    <sheet name="Unitholders" sheetId="6" r:id="rId4"/>
  </sheets>
  <externalReferences>
    <externalReference r:id="rId5"/>
  </externalReferences>
  <definedNames>
    <definedName name="_Hlk34300669" localSheetId="0">April!$K$62</definedName>
    <definedName name="Component">"Group"</definedName>
    <definedName name="FX_RATE">April!$C$220</definedName>
    <definedName name="pbCountingPages">FALSE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3" l="1"/>
  <c r="B6" i="3"/>
  <c r="B12" i="2"/>
  <c r="B11" i="2"/>
  <c r="B10" i="2"/>
  <c r="B9" i="2"/>
  <c r="B8" i="2"/>
  <c r="B7" i="2"/>
  <c r="B6" i="2"/>
  <c r="B5" i="2"/>
  <c r="M202" i="7"/>
  <c r="N202" i="7"/>
  <c r="O202" i="7"/>
  <c r="P202" i="7"/>
  <c r="Q202" i="7"/>
  <c r="M203" i="7"/>
  <c r="N203" i="7"/>
  <c r="O203" i="7"/>
  <c r="P203" i="7"/>
  <c r="Q203" i="7"/>
  <c r="M204" i="7"/>
  <c r="N204" i="7"/>
  <c r="O204" i="7"/>
  <c r="P204" i="7"/>
  <c r="Q204" i="7"/>
  <c r="M205" i="7"/>
  <c r="N205" i="7"/>
  <c r="O205" i="7"/>
  <c r="P205" i="7"/>
  <c r="Q205" i="7"/>
  <c r="M206" i="7"/>
  <c r="N206" i="7"/>
  <c r="O206" i="7"/>
  <c r="P206" i="7"/>
  <c r="Q206" i="7"/>
  <c r="M207" i="7"/>
  <c r="N207" i="7"/>
  <c r="O207" i="7"/>
  <c r="P207" i="7"/>
  <c r="Q207" i="7"/>
  <c r="M208" i="7"/>
  <c r="N208" i="7"/>
  <c r="O208" i="7"/>
  <c r="P208" i="7"/>
  <c r="Q208" i="7"/>
  <c r="M209" i="7"/>
  <c r="N209" i="7"/>
  <c r="O209" i="7"/>
  <c r="P209" i="7"/>
  <c r="Q209" i="7"/>
  <c r="M210" i="7"/>
  <c r="N210" i="7"/>
  <c r="O210" i="7"/>
  <c r="P210" i="7"/>
  <c r="Q210" i="7"/>
  <c r="M211" i="7"/>
  <c r="N211" i="7"/>
  <c r="O211" i="7"/>
  <c r="P211" i="7"/>
  <c r="Q211" i="7"/>
  <c r="M212" i="7"/>
  <c r="N212" i="7"/>
  <c r="O212" i="7"/>
  <c r="P212" i="7"/>
  <c r="Q212" i="7"/>
  <c r="M213" i="7"/>
  <c r="N213" i="7"/>
  <c r="O213" i="7"/>
  <c r="P213" i="7"/>
  <c r="Q213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M198" i="7"/>
  <c r="N198" i="7"/>
  <c r="O198" i="7"/>
  <c r="P198" i="7"/>
  <c r="Q198" i="7"/>
  <c r="L198" i="7"/>
  <c r="M191" i="7"/>
  <c r="N191" i="7"/>
  <c r="O191" i="7"/>
  <c r="P191" i="7"/>
  <c r="Q191" i="7"/>
  <c r="M192" i="7"/>
  <c r="N192" i="7"/>
  <c r="O192" i="7"/>
  <c r="P192" i="7"/>
  <c r="Q192" i="7"/>
  <c r="L191" i="7"/>
  <c r="L192" i="7"/>
  <c r="M160" i="7"/>
  <c r="N160" i="7"/>
  <c r="O160" i="7"/>
  <c r="P160" i="7"/>
  <c r="Q160" i="7"/>
  <c r="M161" i="7"/>
  <c r="N161" i="7"/>
  <c r="O161" i="7"/>
  <c r="P161" i="7"/>
  <c r="Q161" i="7"/>
  <c r="M162" i="7"/>
  <c r="N162" i="7"/>
  <c r="O162" i="7"/>
  <c r="P162" i="7"/>
  <c r="Q162" i="7"/>
  <c r="M163" i="7"/>
  <c r="N163" i="7"/>
  <c r="O163" i="7"/>
  <c r="P163" i="7"/>
  <c r="Q163" i="7"/>
  <c r="M164" i="7"/>
  <c r="N164" i="7"/>
  <c r="O164" i="7"/>
  <c r="P164" i="7"/>
  <c r="Q164" i="7"/>
  <c r="M165" i="7"/>
  <c r="N165" i="7"/>
  <c r="O165" i="7"/>
  <c r="P165" i="7"/>
  <c r="Q165" i="7"/>
  <c r="M166" i="7"/>
  <c r="N166" i="7"/>
  <c r="O166" i="7"/>
  <c r="P166" i="7"/>
  <c r="Q166" i="7"/>
  <c r="M167" i="7"/>
  <c r="N167" i="7"/>
  <c r="O167" i="7"/>
  <c r="P167" i="7"/>
  <c r="Q167" i="7"/>
  <c r="M168" i="7"/>
  <c r="N168" i="7"/>
  <c r="O168" i="7"/>
  <c r="P168" i="7"/>
  <c r="Q168" i="7"/>
  <c r="M169" i="7"/>
  <c r="N169" i="7"/>
  <c r="O169" i="7"/>
  <c r="P169" i="7"/>
  <c r="Q169" i="7"/>
  <c r="M170" i="7"/>
  <c r="N170" i="7"/>
  <c r="O170" i="7"/>
  <c r="P170" i="7"/>
  <c r="Q170" i="7"/>
  <c r="M171" i="7"/>
  <c r="N171" i="7"/>
  <c r="O171" i="7"/>
  <c r="P171" i="7"/>
  <c r="Q171" i="7"/>
  <c r="M172" i="7"/>
  <c r="N172" i="7"/>
  <c r="O172" i="7"/>
  <c r="P172" i="7"/>
  <c r="Q172" i="7"/>
  <c r="M173" i="7"/>
  <c r="N173" i="7"/>
  <c r="O173" i="7"/>
  <c r="P173" i="7"/>
  <c r="Q173" i="7"/>
  <c r="M174" i="7"/>
  <c r="N174" i="7"/>
  <c r="O174" i="7"/>
  <c r="P174" i="7"/>
  <c r="Q174" i="7"/>
  <c r="M175" i="7"/>
  <c r="N175" i="7"/>
  <c r="O175" i="7"/>
  <c r="P175" i="7"/>
  <c r="Q175" i="7"/>
  <c r="M176" i="7"/>
  <c r="N176" i="7"/>
  <c r="O176" i="7"/>
  <c r="P176" i="7"/>
  <c r="Q176" i="7"/>
  <c r="M177" i="7"/>
  <c r="N177" i="7"/>
  <c r="O177" i="7"/>
  <c r="P177" i="7"/>
  <c r="Q177" i="7"/>
  <c r="M178" i="7"/>
  <c r="N178" i="7"/>
  <c r="O178" i="7"/>
  <c r="P178" i="7"/>
  <c r="Q178" i="7"/>
  <c r="M179" i="7"/>
  <c r="N179" i="7"/>
  <c r="O179" i="7"/>
  <c r="P179" i="7"/>
  <c r="Q179" i="7"/>
  <c r="M180" i="7"/>
  <c r="N180" i="7"/>
  <c r="O180" i="7"/>
  <c r="P180" i="7"/>
  <c r="Q180" i="7"/>
  <c r="M181" i="7"/>
  <c r="N181" i="7"/>
  <c r="O181" i="7"/>
  <c r="P181" i="7"/>
  <c r="Q181" i="7"/>
  <c r="M182" i="7"/>
  <c r="N182" i="7"/>
  <c r="O182" i="7"/>
  <c r="P182" i="7"/>
  <c r="Q182" i="7"/>
  <c r="M183" i="7"/>
  <c r="N183" i="7"/>
  <c r="O183" i="7"/>
  <c r="P183" i="7"/>
  <c r="Q183" i="7"/>
  <c r="M184" i="7"/>
  <c r="N184" i="7"/>
  <c r="O184" i="7"/>
  <c r="P184" i="7"/>
  <c r="Q184" i="7"/>
  <c r="M185" i="7"/>
  <c r="N185" i="7"/>
  <c r="O185" i="7"/>
  <c r="P185" i="7"/>
  <c r="Q185" i="7"/>
  <c r="M186" i="7"/>
  <c r="N186" i="7"/>
  <c r="O186" i="7"/>
  <c r="P186" i="7"/>
  <c r="Q186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M151" i="7"/>
  <c r="N151" i="7"/>
  <c r="O151" i="7"/>
  <c r="P151" i="7"/>
  <c r="Q151" i="7"/>
  <c r="M152" i="7"/>
  <c r="N152" i="7"/>
  <c r="O152" i="7"/>
  <c r="P152" i="7"/>
  <c r="Q152" i="7"/>
  <c r="M153" i="7"/>
  <c r="N153" i="7"/>
  <c r="O153" i="7"/>
  <c r="P153" i="7"/>
  <c r="Q153" i="7"/>
  <c r="M154" i="7"/>
  <c r="N154" i="7"/>
  <c r="O154" i="7"/>
  <c r="P154" i="7"/>
  <c r="Q154" i="7"/>
  <c r="M155" i="7"/>
  <c r="N155" i="7"/>
  <c r="O155" i="7"/>
  <c r="P155" i="7"/>
  <c r="Q155" i="7"/>
  <c r="L151" i="7"/>
  <c r="L152" i="7"/>
  <c r="L153" i="7"/>
  <c r="L154" i="7"/>
  <c r="L155" i="7"/>
  <c r="M132" i="7"/>
  <c r="N132" i="7"/>
  <c r="O132" i="7"/>
  <c r="P132" i="7"/>
  <c r="Q132" i="7"/>
  <c r="M133" i="7"/>
  <c r="N133" i="7"/>
  <c r="O133" i="7"/>
  <c r="P133" i="7"/>
  <c r="Q133" i="7"/>
  <c r="M134" i="7"/>
  <c r="N134" i="7"/>
  <c r="O134" i="7"/>
  <c r="P134" i="7"/>
  <c r="Q134" i="7"/>
  <c r="M135" i="7"/>
  <c r="N135" i="7"/>
  <c r="O135" i="7"/>
  <c r="P135" i="7"/>
  <c r="Q135" i="7"/>
  <c r="M136" i="7"/>
  <c r="N136" i="7"/>
  <c r="O136" i="7"/>
  <c r="P136" i="7"/>
  <c r="Q136" i="7"/>
  <c r="M137" i="7"/>
  <c r="N137" i="7"/>
  <c r="O137" i="7"/>
  <c r="P137" i="7"/>
  <c r="Q137" i="7"/>
  <c r="M138" i="7"/>
  <c r="N138" i="7"/>
  <c r="O138" i="7"/>
  <c r="P138" i="7"/>
  <c r="Q138" i="7"/>
  <c r="M139" i="7"/>
  <c r="N139" i="7"/>
  <c r="O139" i="7"/>
  <c r="P139" i="7"/>
  <c r="Q139" i="7"/>
  <c r="M140" i="7"/>
  <c r="N140" i="7"/>
  <c r="O140" i="7"/>
  <c r="P140" i="7"/>
  <c r="Q140" i="7"/>
  <c r="M141" i="7"/>
  <c r="N141" i="7"/>
  <c r="O141" i="7"/>
  <c r="P141" i="7"/>
  <c r="Q141" i="7"/>
  <c r="M142" i="7"/>
  <c r="N142" i="7"/>
  <c r="O142" i="7"/>
  <c r="P142" i="7"/>
  <c r="Q142" i="7"/>
  <c r="M143" i="7"/>
  <c r="N143" i="7"/>
  <c r="O143" i="7"/>
  <c r="P143" i="7"/>
  <c r="Q143" i="7"/>
  <c r="M144" i="7"/>
  <c r="N144" i="7"/>
  <c r="O144" i="7"/>
  <c r="P144" i="7"/>
  <c r="Q144" i="7"/>
  <c r="M145" i="7"/>
  <c r="N145" i="7"/>
  <c r="O145" i="7"/>
  <c r="P145" i="7"/>
  <c r="Q145" i="7"/>
  <c r="M146" i="7"/>
  <c r="N146" i="7"/>
  <c r="O146" i="7"/>
  <c r="P146" i="7"/>
  <c r="Q146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M113" i="7"/>
  <c r="N113" i="7"/>
  <c r="O113" i="7"/>
  <c r="P113" i="7"/>
  <c r="Q113" i="7"/>
  <c r="M114" i="7"/>
  <c r="N114" i="7"/>
  <c r="O114" i="7"/>
  <c r="P114" i="7"/>
  <c r="Q114" i="7"/>
  <c r="M115" i="7"/>
  <c r="N115" i="7"/>
  <c r="O115" i="7"/>
  <c r="P115" i="7"/>
  <c r="Q115" i="7"/>
  <c r="M116" i="7"/>
  <c r="N116" i="7"/>
  <c r="O116" i="7"/>
  <c r="P116" i="7"/>
  <c r="Q116" i="7"/>
  <c r="M117" i="7"/>
  <c r="N117" i="7"/>
  <c r="O117" i="7"/>
  <c r="P117" i="7"/>
  <c r="Q117" i="7"/>
  <c r="M118" i="7"/>
  <c r="N118" i="7"/>
  <c r="O118" i="7"/>
  <c r="P118" i="7"/>
  <c r="Q118" i="7"/>
  <c r="M119" i="7"/>
  <c r="N119" i="7"/>
  <c r="O119" i="7"/>
  <c r="P119" i="7"/>
  <c r="Q119" i="7"/>
  <c r="M120" i="7"/>
  <c r="N120" i="7"/>
  <c r="O120" i="7"/>
  <c r="P120" i="7"/>
  <c r="Q120" i="7"/>
  <c r="M121" i="7"/>
  <c r="N121" i="7"/>
  <c r="O121" i="7"/>
  <c r="P121" i="7"/>
  <c r="Q121" i="7"/>
  <c r="M122" i="7"/>
  <c r="N122" i="7"/>
  <c r="O122" i="7"/>
  <c r="P122" i="7"/>
  <c r="Q122" i="7"/>
  <c r="M123" i="7"/>
  <c r="N123" i="7"/>
  <c r="O123" i="7"/>
  <c r="P123" i="7"/>
  <c r="Q123" i="7"/>
  <c r="M124" i="7"/>
  <c r="N124" i="7"/>
  <c r="O124" i="7"/>
  <c r="P124" i="7"/>
  <c r="Q124" i="7"/>
  <c r="M125" i="7"/>
  <c r="N125" i="7"/>
  <c r="O125" i="7"/>
  <c r="P125" i="7"/>
  <c r="Q125" i="7"/>
  <c r="M126" i="7"/>
  <c r="N126" i="7"/>
  <c r="O126" i="7"/>
  <c r="P126" i="7"/>
  <c r="Q126" i="7"/>
  <c r="M127" i="7"/>
  <c r="N127" i="7"/>
  <c r="O127" i="7"/>
  <c r="P127" i="7"/>
  <c r="Q127" i="7"/>
  <c r="M128" i="7"/>
  <c r="N128" i="7"/>
  <c r="O128" i="7"/>
  <c r="P128" i="7"/>
  <c r="Q128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M72" i="7"/>
  <c r="N72" i="7"/>
  <c r="O72" i="7"/>
  <c r="P72" i="7"/>
  <c r="Q72" i="7"/>
  <c r="M73" i="7"/>
  <c r="N73" i="7"/>
  <c r="O73" i="7"/>
  <c r="P73" i="7"/>
  <c r="Q73" i="7"/>
  <c r="M74" i="7"/>
  <c r="N74" i="7"/>
  <c r="O74" i="7"/>
  <c r="P74" i="7"/>
  <c r="Q74" i="7"/>
  <c r="M75" i="7"/>
  <c r="N75" i="7"/>
  <c r="O75" i="7"/>
  <c r="P75" i="7"/>
  <c r="Q75" i="7"/>
  <c r="M76" i="7"/>
  <c r="N76" i="7"/>
  <c r="O76" i="7"/>
  <c r="P76" i="7"/>
  <c r="Q76" i="7"/>
  <c r="M77" i="7"/>
  <c r="N77" i="7"/>
  <c r="O77" i="7"/>
  <c r="P77" i="7"/>
  <c r="Q77" i="7"/>
  <c r="M78" i="7"/>
  <c r="N78" i="7"/>
  <c r="O78" i="7"/>
  <c r="P78" i="7"/>
  <c r="Q78" i="7"/>
  <c r="M79" i="7"/>
  <c r="N79" i="7"/>
  <c r="O79" i="7"/>
  <c r="P79" i="7"/>
  <c r="Q79" i="7"/>
  <c r="M80" i="7"/>
  <c r="N80" i="7"/>
  <c r="O80" i="7"/>
  <c r="P80" i="7"/>
  <c r="Q80" i="7"/>
  <c r="M81" i="7"/>
  <c r="N81" i="7"/>
  <c r="O81" i="7"/>
  <c r="P81" i="7"/>
  <c r="Q81" i="7"/>
  <c r="M82" i="7"/>
  <c r="N82" i="7"/>
  <c r="O82" i="7"/>
  <c r="P82" i="7"/>
  <c r="Q82" i="7"/>
  <c r="M83" i="7"/>
  <c r="N83" i="7"/>
  <c r="O83" i="7"/>
  <c r="P83" i="7"/>
  <c r="Q83" i="7"/>
  <c r="M84" i="7"/>
  <c r="N84" i="7"/>
  <c r="O84" i="7"/>
  <c r="P84" i="7"/>
  <c r="Q84" i="7"/>
  <c r="M85" i="7"/>
  <c r="N85" i="7"/>
  <c r="O85" i="7"/>
  <c r="P85" i="7"/>
  <c r="Q85" i="7"/>
  <c r="M86" i="7"/>
  <c r="N86" i="7"/>
  <c r="O86" i="7"/>
  <c r="P86" i="7"/>
  <c r="Q86" i="7"/>
  <c r="M87" i="7"/>
  <c r="N87" i="7"/>
  <c r="O87" i="7"/>
  <c r="P87" i="7"/>
  <c r="Q87" i="7"/>
  <c r="M88" i="7"/>
  <c r="N88" i="7"/>
  <c r="O88" i="7"/>
  <c r="P88" i="7"/>
  <c r="Q88" i="7"/>
  <c r="M89" i="7"/>
  <c r="N89" i="7"/>
  <c r="O89" i="7"/>
  <c r="P89" i="7"/>
  <c r="Q89" i="7"/>
  <c r="M90" i="7"/>
  <c r="N90" i="7"/>
  <c r="O90" i="7"/>
  <c r="P90" i="7"/>
  <c r="Q90" i="7"/>
  <c r="M91" i="7"/>
  <c r="N91" i="7"/>
  <c r="O91" i="7"/>
  <c r="P91" i="7"/>
  <c r="Q91" i="7"/>
  <c r="M92" i="7"/>
  <c r="N92" i="7"/>
  <c r="O92" i="7"/>
  <c r="P92" i="7"/>
  <c r="Q92" i="7"/>
  <c r="M93" i="7"/>
  <c r="N93" i="7"/>
  <c r="O93" i="7"/>
  <c r="P93" i="7"/>
  <c r="Q93" i="7"/>
  <c r="M94" i="7"/>
  <c r="N94" i="7"/>
  <c r="O94" i="7"/>
  <c r="P94" i="7"/>
  <c r="Q94" i="7"/>
  <c r="M95" i="7"/>
  <c r="N95" i="7"/>
  <c r="O95" i="7"/>
  <c r="P95" i="7"/>
  <c r="Q95" i="7"/>
  <c r="M96" i="7"/>
  <c r="N96" i="7"/>
  <c r="O96" i="7"/>
  <c r="P96" i="7"/>
  <c r="Q96" i="7"/>
  <c r="M97" i="7"/>
  <c r="N97" i="7"/>
  <c r="O97" i="7"/>
  <c r="P97" i="7"/>
  <c r="Q97" i="7"/>
  <c r="M98" i="7"/>
  <c r="N98" i="7"/>
  <c r="O98" i="7"/>
  <c r="P98" i="7"/>
  <c r="Q98" i="7"/>
  <c r="M99" i="7"/>
  <c r="N99" i="7"/>
  <c r="O99" i="7"/>
  <c r="P99" i="7"/>
  <c r="Q99" i="7"/>
  <c r="M100" i="7"/>
  <c r="N100" i="7"/>
  <c r="O100" i="7"/>
  <c r="P100" i="7"/>
  <c r="Q100" i="7"/>
  <c r="M101" i="7"/>
  <c r="N101" i="7"/>
  <c r="O101" i="7"/>
  <c r="P101" i="7"/>
  <c r="Q101" i="7"/>
  <c r="M102" i="7"/>
  <c r="N102" i="7"/>
  <c r="O102" i="7"/>
  <c r="P102" i="7"/>
  <c r="Q102" i="7"/>
  <c r="M103" i="7"/>
  <c r="N103" i="7"/>
  <c r="O103" i="7"/>
  <c r="P103" i="7"/>
  <c r="Q103" i="7"/>
  <c r="M104" i="7"/>
  <c r="N104" i="7"/>
  <c r="O104" i="7"/>
  <c r="P104" i="7"/>
  <c r="Q104" i="7"/>
  <c r="M105" i="7"/>
  <c r="N105" i="7"/>
  <c r="O105" i="7"/>
  <c r="P105" i="7"/>
  <c r="Q105" i="7"/>
  <c r="M106" i="7"/>
  <c r="N106" i="7"/>
  <c r="O106" i="7"/>
  <c r="P106" i="7"/>
  <c r="Q106" i="7"/>
  <c r="M107" i="7"/>
  <c r="N107" i="7"/>
  <c r="O107" i="7"/>
  <c r="P107" i="7"/>
  <c r="Q107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M28" i="7"/>
  <c r="N28" i="7"/>
  <c r="O28" i="7"/>
  <c r="P28" i="7"/>
  <c r="Q28" i="7"/>
  <c r="M29" i="7"/>
  <c r="N29" i="7"/>
  <c r="O29" i="7"/>
  <c r="P29" i="7"/>
  <c r="Q29" i="7"/>
  <c r="M30" i="7"/>
  <c r="N30" i="7"/>
  <c r="O30" i="7"/>
  <c r="P30" i="7"/>
  <c r="Q30" i="7"/>
  <c r="M31" i="7"/>
  <c r="N31" i="7"/>
  <c r="O31" i="7"/>
  <c r="P31" i="7"/>
  <c r="Q31" i="7"/>
  <c r="M32" i="7"/>
  <c r="N32" i="7"/>
  <c r="O32" i="7"/>
  <c r="P32" i="7"/>
  <c r="Q32" i="7"/>
  <c r="M33" i="7"/>
  <c r="N33" i="7"/>
  <c r="O33" i="7"/>
  <c r="P33" i="7"/>
  <c r="Q33" i="7"/>
  <c r="M34" i="7"/>
  <c r="N34" i="7"/>
  <c r="O34" i="7"/>
  <c r="P34" i="7"/>
  <c r="Q34" i="7"/>
  <c r="M35" i="7"/>
  <c r="N35" i="7"/>
  <c r="O35" i="7"/>
  <c r="P35" i="7"/>
  <c r="Q35" i="7"/>
  <c r="M36" i="7"/>
  <c r="N36" i="7"/>
  <c r="O36" i="7"/>
  <c r="P36" i="7"/>
  <c r="Q36" i="7"/>
  <c r="M37" i="7"/>
  <c r="N37" i="7"/>
  <c r="O37" i="7"/>
  <c r="P37" i="7"/>
  <c r="Q37" i="7"/>
  <c r="M38" i="7"/>
  <c r="N38" i="7"/>
  <c r="O38" i="7"/>
  <c r="P38" i="7"/>
  <c r="Q38" i="7"/>
  <c r="M39" i="7"/>
  <c r="N39" i="7"/>
  <c r="O39" i="7"/>
  <c r="P39" i="7"/>
  <c r="Q39" i="7"/>
  <c r="M40" i="7"/>
  <c r="N40" i="7"/>
  <c r="O40" i="7"/>
  <c r="P40" i="7"/>
  <c r="Q40" i="7"/>
  <c r="M41" i="7"/>
  <c r="N41" i="7"/>
  <c r="O41" i="7"/>
  <c r="P41" i="7"/>
  <c r="Q41" i="7"/>
  <c r="M42" i="7"/>
  <c r="N42" i="7"/>
  <c r="O42" i="7"/>
  <c r="P42" i="7"/>
  <c r="Q42" i="7"/>
  <c r="M43" i="7"/>
  <c r="N43" i="7"/>
  <c r="O43" i="7"/>
  <c r="P43" i="7"/>
  <c r="Q43" i="7"/>
  <c r="M44" i="7"/>
  <c r="N44" i="7"/>
  <c r="O44" i="7"/>
  <c r="P44" i="7"/>
  <c r="Q44" i="7"/>
  <c r="M45" i="7"/>
  <c r="N45" i="7"/>
  <c r="O45" i="7"/>
  <c r="P45" i="7"/>
  <c r="Q45" i="7"/>
  <c r="M46" i="7"/>
  <c r="N46" i="7"/>
  <c r="O46" i="7"/>
  <c r="P46" i="7"/>
  <c r="Q46" i="7"/>
  <c r="M47" i="7"/>
  <c r="N47" i="7"/>
  <c r="O47" i="7"/>
  <c r="P47" i="7"/>
  <c r="Q47" i="7"/>
  <c r="M48" i="7"/>
  <c r="N48" i="7"/>
  <c r="O48" i="7"/>
  <c r="P48" i="7"/>
  <c r="Q48" i="7"/>
  <c r="M49" i="7"/>
  <c r="N49" i="7"/>
  <c r="O49" i="7"/>
  <c r="P49" i="7"/>
  <c r="Q49" i="7"/>
  <c r="M50" i="7"/>
  <c r="N50" i="7"/>
  <c r="O50" i="7"/>
  <c r="P50" i="7"/>
  <c r="Q50" i="7"/>
  <c r="M51" i="7"/>
  <c r="N51" i="7"/>
  <c r="O51" i="7"/>
  <c r="P51" i="7"/>
  <c r="Q51" i="7"/>
  <c r="M52" i="7"/>
  <c r="N52" i="7"/>
  <c r="O52" i="7"/>
  <c r="P52" i="7"/>
  <c r="Q52" i="7"/>
  <c r="M53" i="7"/>
  <c r="N53" i="7"/>
  <c r="O53" i="7"/>
  <c r="P53" i="7"/>
  <c r="Q53" i="7"/>
  <c r="M54" i="7"/>
  <c r="N54" i="7"/>
  <c r="O54" i="7"/>
  <c r="P54" i="7"/>
  <c r="Q54" i="7"/>
  <c r="M55" i="7"/>
  <c r="N55" i="7"/>
  <c r="O55" i="7"/>
  <c r="P55" i="7"/>
  <c r="Q55" i="7"/>
  <c r="M56" i="7"/>
  <c r="N56" i="7"/>
  <c r="O56" i="7"/>
  <c r="P56" i="7"/>
  <c r="Q56" i="7"/>
  <c r="M57" i="7"/>
  <c r="N57" i="7"/>
  <c r="O57" i="7"/>
  <c r="P57" i="7"/>
  <c r="Q57" i="7"/>
  <c r="M58" i="7"/>
  <c r="N58" i="7"/>
  <c r="O58" i="7"/>
  <c r="P58" i="7"/>
  <c r="Q58" i="7"/>
  <c r="M59" i="7"/>
  <c r="N59" i="7"/>
  <c r="O59" i="7"/>
  <c r="P59" i="7"/>
  <c r="Q59" i="7"/>
  <c r="M60" i="7"/>
  <c r="N60" i="7"/>
  <c r="O60" i="7"/>
  <c r="P60" i="7"/>
  <c r="Q60" i="7"/>
  <c r="M61" i="7"/>
  <c r="N61" i="7"/>
  <c r="O61" i="7"/>
  <c r="P61" i="7"/>
  <c r="Q61" i="7"/>
  <c r="M62" i="7"/>
  <c r="N62" i="7"/>
  <c r="O62" i="7"/>
  <c r="P62" i="7"/>
  <c r="Q62" i="7"/>
  <c r="M63" i="7"/>
  <c r="N63" i="7"/>
  <c r="O63" i="7"/>
  <c r="P63" i="7"/>
  <c r="Q63" i="7"/>
  <c r="M64" i="7"/>
  <c r="N64" i="7"/>
  <c r="O64" i="7"/>
  <c r="P64" i="7"/>
  <c r="Q64" i="7"/>
  <c r="M65" i="7"/>
  <c r="N65" i="7"/>
  <c r="O65" i="7"/>
  <c r="P65" i="7"/>
  <c r="Q65" i="7"/>
  <c r="M66" i="7"/>
  <c r="N66" i="7"/>
  <c r="O66" i="7"/>
  <c r="P66" i="7"/>
  <c r="Q66" i="7"/>
  <c r="M67" i="7"/>
  <c r="N67" i="7"/>
  <c r="O67" i="7"/>
  <c r="P67" i="7"/>
  <c r="Q6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M6" i="7"/>
  <c r="N6" i="7"/>
  <c r="O6" i="7"/>
  <c r="P6" i="7"/>
  <c r="Q6" i="7"/>
  <c r="M7" i="7"/>
  <c r="N7" i="7"/>
  <c r="O7" i="7"/>
  <c r="P7" i="7"/>
  <c r="Q7" i="7"/>
  <c r="M8" i="7"/>
  <c r="N8" i="7"/>
  <c r="O8" i="7"/>
  <c r="P8" i="7"/>
  <c r="Q8" i="7"/>
  <c r="M9" i="7"/>
  <c r="N9" i="7"/>
  <c r="O9" i="7"/>
  <c r="P9" i="7"/>
  <c r="Q9" i="7"/>
  <c r="M10" i="7"/>
  <c r="N10" i="7"/>
  <c r="O10" i="7"/>
  <c r="P10" i="7"/>
  <c r="Q10" i="7"/>
  <c r="M11" i="7"/>
  <c r="N11" i="7"/>
  <c r="O11" i="7"/>
  <c r="P11" i="7"/>
  <c r="Q11" i="7"/>
  <c r="M12" i="7"/>
  <c r="N12" i="7"/>
  <c r="O12" i="7"/>
  <c r="P12" i="7"/>
  <c r="Q12" i="7"/>
  <c r="M13" i="7"/>
  <c r="N13" i="7"/>
  <c r="O13" i="7"/>
  <c r="P13" i="7"/>
  <c r="Q13" i="7"/>
  <c r="M14" i="7"/>
  <c r="N14" i="7"/>
  <c r="O14" i="7"/>
  <c r="P14" i="7"/>
  <c r="Q14" i="7"/>
  <c r="M15" i="7"/>
  <c r="N15" i="7"/>
  <c r="O15" i="7"/>
  <c r="P15" i="7"/>
  <c r="Q15" i="7"/>
  <c r="M16" i="7"/>
  <c r="N16" i="7"/>
  <c r="O16" i="7"/>
  <c r="P16" i="7"/>
  <c r="Q16" i="7"/>
  <c r="M17" i="7"/>
  <c r="N17" i="7"/>
  <c r="O17" i="7"/>
  <c r="P17" i="7"/>
  <c r="Q17" i="7"/>
  <c r="M18" i="7"/>
  <c r="N18" i="7"/>
  <c r="O18" i="7"/>
  <c r="P18" i="7"/>
  <c r="Q18" i="7"/>
  <c r="M19" i="7"/>
  <c r="N19" i="7"/>
  <c r="O19" i="7"/>
  <c r="P19" i="7"/>
  <c r="Q19" i="7"/>
  <c r="M20" i="7"/>
  <c r="N20" i="7"/>
  <c r="O20" i="7"/>
  <c r="P20" i="7"/>
  <c r="Q20" i="7"/>
  <c r="M21" i="7"/>
  <c r="N21" i="7"/>
  <c r="O21" i="7"/>
  <c r="P21" i="7"/>
  <c r="Q21" i="7"/>
  <c r="M22" i="7"/>
  <c r="N22" i="7"/>
  <c r="O22" i="7"/>
  <c r="P22" i="7"/>
  <c r="Q22" i="7"/>
  <c r="M23" i="7"/>
  <c r="N23" i="7"/>
  <c r="O23" i="7"/>
  <c r="P23" i="7"/>
  <c r="Q23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I15" i="7"/>
  <c r="K217" i="7" l="1"/>
  <c r="I217" i="7"/>
  <c r="K147" i="7"/>
  <c r="I147" i="7"/>
  <c r="K113" i="7" l="1"/>
  <c r="G113" i="7"/>
  <c r="E113" i="7"/>
  <c r="D113" i="7"/>
  <c r="T42" i="7" l="1"/>
  <c r="S123" i="7"/>
  <c r="R123" i="7"/>
  <c r="K123" i="7"/>
  <c r="R126" i="7"/>
  <c r="S126" i="7"/>
  <c r="G123" i="7"/>
  <c r="E123" i="7"/>
  <c r="D123" i="7"/>
  <c r="S135" i="7"/>
  <c r="R135" i="7"/>
  <c r="K135" i="7"/>
  <c r="G135" i="7"/>
  <c r="E135" i="7"/>
  <c r="D135" i="7"/>
  <c r="S128" i="7" l="1"/>
  <c r="R128" i="7"/>
  <c r="K128" i="7"/>
  <c r="G128" i="7"/>
  <c r="E128" i="7"/>
  <c r="D128" i="7"/>
  <c r="S137" i="7"/>
  <c r="R137" i="7"/>
  <c r="K137" i="7"/>
  <c r="G137" i="7"/>
  <c r="E137" i="7"/>
  <c r="D137" i="7"/>
  <c r="S138" i="7" l="1"/>
  <c r="R138" i="7"/>
  <c r="K138" i="7"/>
  <c r="G138" i="7"/>
  <c r="E138" i="7"/>
  <c r="D138" i="7"/>
  <c r="T165" i="7"/>
  <c r="H181" i="7" l="1"/>
  <c r="H61" i="7"/>
  <c r="H143" i="7"/>
  <c r="H106" i="7"/>
  <c r="S146" i="7"/>
  <c r="R146" i="7"/>
  <c r="K146" i="7"/>
  <c r="G146" i="7"/>
  <c r="E146" i="7"/>
  <c r="H146" i="7" s="1"/>
  <c r="D146" i="7"/>
  <c r="H66" i="7"/>
  <c r="S142" i="7" l="1"/>
  <c r="R142" i="7"/>
  <c r="K142" i="7"/>
  <c r="G142" i="7"/>
  <c r="E142" i="7"/>
  <c r="D142" i="7"/>
  <c r="S132" i="7"/>
  <c r="R132" i="7"/>
  <c r="K132" i="7"/>
  <c r="G132" i="7"/>
  <c r="E132" i="7"/>
  <c r="D132" i="7"/>
  <c r="S145" i="7"/>
  <c r="R145" i="7"/>
  <c r="K145" i="7"/>
  <c r="G145" i="7"/>
  <c r="E145" i="7"/>
  <c r="D145" i="7"/>
  <c r="H151" i="7"/>
  <c r="S115" i="7"/>
  <c r="R115" i="7"/>
  <c r="K115" i="7"/>
  <c r="G115" i="7"/>
  <c r="E115" i="7"/>
  <c r="D115" i="7"/>
  <c r="S114" i="7"/>
  <c r="R114" i="7"/>
  <c r="K114" i="7"/>
  <c r="G114" i="7"/>
  <c r="F114" i="7"/>
  <c r="E114" i="7"/>
  <c r="D114" i="7"/>
  <c r="S124" i="7"/>
  <c r="R124" i="7"/>
  <c r="K124" i="7"/>
  <c r="G124" i="7"/>
  <c r="D124" i="7"/>
  <c r="T94" i="7"/>
  <c r="T53" i="7"/>
  <c r="T211" i="7"/>
  <c r="S140" i="7"/>
  <c r="R140" i="7"/>
  <c r="K140" i="7"/>
  <c r="G140" i="7"/>
  <c r="F140" i="7"/>
  <c r="E140" i="7"/>
  <c r="D140" i="7"/>
  <c r="S139" i="7"/>
  <c r="R139" i="7"/>
  <c r="K139" i="7"/>
  <c r="G139" i="7"/>
  <c r="F139" i="7"/>
  <c r="E139" i="7"/>
  <c r="D139" i="7"/>
  <c r="T127" i="7"/>
  <c r="K126" i="7"/>
  <c r="G126" i="7"/>
  <c r="E126" i="7"/>
  <c r="D126" i="7"/>
  <c r="S144" i="7" l="1"/>
  <c r="R144" i="7"/>
  <c r="K144" i="7"/>
  <c r="G144" i="7"/>
  <c r="E144" i="7"/>
  <c r="D144" i="7"/>
  <c r="S119" i="7"/>
  <c r="R119" i="7"/>
  <c r="K119" i="7"/>
  <c r="G119" i="7"/>
  <c r="E119" i="7"/>
  <c r="D119" i="7"/>
  <c r="H40" i="7"/>
  <c r="R134" i="7" l="1"/>
  <c r="H57" i="7"/>
  <c r="S141" i="7"/>
  <c r="R141" i="7"/>
  <c r="K141" i="7"/>
  <c r="G141" i="7"/>
  <c r="E141" i="7"/>
  <c r="D141" i="7"/>
  <c r="H77" i="7"/>
  <c r="S117" i="7"/>
  <c r="K117" i="7"/>
  <c r="G117" i="7"/>
  <c r="E117" i="7"/>
  <c r="D117" i="7"/>
  <c r="S120" i="7"/>
  <c r="R120" i="7"/>
  <c r="K120" i="7"/>
  <c r="G120" i="7"/>
  <c r="E120" i="7"/>
  <c r="D120" i="7"/>
  <c r="S125" i="7"/>
  <c r="R125" i="7"/>
  <c r="K125" i="7"/>
  <c r="G125" i="7"/>
  <c r="E125" i="7"/>
  <c r="D125" i="7"/>
  <c r="H141" i="7" l="1"/>
  <c r="S136" i="7"/>
  <c r="R136" i="7"/>
  <c r="K136" i="7"/>
  <c r="G136" i="7"/>
  <c r="E136" i="7"/>
  <c r="D136" i="7"/>
  <c r="S122" i="7"/>
  <c r="R122" i="7"/>
  <c r="R121" i="7"/>
  <c r="S121" i="7"/>
  <c r="T133" i="7"/>
  <c r="S133" i="7"/>
  <c r="R133" i="7"/>
  <c r="K133" i="7"/>
  <c r="G133" i="7"/>
  <c r="E133" i="7"/>
  <c r="D133" i="7"/>
  <c r="S116" i="7"/>
  <c r="R116" i="7"/>
  <c r="K116" i="7"/>
  <c r="G116" i="7"/>
  <c r="E116" i="7"/>
  <c r="D116" i="7"/>
  <c r="S131" i="7"/>
  <c r="R131" i="7"/>
  <c r="K131" i="7"/>
  <c r="G131" i="7"/>
  <c r="E131" i="7"/>
  <c r="D131" i="7"/>
  <c r="S118" i="7"/>
  <c r="R118" i="7"/>
  <c r="K118" i="7"/>
  <c r="G118" i="7"/>
  <c r="E118" i="7"/>
  <c r="D118" i="7"/>
  <c r="S112" i="7"/>
  <c r="R112" i="7"/>
  <c r="H161" i="7" l="1"/>
  <c r="H162" i="7"/>
  <c r="H163" i="7"/>
  <c r="H164" i="7"/>
  <c r="H165" i="7"/>
  <c r="H166" i="7"/>
  <c r="H167" i="7"/>
  <c r="H168" i="7"/>
  <c r="H169" i="7"/>
  <c r="F138" i="7" l="1"/>
  <c r="S113" i="7" l="1"/>
  <c r="R113" i="7"/>
  <c r="H51" i="7" l="1"/>
  <c r="S134" i="7" l="1"/>
  <c r="R117" i="7"/>
  <c r="T37" i="7" l="1"/>
  <c r="H123" i="7" l="1"/>
  <c r="H202" i="7" l="1"/>
  <c r="H115" i="7"/>
  <c r="H33" i="7" l="1"/>
  <c r="H31" i="7" l="1"/>
  <c r="H136" i="7" l="1"/>
  <c r="H48" i="7" l="1"/>
  <c r="H43" i="7" l="1"/>
  <c r="H150" i="7" l="1"/>
  <c r="H96" i="7" l="1"/>
  <c r="H104" i="7" l="1"/>
  <c r="T156" i="7" l="1"/>
  <c r="B10" i="6" s="1"/>
  <c r="K156" i="7"/>
  <c r="P216" i="7"/>
  <c r="N216" i="7"/>
  <c r="P201" i="7"/>
  <c r="N201" i="7"/>
  <c r="M201" i="7"/>
  <c r="I156" i="7"/>
  <c r="J151" i="7" s="1"/>
  <c r="J154" i="7" l="1"/>
  <c r="J153" i="7"/>
  <c r="J152" i="7"/>
  <c r="J155" i="7"/>
  <c r="M156" i="7"/>
  <c r="C9" i="2"/>
  <c r="H205" i="7"/>
  <c r="H15" i="7" l="1"/>
  <c r="H134" i="7" l="1"/>
  <c r="H81" i="7"/>
  <c r="H175" i="7"/>
  <c r="H22" i="7"/>
  <c r="H160" i="7" l="1"/>
  <c r="H170" i="7"/>
  <c r="H171" i="7"/>
  <c r="H172" i="7"/>
  <c r="H174" i="7"/>
  <c r="H173" i="7"/>
  <c r="H176" i="7"/>
  <c r="H177" i="7"/>
  <c r="H178" i="7"/>
  <c r="H179" i="7"/>
  <c r="H180" i="7"/>
  <c r="H182" i="7"/>
  <c r="H183" i="7"/>
  <c r="H184" i="7"/>
  <c r="H185" i="7"/>
  <c r="H186" i="7"/>
  <c r="H159" i="7"/>
  <c r="H216" i="7"/>
  <c r="Q216" i="7" l="1"/>
  <c r="O216" i="7"/>
  <c r="P150" i="7" l="1"/>
  <c r="N150" i="7"/>
  <c r="M150" i="7"/>
  <c r="H203" i="7" l="1"/>
  <c r="H204" i="7"/>
  <c r="H206" i="7"/>
  <c r="H207" i="7"/>
  <c r="H208" i="7"/>
  <c r="H209" i="7"/>
  <c r="H210" i="7"/>
  <c r="H211" i="7"/>
  <c r="H212" i="7"/>
  <c r="H213" i="7"/>
  <c r="H201" i="7" l="1"/>
  <c r="H198" i="7"/>
  <c r="H197" i="7"/>
  <c r="H191" i="7"/>
  <c r="H192" i="7"/>
  <c r="H152" i="7"/>
  <c r="H153" i="7"/>
  <c r="H154" i="7"/>
  <c r="H155" i="7"/>
  <c r="H132" i="7"/>
  <c r="H133" i="7"/>
  <c r="H135" i="7"/>
  <c r="H137" i="7"/>
  <c r="H138" i="7"/>
  <c r="H139" i="7"/>
  <c r="H140" i="7"/>
  <c r="H142" i="7"/>
  <c r="H144" i="7"/>
  <c r="H145" i="7"/>
  <c r="H131" i="7"/>
  <c r="H113" i="7"/>
  <c r="H114" i="7"/>
  <c r="H116" i="7"/>
  <c r="H117" i="7"/>
  <c r="H118" i="7"/>
  <c r="H119" i="7"/>
  <c r="H120" i="7"/>
  <c r="H121" i="7"/>
  <c r="H122" i="7"/>
  <c r="H124" i="7"/>
  <c r="H125" i="7"/>
  <c r="H126" i="7"/>
  <c r="H127" i="7"/>
  <c r="H128" i="7"/>
  <c r="Q201" i="7" l="1"/>
  <c r="O201" i="7"/>
  <c r="Q150" i="7"/>
  <c r="O150" i="7"/>
  <c r="H72" i="7"/>
  <c r="H73" i="7"/>
  <c r="H74" i="7"/>
  <c r="H75" i="7"/>
  <c r="H76" i="7"/>
  <c r="H78" i="7"/>
  <c r="H79" i="7"/>
  <c r="H80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7" i="7"/>
  <c r="H98" i="7"/>
  <c r="H99" i="7"/>
  <c r="H100" i="7"/>
  <c r="H101" i="7"/>
  <c r="H102" i="7"/>
  <c r="H103" i="7"/>
  <c r="H105" i="7"/>
  <c r="H107" i="7"/>
  <c r="H71" i="7"/>
  <c r="H8" i="7"/>
  <c r="H9" i="7"/>
  <c r="H10" i="7"/>
  <c r="H11" i="7"/>
  <c r="H12" i="7"/>
  <c r="H13" i="7"/>
  <c r="H14" i="7"/>
  <c r="H16" i="7"/>
  <c r="H17" i="7"/>
  <c r="H18" i="7"/>
  <c r="H19" i="7"/>
  <c r="H20" i="7"/>
  <c r="H21" i="7"/>
  <c r="H23" i="7"/>
  <c r="H6" i="7"/>
  <c r="H7" i="7"/>
  <c r="H5" i="7"/>
  <c r="H112" i="7" l="1"/>
  <c r="H28" i="7"/>
  <c r="H29" i="7"/>
  <c r="H30" i="7"/>
  <c r="H32" i="7"/>
  <c r="H34" i="7"/>
  <c r="H35" i="7"/>
  <c r="H36" i="7"/>
  <c r="H37" i="7"/>
  <c r="H38" i="7"/>
  <c r="H39" i="7"/>
  <c r="H41" i="7"/>
  <c r="H42" i="7"/>
  <c r="H44" i="7"/>
  <c r="H45" i="7"/>
  <c r="H46" i="7"/>
  <c r="H47" i="7"/>
  <c r="H49" i="7"/>
  <c r="H50" i="7"/>
  <c r="H52" i="7"/>
  <c r="H53" i="7"/>
  <c r="H54" i="7"/>
  <c r="H55" i="7"/>
  <c r="H56" i="7"/>
  <c r="H58" i="7"/>
  <c r="H59" i="7"/>
  <c r="H60" i="7"/>
  <c r="H62" i="7"/>
  <c r="H63" i="7"/>
  <c r="H64" i="7"/>
  <c r="H65" i="7"/>
  <c r="H67" i="7"/>
  <c r="M216" i="7" l="1"/>
  <c r="T217" i="7" l="1"/>
  <c r="B13" i="6" s="1"/>
  <c r="Q197" i="7"/>
  <c r="P197" i="7"/>
  <c r="O197" i="7"/>
  <c r="N197" i="7"/>
  <c r="M197" i="7"/>
  <c r="T193" i="7"/>
  <c r="B12" i="6" s="1"/>
  <c r="K193" i="7"/>
  <c r="I193" i="7"/>
  <c r="P190" i="7"/>
  <c r="N190" i="7"/>
  <c r="M190" i="7"/>
  <c r="H190" i="7"/>
  <c r="K187" i="7"/>
  <c r="I187" i="7"/>
  <c r="J181" i="7" s="1"/>
  <c r="T187" i="7"/>
  <c r="B11" i="6" s="1"/>
  <c r="P159" i="7"/>
  <c r="N159" i="7"/>
  <c r="M159" i="7"/>
  <c r="Q159" i="7"/>
  <c r="L150" i="7"/>
  <c r="T147" i="7"/>
  <c r="B9" i="6" s="1"/>
  <c r="P112" i="7"/>
  <c r="N112" i="7"/>
  <c r="M112" i="7"/>
  <c r="Q112" i="7"/>
  <c r="T108" i="7"/>
  <c r="B8" i="6" s="1"/>
  <c r="K108" i="7"/>
  <c r="I108" i="7"/>
  <c r="P71" i="7"/>
  <c r="N71" i="7"/>
  <c r="M71" i="7"/>
  <c r="T68" i="7"/>
  <c r="B7" i="6" s="1"/>
  <c r="K68" i="7"/>
  <c r="I68" i="7"/>
  <c r="P27" i="7"/>
  <c r="N27" i="7"/>
  <c r="M27" i="7"/>
  <c r="H27" i="7"/>
  <c r="Q27" i="7" s="1"/>
  <c r="T24" i="7"/>
  <c r="B6" i="6" s="1"/>
  <c r="K24" i="7"/>
  <c r="I24" i="7"/>
  <c r="P5" i="7"/>
  <c r="N5" i="7"/>
  <c r="M5" i="7"/>
  <c r="Q5" i="7"/>
  <c r="J51" i="7" l="1"/>
  <c r="J61" i="7"/>
  <c r="J66" i="7"/>
  <c r="J57" i="7"/>
  <c r="J77" i="7"/>
  <c r="J106" i="7"/>
  <c r="J163" i="7"/>
  <c r="J162" i="7"/>
  <c r="B2" i="3"/>
  <c r="J72" i="7"/>
  <c r="J76" i="7"/>
  <c r="J80" i="7"/>
  <c r="J84" i="7"/>
  <c r="J88" i="7"/>
  <c r="J92" i="7"/>
  <c r="J96" i="7"/>
  <c r="J100" i="7"/>
  <c r="J104" i="7"/>
  <c r="J73" i="7"/>
  <c r="J78" i="7"/>
  <c r="J83" i="7"/>
  <c r="J89" i="7"/>
  <c r="J94" i="7"/>
  <c r="J99" i="7"/>
  <c r="J105" i="7"/>
  <c r="J74" i="7"/>
  <c r="J79" i="7"/>
  <c r="J85" i="7"/>
  <c r="J90" i="7"/>
  <c r="J95" i="7"/>
  <c r="J101" i="7"/>
  <c r="J107" i="7"/>
  <c r="J87" i="7"/>
  <c r="J98" i="7"/>
  <c r="J81" i="7"/>
  <c r="J91" i="7"/>
  <c r="J102" i="7"/>
  <c r="J82" i="7"/>
  <c r="J93" i="7"/>
  <c r="J103" i="7"/>
  <c r="J75" i="7"/>
  <c r="J86" i="7"/>
  <c r="J97" i="7"/>
  <c r="J191" i="7"/>
  <c r="J192" i="7"/>
  <c r="J203" i="7"/>
  <c r="J207" i="7"/>
  <c r="J211" i="7"/>
  <c r="J202" i="7"/>
  <c r="J206" i="7"/>
  <c r="J210" i="7"/>
  <c r="J198" i="7"/>
  <c r="J204" i="7"/>
  <c r="J212" i="7"/>
  <c r="J205" i="7"/>
  <c r="J213" i="7"/>
  <c r="J208" i="7"/>
  <c r="J209" i="7"/>
  <c r="J29" i="7"/>
  <c r="J33" i="7"/>
  <c r="J37" i="7"/>
  <c r="J40" i="7"/>
  <c r="J44" i="7"/>
  <c r="J48" i="7"/>
  <c r="J53" i="7"/>
  <c r="J58" i="7"/>
  <c r="J63" i="7"/>
  <c r="J32" i="7"/>
  <c r="J42" i="7"/>
  <c r="J47" i="7"/>
  <c r="J54" i="7"/>
  <c r="J60" i="7"/>
  <c r="J67" i="7"/>
  <c r="J55" i="7"/>
  <c r="J31" i="7"/>
  <c r="J46" i="7"/>
  <c r="J65" i="7"/>
  <c r="J28" i="7"/>
  <c r="J34" i="7"/>
  <c r="J38" i="7"/>
  <c r="J43" i="7"/>
  <c r="J49" i="7"/>
  <c r="J62" i="7"/>
  <c r="J30" i="7"/>
  <c r="J35" i="7"/>
  <c r="J39" i="7"/>
  <c r="J45" i="7"/>
  <c r="J50" i="7"/>
  <c r="J56" i="7"/>
  <c r="J64" i="7"/>
  <c r="J36" i="7"/>
  <c r="J41" i="7"/>
  <c r="J52" i="7"/>
  <c r="J59" i="7"/>
  <c r="J160" i="7"/>
  <c r="J165" i="7"/>
  <c r="J168" i="7"/>
  <c r="J172" i="7"/>
  <c r="J176" i="7"/>
  <c r="J180" i="7"/>
  <c r="J185" i="7"/>
  <c r="J164" i="7"/>
  <c r="J167" i="7"/>
  <c r="J171" i="7"/>
  <c r="J175" i="7"/>
  <c r="J179" i="7"/>
  <c r="J184" i="7"/>
  <c r="J161" i="7"/>
  <c r="J169" i="7"/>
  <c r="J177" i="7"/>
  <c r="J186" i="7"/>
  <c r="J170" i="7"/>
  <c r="J178" i="7"/>
  <c r="J174" i="7"/>
  <c r="J183" i="7"/>
  <c r="J182" i="7"/>
  <c r="J166" i="7"/>
  <c r="J173" i="7"/>
  <c r="B4" i="3"/>
  <c r="B9" i="3"/>
  <c r="B5" i="3"/>
  <c r="B3" i="3"/>
  <c r="C11" i="2"/>
  <c r="M193" i="7"/>
  <c r="L216" i="7"/>
  <c r="L201" i="7"/>
  <c r="C12" i="2"/>
  <c r="J216" i="7"/>
  <c r="J201" i="7"/>
  <c r="C10" i="2"/>
  <c r="C7" i="2"/>
  <c r="C5" i="2"/>
  <c r="M24" i="7"/>
  <c r="C6" i="2"/>
  <c r="M68" i="7"/>
  <c r="M108" i="7"/>
  <c r="M187" i="7"/>
  <c r="J150" i="7"/>
  <c r="Q131" i="7"/>
  <c r="N131" i="7"/>
  <c r="J71" i="7"/>
  <c r="L197" i="7"/>
  <c r="O112" i="7"/>
  <c r="J159" i="7"/>
  <c r="L27" i="7"/>
  <c r="J197" i="7"/>
  <c r="M217" i="7"/>
  <c r="T218" i="7"/>
  <c r="L71" i="7"/>
  <c r="M131" i="7"/>
  <c r="P131" i="7"/>
  <c r="O159" i="7"/>
  <c r="L5" i="7"/>
  <c r="Q71" i="7"/>
  <c r="O71" i="7"/>
  <c r="Q190" i="7"/>
  <c r="O190" i="7"/>
  <c r="L190" i="7"/>
  <c r="J5" i="7"/>
  <c r="O5" i="7"/>
  <c r="J27" i="7"/>
  <c r="O27" i="7"/>
  <c r="L159" i="7"/>
  <c r="J190" i="7"/>
  <c r="J143" i="7" l="1"/>
  <c r="J146" i="7"/>
  <c r="J141" i="7"/>
  <c r="J134" i="7"/>
  <c r="J115" i="7"/>
  <c r="J123" i="7"/>
  <c r="J127" i="7"/>
  <c r="J122" i="7"/>
  <c r="J121" i="7"/>
  <c r="J124" i="7"/>
  <c r="J140" i="7"/>
  <c r="J125" i="7"/>
  <c r="J126" i="7"/>
  <c r="J144" i="7"/>
  <c r="J132" i="7"/>
  <c r="J128" i="7"/>
  <c r="J118" i="7"/>
  <c r="J135" i="7"/>
  <c r="J137" i="7"/>
  <c r="J116" i="7"/>
  <c r="J138" i="7"/>
  <c r="J145" i="7"/>
  <c r="J113" i="7"/>
  <c r="J114" i="7"/>
  <c r="J117" i="7"/>
  <c r="J133" i="7"/>
  <c r="J139" i="7"/>
  <c r="J142" i="7"/>
  <c r="J119" i="7"/>
  <c r="J136" i="7"/>
  <c r="J120" i="7"/>
  <c r="B8" i="3"/>
  <c r="C8" i="2"/>
  <c r="M147" i="7"/>
  <c r="O131" i="7"/>
  <c r="K218" i="7"/>
  <c r="L217" i="7" s="1"/>
  <c r="J112" i="7"/>
  <c r="J131" i="7"/>
  <c r="L112" i="7"/>
  <c r="L131" i="7"/>
  <c r="I218" i="7"/>
  <c r="J147" i="7" s="1"/>
  <c r="L156" i="7" l="1"/>
  <c r="L108" i="7"/>
  <c r="L193" i="7"/>
  <c r="L68" i="7"/>
  <c r="L24" i="7"/>
  <c r="L147" i="7"/>
  <c r="L187" i="7"/>
  <c r="J217" i="7"/>
  <c r="J156" i="7"/>
  <c r="J108" i="7"/>
  <c r="J187" i="7"/>
  <c r="J68" i="7"/>
  <c r="J24" i="7"/>
  <c r="J193" i="7"/>
</calcChain>
</file>

<file path=xl/sharedStrings.xml><?xml version="1.0" encoding="utf-8"?>
<sst xmlns="http://schemas.openxmlformats.org/spreadsheetml/2006/main" count="444" uniqueCount="299">
  <si>
    <t>S/N</t>
  </si>
  <si>
    <t>FUND</t>
  </si>
  <si>
    <t>FUND MANAGER</t>
  </si>
  <si>
    <t>TOTAL VALUE OF INVESTMENT (N)</t>
  </si>
  <si>
    <t>TOTAL INCOME (N)</t>
  </si>
  <si>
    <t>UNREALIZED CAPITAL GAIN/LOSS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</si>
  <si>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</si>
  <si>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</si>
  <si>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</si>
  <si>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</si>
  <si>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</si>
  <si>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</si>
  <si>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</si>
  <si>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</si>
  <si>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</si>
  <si>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</si>
  <si>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</si>
  <si>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</si>
  <si>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</si>
  <si>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</si>
  <si>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</si>
  <si>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</si>
  <si>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</si>
  <si>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</si>
  <si>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</si>
  <si>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</si>
  <si>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</si>
  <si>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</si>
  <si>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</si>
  <si>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</si>
  <si>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</si>
  <si>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</si>
  <si>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</si>
  <si>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</si>
  <si>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</si>
  <si>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</si>
  <si>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</si>
  <si>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</si>
  <si>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</si>
  <si>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</si>
  <si>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</si>
  <si>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</si>
  <si>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</si>
  <si>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</si>
  <si>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</si>
  <si>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</si>
  <si>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</si>
  <si>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</si>
  <si>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</si>
  <si>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</si>
  <si>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</si>
  <si>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</si>
  <si>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</si>
  <si>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</si>
  <si>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</si>
  <si>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</si>
  <si>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</si>
  <si>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</si>
  <si>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</si>
  <si>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</si>
  <si>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</si>
  <si>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</si>
  <si>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</si>
  <si>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</si>
  <si>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</si>
  <si>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</si>
  <si>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</si>
  <si>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</si>
  <si>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</si>
  <si>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</si>
  <si>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</si>
  <si>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</si>
  <si>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</si>
  <si>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</si>
  <si>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</si>
  <si>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</si>
  <si>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</si>
  <si>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</si>
  <si>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</si>
  <si>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</si>
  <si>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</si>
  <si>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</si>
  <si>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</si>
  <si>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</si>
  <si>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</si>
  <si>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</si>
  <si>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</si>
  <si>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</si>
  <si>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</si>
  <si>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</si>
  <si>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</si>
  <si>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</si>
  <si>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</si>
  <si>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</si>
  <si>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</si>
  <si>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</si>
  <si>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</si>
  <si>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</si>
  <si>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</si>
  <si>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</si>
  <si>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</si>
  <si>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</si>
  <si>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</si>
  <si>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</si>
  <si>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</si>
  <si>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</si>
  <si>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</si>
  <si>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</si>
  <si>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</si>
  <si>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</si>
  <si>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</si>
  <si>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</si>
  <si>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</si>
  <si>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</si>
  <si>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</si>
  <si>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</si>
  <si>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</si>
  <si>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</si>
  <si>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</si>
  <si>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</si>
  <si>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</si>
  <si>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</si>
  <si>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</si>
  <si>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</si>
  <si>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</si>
  <si>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</si>
  <si>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</si>
  <si>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</si>
  <si>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</si>
  <si>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</si>
  <si>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</si>
  <si>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</si>
  <si>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</si>
  <si>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</si>
  <si>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</si>
  <si>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</si>
  <si>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</si>
  <si>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</si>
  <si>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</si>
  <si>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</si>
  <si>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</si>
  <si>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</si>
  <si>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</si>
  <si>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</si>
  <si>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</si>
  <si>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</si>
  <si>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</si>
  <si>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</si>
  <si>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</si>
  <si>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</si>
  <si>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</si>
  <si>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</si>
  <si>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</si>
  <si>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</si>
  <si>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</si>
  <si>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</si>
  <si>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</si>
  <si>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</si>
  <si>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</si>
  <si>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</si>
  <si>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</si>
  <si>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</si>
  <si>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</si>
  <si>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</si>
  <si>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</si>
  <si>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</si>
  <si>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</si>
  <si>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</si>
  <si>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</si>
  <si>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</si>
  <si>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</si>
  <si>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</si>
  <si>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</si>
  <si>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</si>
  <si>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</si>
  <si>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</si>
  <si>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</si>
  <si>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</si>
  <si>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</si>
  <si>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</si>
  <si>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</si>
  <si>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</si>
  <si>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</si>
  <si>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Zenith Balanced Strategy Fund</t>
  </si>
  <si>
    <t>ETHICAL FUNDS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</si>
  <si>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</si>
  <si>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</si>
  <si>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</si>
  <si>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</si>
  <si>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</si>
  <si>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</si>
  <si>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</si>
  <si>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</si>
  <si>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</si>
  <si>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</si>
  <si>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</si>
  <si>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</si>
  <si>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</si>
  <si>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</si>
  <si>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</si>
  <si>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</si>
  <si>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</si>
  <si>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</si>
  <si>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</si>
  <si>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</si>
  <si>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</si>
  <si>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</si>
  <si>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</si>
  <si>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Cowry Equity Fund</t>
  </si>
  <si>
    <t>CardinalStone Equity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</si>
  <si>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</si>
  <si>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</si>
  <si>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</si>
  <si>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</si>
  <si>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</si>
  <si>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Comercio Partners Money Market Fund</t>
  </si>
  <si>
    <t>Comercio Partners Asset Management Limited</t>
  </si>
  <si>
    <t>BALANCED</t>
  </si>
  <si>
    <t>Lotus Waqf (Endowment) Fund</t>
  </si>
  <si>
    <t>Marble Halal Commodities Fund</t>
  </si>
  <si>
    <t xml:space="preserve">Marble Capital Limited </t>
  </si>
  <si>
    <t>Marble Halal Fixed Income Fund</t>
  </si>
  <si>
    <t>FSDH Halal Fund</t>
  </si>
  <si>
    <t>Alpha Morgan Balanced Fund</t>
  </si>
  <si>
    <t>Alpha Morgan Capital Managers Limited</t>
  </si>
  <si>
    <t>Cowry Balanced Fund</t>
  </si>
  <si>
    <t>The Nigeria Football Fund</t>
  </si>
  <si>
    <t>GTI Asset Management &amp; Trust Limited</t>
  </si>
  <si>
    <t>GTI Balanced Fund</t>
  </si>
  <si>
    <t>Housing Solution Fund</t>
  </si>
  <si>
    <t>FUNDCO Capital Managers Limited</t>
  </si>
  <si>
    <t>Coral Money Market Fund</t>
  </si>
  <si>
    <t>AIICO Eurobond Fund</t>
  </si>
  <si>
    <t>RMBN Dollar Fixed Income Fund</t>
  </si>
  <si>
    <t>Lead Dollar Fixed Income Fund</t>
  </si>
  <si>
    <t>Lead Asset Management Limited</t>
  </si>
  <si>
    <t>Meristem Dollar Fund</t>
  </si>
  <si>
    <t>CardinalStone Dollar Fund</t>
  </si>
  <si>
    <t>Comercio Partners Dollar Fund</t>
  </si>
  <si>
    <t>Cowry Eurobond Fund</t>
  </si>
  <si>
    <t>EDC Dollar Fund</t>
  </si>
  <si>
    <t>Cowry Fixed Income Fund</t>
  </si>
  <si>
    <t>Guaranty Trust Fixed Income Fund</t>
  </si>
  <si>
    <t>Utica Custodian Assured Fixed Income Fund</t>
  </si>
  <si>
    <t>Utica Capital Limited</t>
  </si>
  <si>
    <t>Nigeria Bond Fund</t>
  </si>
  <si>
    <t>Meristem Fixed Income Fund</t>
  </si>
  <si>
    <t>Comercio Partners Fixed Income Fund</t>
  </si>
  <si>
    <t>FBN Bond Fund</t>
  </si>
  <si>
    <t>Norrenberger Turbo Fixed Income Fund</t>
  </si>
  <si>
    <t>Norrenberger Investment &amp; Capital Mgt. Ltd.</t>
  </si>
  <si>
    <t>GTI  Money Market Fund</t>
  </si>
  <si>
    <t>Growth and Development Asset Management Limited</t>
  </si>
  <si>
    <t>Halo Equity Fund</t>
  </si>
  <si>
    <t>Zrosk Magna Equity Fund</t>
  </si>
  <si>
    <t>Zrosk Investment Management Limited</t>
  </si>
  <si>
    <t>Hillcrest Balanced Fund</t>
  </si>
  <si>
    <t>Hillcrest Capital Management Limited</t>
  </si>
  <si>
    <t>Coronation Dollar Fund</t>
  </si>
  <si>
    <t>Coronation Premium Fixed Income Fund</t>
  </si>
  <si>
    <t>Emerging Africa Halal Fund</t>
  </si>
  <si>
    <t>Chapel Hill Denham Money Market Fund</t>
  </si>
  <si>
    <t>Norrenberger Investment and Capital Mgt Limited</t>
  </si>
  <si>
    <t>United Capital Stable Fixed Income Fund</t>
  </si>
  <si>
    <t>Radix Horizon Fund</t>
  </si>
  <si>
    <t>Radix Capital Partners Limited</t>
  </si>
  <si>
    <t>CardinalStone Money Market Fund</t>
  </si>
  <si>
    <t>FSL Money Market Fund</t>
  </si>
  <si>
    <t>FSL  Asset Management Limited</t>
  </si>
  <si>
    <t>Guaranty Trust Investment Fund 724</t>
  </si>
  <si>
    <t>Guaranty Trust Dollar Fund</t>
  </si>
  <si>
    <t>AVA GAM Money Market Fund</t>
  </si>
  <si>
    <t>ARM Short-Term Eurobond Fund</t>
  </si>
  <si>
    <t>ARM Sharia Compliant Fixed Income Fund</t>
  </si>
  <si>
    <t>FSL Eurobond Fund</t>
  </si>
  <si>
    <t>FSL Asset Management Limited</t>
  </si>
  <si>
    <t>Halo Nigeria Capital Management Limited</t>
  </si>
  <si>
    <t>Mango Naira Money Maket Fund</t>
  </si>
  <si>
    <t>Mango Asset Management Limited</t>
  </si>
  <si>
    <t>CardinalStone Asset Management Limited</t>
  </si>
  <si>
    <t>CardinalStone Balanced Fund</t>
  </si>
  <si>
    <t xml:space="preserve">Greenwich Asset Management Ltd </t>
  </si>
  <si>
    <t>Parthian Dollar Fixed Income Fund</t>
  </si>
  <si>
    <t>Parthian Capital Ltd.</t>
  </si>
  <si>
    <t>Parthian Money Market Fund</t>
  </si>
  <si>
    <t>MOFI Real Estate Investment Fund</t>
  </si>
  <si>
    <t>Zedcrest Money Market Fund</t>
  </si>
  <si>
    <t>Zedcrest Investment Managers Limited</t>
  </si>
  <si>
    <t>Zedcrest Dollar Fund</t>
  </si>
  <si>
    <t>Zedcrest Fixed Income Fund</t>
  </si>
  <si>
    <t>STL Dollar Fund</t>
  </si>
  <si>
    <t>STL Asset Mgt. Limited</t>
  </si>
  <si>
    <t>STL Money Market Fund</t>
  </si>
  <si>
    <t>STL Balanced Fund</t>
  </si>
  <si>
    <r>
      <t>US$/NG</t>
    </r>
    <r>
      <rPr>
        <strike/>
        <sz val="8"/>
        <color theme="0"/>
        <rFont val="Times New Roman"/>
        <family val="1"/>
      </rPr>
      <t>N</t>
    </r>
    <r>
      <rPr>
        <sz val="8"/>
        <color theme="0"/>
        <rFont val="Times New Roman"/>
        <family val="1"/>
      </rPr>
      <t xml:space="preserve"> I&amp;E as at 30th April, 2025 = N1596.6891</t>
    </r>
  </si>
  <si>
    <t>NET ASSET VALUE (N) PREVIOUS - MARCH</t>
  </si>
  <si>
    <t>MONTHLY UPDATE ON REGISTERED MUTUAL FUNDS AS AT 30TH APRIL, 2025</t>
  </si>
  <si>
    <t>Apr 2025</t>
  </si>
  <si>
    <t>Mar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</si>
</sst>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  <numFmt numFmtId="175" formatCode="&quot; &quot;* #,##0.00&quot; &quot;;&quot; &quot;* \(#,##0.00\);&quot; &quot;* &quot;-&quot;??&quot; &quot;"/>
  </numFmts>
  <fonts count="4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charset val="134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8"/>
      <name val="Century Gothic"/>
      <family val="2"/>
    </font>
    <font>
      <b/>
      <sz val="8"/>
      <name val="Century Gothic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8"/>
      <color theme="0"/>
      <name val="Times New Roman"/>
      <family val="1"/>
    </font>
    <font>
      <strike/>
      <sz val="8"/>
      <color theme="0"/>
      <name val="Times New Roman"/>
      <family val="1"/>
    </font>
    <font>
      <b/>
      <sz val="12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11"/>
      <color theme="0"/>
      <name val="Calibri"/>
      <family val="2"/>
      <scheme val="minor"/>
    </font>
    <font>
      <b/>
      <sz val="28"/>
      <color theme="0"/>
      <name val="Segoe UI Black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8"/>
      <color theme="0"/>
      <name val="Arial Narrow"/>
      <family val="2"/>
    </font>
    <font>
      <sz val="8"/>
      <color theme="0"/>
      <name val="Century Gothic"/>
      <family val="2"/>
    </font>
    <font>
      <sz val="11"/>
      <color theme="0"/>
      <name val="Arial Narrow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name val="Calibri"/>
      <family val="2"/>
    </font>
    <font>
      <b/>
      <sz val="8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7985778374584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64">
    <xf numFmtId="0" fontId="0" fillId="0" borderId="0"/>
    <xf numFmtId="164" fontId="10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165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3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3" fillId="27" borderId="0" applyNumberFormat="0" applyBorder="0" applyAlignment="0" applyProtection="0"/>
    <xf numFmtId="17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9" fontId="6" fillId="0" borderId="0"/>
    <xf numFmtId="49" fontId="6" fillId="0" borderId="0"/>
    <xf numFmtId="49" fontId="6" fillId="0" borderId="0"/>
    <xf numFmtId="49" fontId="6" fillId="0" borderId="0"/>
    <xf numFmtId="0" fontId="6" fillId="0" borderId="0"/>
    <xf numFmtId="37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</cellStyleXfs>
  <cellXfs count="148">
    <xf numFmtId="0" fontId="0" fillId="0" borderId="0" xfId="0"/>
    <xf numFmtId="0" fontId="2" fillId="2" borderId="0" xfId="0" applyFont="1" applyFill="1" applyAlignment="1">
      <alignment wrapText="1"/>
    </xf>
    <xf numFmtId="0" fontId="4" fillId="0" borderId="0" xfId="0" applyFont="1"/>
    <xf numFmtId="0" fontId="5" fillId="3" borderId="0" xfId="0" applyFont="1" applyFill="1"/>
    <xf numFmtId="0" fontId="5" fillId="0" borderId="0" xfId="0" applyFont="1"/>
    <xf numFmtId="0" fontId="9" fillId="0" borderId="0" xfId="0" applyFont="1"/>
    <xf numFmtId="0" fontId="5" fillId="2" borderId="0" xfId="0" applyFont="1" applyFill="1"/>
    <xf numFmtId="164" fontId="5" fillId="2" borderId="0" xfId="1" applyFont="1" applyFill="1" applyBorder="1" applyAlignment="1"/>
    <xf numFmtId="172" fontId="8" fillId="2" borderId="0" xfId="0" applyNumberFormat="1" applyFont="1" applyFill="1"/>
    <xf numFmtId="175" fontId="8" fillId="2" borderId="0" xfId="0" applyNumberFormat="1" applyFont="1" applyFill="1"/>
    <xf numFmtId="164" fontId="18" fillId="2" borderId="2" xfId="1" applyFont="1" applyFill="1" applyBorder="1"/>
    <xf numFmtId="172" fontId="18" fillId="2" borderId="2" xfId="0" applyNumberFormat="1" applyFont="1" applyFill="1" applyBorder="1" applyAlignment="1">
      <alignment horizontal="right"/>
    </xf>
    <xf numFmtId="164" fontId="18" fillId="2" borderId="2" xfId="1" applyFont="1" applyFill="1" applyBorder="1" applyAlignment="1"/>
    <xf numFmtId="10" fontId="18" fillId="2" borderId="2" xfId="0" applyNumberFormat="1" applyFont="1" applyFill="1" applyBorder="1" applyAlignment="1">
      <alignment horizontal="center"/>
    </xf>
    <xf numFmtId="0" fontId="20" fillId="2" borderId="0" xfId="0" applyFont="1" applyFill="1"/>
    <xf numFmtId="0" fontId="21" fillId="0" borderId="0" xfId="0" applyFont="1"/>
    <xf numFmtId="164" fontId="18" fillId="2" borderId="2" xfId="1" applyFont="1" applyFill="1" applyBorder="1" applyAlignment="1">
      <alignment horizontal="right"/>
    </xf>
    <xf numFmtId="164" fontId="18" fillId="0" borderId="2" xfId="1" applyFont="1" applyBorder="1"/>
    <xf numFmtId="164" fontId="18" fillId="0" borderId="2" xfId="1" applyFont="1" applyFill="1" applyBorder="1"/>
    <xf numFmtId="49" fontId="18" fillId="2" borderId="2" xfId="0" applyNumberFormat="1" applyFont="1" applyFill="1" applyBorder="1" applyAlignment="1">
      <alignment wrapText="1"/>
    </xf>
    <xf numFmtId="10" fontId="19" fillId="6" borderId="2" xfId="0" applyNumberFormat="1" applyFont="1" applyFill="1" applyBorder="1" applyAlignment="1">
      <alignment horizontal="center" vertical="center"/>
    </xf>
    <xf numFmtId="10" fontId="18" fillId="6" borderId="2" xfId="0" applyNumberFormat="1" applyFont="1" applyFill="1" applyBorder="1" applyAlignment="1">
      <alignment horizontal="center" vertical="center"/>
    </xf>
    <xf numFmtId="172" fontId="18" fillId="6" borderId="2" xfId="0" applyNumberFormat="1" applyFont="1" applyFill="1" applyBorder="1" applyAlignment="1">
      <alignment horizontal="right" vertical="center"/>
    </xf>
    <xf numFmtId="172" fontId="18" fillId="2" borderId="2" xfId="0" applyNumberFormat="1" applyFont="1" applyFill="1" applyBorder="1"/>
    <xf numFmtId="172" fontId="18" fillId="6" borderId="2" xfId="0" applyNumberFormat="1" applyFont="1" applyFill="1" applyBorder="1" applyAlignment="1">
      <alignment horizontal="center" vertical="center"/>
    </xf>
    <xf numFmtId="164" fontId="18" fillId="2" borderId="2" xfId="1" applyFont="1" applyFill="1" applyBorder="1" applyAlignment="1">
      <alignment wrapText="1"/>
    </xf>
    <xf numFmtId="172" fontId="19" fillId="2" borderId="2" xfId="0" applyNumberFormat="1" applyFont="1" applyFill="1" applyBorder="1"/>
    <xf numFmtId="164" fontId="18" fillId="2" borderId="2" xfId="1" applyFont="1" applyFill="1" applyBorder="1" applyAlignment="1">
      <alignment horizontal="right" vertical="top" wrapText="1"/>
    </xf>
    <xf numFmtId="164" fontId="18" fillId="2" borderId="2" xfId="1" applyFont="1" applyFill="1" applyBorder="1" applyAlignment="1">
      <alignment horizontal="center" vertical="top" wrapText="1"/>
    </xf>
    <xf numFmtId="164" fontId="18" fillId="2" borderId="2" xfId="1" applyFont="1" applyFill="1" applyBorder="1" applyAlignment="1">
      <alignment horizontal="left"/>
    </xf>
    <xf numFmtId="49" fontId="7" fillId="5" borderId="2" xfId="0" applyNumberFormat="1" applyFont="1" applyFill="1" applyBorder="1" applyAlignment="1">
      <alignment horizontal="center" vertical="top" wrapText="1"/>
    </xf>
    <xf numFmtId="171" fontId="18" fillId="0" borderId="2" xfId="0" applyNumberFormat="1" applyFont="1" applyBorder="1"/>
    <xf numFmtId="174" fontId="18" fillId="0" borderId="2" xfId="0" applyNumberFormat="1" applyFont="1" applyBorder="1"/>
    <xf numFmtId="164" fontId="7" fillId="5" borderId="2" xfId="1" applyFont="1" applyFill="1" applyBorder="1" applyAlignment="1">
      <alignment horizontal="center" vertical="top" wrapText="1"/>
    </xf>
    <xf numFmtId="172" fontId="19" fillId="2" borderId="2" xfId="0" applyNumberFormat="1" applyFont="1" applyFill="1" applyBorder="1" applyAlignment="1">
      <alignment horizontal="left"/>
    </xf>
    <xf numFmtId="10" fontId="19" fillId="2" borderId="2" xfId="0" applyNumberFormat="1" applyFont="1" applyFill="1" applyBorder="1" applyAlignment="1">
      <alignment horizontal="center"/>
    </xf>
    <xf numFmtId="172" fontId="19" fillId="6" borderId="2" xfId="0" applyNumberFormat="1" applyFont="1" applyFill="1" applyBorder="1" applyAlignment="1">
      <alignment horizontal="right" vertical="center"/>
    </xf>
    <xf numFmtId="164" fontId="19" fillId="2" borderId="2" xfId="1" applyFont="1" applyFill="1" applyBorder="1"/>
    <xf numFmtId="172" fontId="19" fillId="6" borderId="2" xfId="0" applyNumberFormat="1" applyFont="1" applyFill="1" applyBorder="1" applyAlignment="1">
      <alignment horizontal="center" vertical="center"/>
    </xf>
    <xf numFmtId="164" fontId="19" fillId="2" borderId="2" xfId="1" applyFont="1" applyFill="1" applyBorder="1" applyAlignment="1"/>
    <xf numFmtId="164" fontId="19" fillId="2" borderId="2" xfId="1" applyFont="1" applyFill="1" applyBorder="1" applyAlignment="1">
      <alignment wrapText="1"/>
    </xf>
    <xf numFmtId="10" fontId="19" fillId="6" borderId="2" xfId="0" applyNumberFormat="1" applyFont="1" applyFill="1" applyBorder="1" applyAlignment="1">
      <alignment horizontal="right" vertical="center"/>
    </xf>
    <xf numFmtId="173" fontId="18" fillId="2" borderId="2" xfId="0" applyNumberFormat="1" applyFont="1" applyFill="1" applyBorder="1"/>
    <xf numFmtId="10" fontId="19" fillId="5" borderId="2" xfId="0" applyNumberFormat="1" applyFont="1" applyFill="1" applyBorder="1"/>
    <xf numFmtId="10" fontId="19" fillId="5" borderId="2" xfId="0" applyNumberFormat="1" applyFont="1" applyFill="1" applyBorder="1" applyAlignment="1">
      <alignment horizontal="right" vertical="center"/>
    </xf>
    <xf numFmtId="172" fontId="19" fillId="5" borderId="2" xfId="0" applyNumberFormat="1" applyFont="1" applyFill="1" applyBorder="1" applyAlignment="1">
      <alignment horizontal="right" vertical="center"/>
    </xf>
    <xf numFmtId="164" fontId="19" fillId="5" borderId="2" xfId="1" applyFont="1" applyFill="1" applyBorder="1"/>
    <xf numFmtId="0" fontId="22" fillId="9" borderId="0" xfId="0" applyFont="1" applyFill="1" applyAlignment="1">
      <alignment horizontal="left"/>
    </xf>
    <xf numFmtId="164" fontId="18" fillId="0" borderId="2" xfId="1" applyFont="1" applyBorder="1" applyAlignment="1"/>
    <xf numFmtId="164" fontId="18" fillId="7" borderId="2" xfId="1" applyFont="1" applyFill="1" applyBorder="1"/>
    <xf numFmtId="164" fontId="18" fillId="0" borderId="2" xfId="1" applyFont="1" applyFill="1" applyBorder="1" applyAlignment="1">
      <alignment horizontal="right"/>
    </xf>
    <xf numFmtId="164" fontId="7" fillId="5" borderId="2" xfId="1" applyFont="1" applyFill="1" applyBorder="1"/>
    <xf numFmtId="10" fontId="7" fillId="5" borderId="2" xfId="0" applyNumberFormat="1" applyFont="1" applyFill="1" applyBorder="1"/>
    <xf numFmtId="0" fontId="24" fillId="0" borderId="0" xfId="0" applyFont="1" applyAlignment="1">
      <alignment horizontal="right"/>
    </xf>
    <xf numFmtId="164" fontId="26" fillId="2" borderId="0" xfId="1" applyFont="1" applyFill="1" applyBorder="1"/>
    <xf numFmtId="4" fontId="27" fillId="2" borderId="0" xfId="0" applyNumberFormat="1" applyFont="1" applyFill="1"/>
    <xf numFmtId="4" fontId="27" fillId="2" borderId="0" xfId="0" applyNumberFormat="1" applyFont="1" applyFill="1" applyAlignment="1">
      <alignment horizontal="right"/>
    </xf>
    <xf numFmtId="4" fontId="26" fillId="2" borderId="0" xfId="0" applyNumberFormat="1" applyFont="1" applyFill="1" applyAlignment="1">
      <alignment horizontal="right"/>
    </xf>
    <xf numFmtId="0" fontId="25" fillId="0" borderId="0" xfId="0" applyFont="1" applyAlignment="1">
      <alignment horizontal="right"/>
    </xf>
    <xf numFmtId="4" fontId="26" fillId="2" borderId="0" xfId="0" applyNumberFormat="1" applyFont="1" applyFill="1"/>
    <xf numFmtId="164" fontId="27" fillId="2" borderId="0" xfId="1" applyFont="1" applyFill="1" applyBorder="1" applyAlignment="1">
      <alignment horizontal="right" vertical="top" wrapText="1"/>
    </xf>
    <xf numFmtId="164" fontId="26" fillId="2" borderId="0" xfId="1" applyFont="1" applyFill="1" applyBorder="1" applyAlignment="1">
      <alignment horizontal="right" vertical="top" wrapText="1"/>
    </xf>
    <xf numFmtId="164" fontId="19" fillId="2" borderId="2" xfId="1" applyFont="1" applyFill="1" applyBorder="1" applyAlignment="1">
      <alignment horizontal="left"/>
    </xf>
    <xf numFmtId="164" fontId="18" fillId="0" borderId="2" xfId="1" applyFont="1" applyFill="1" applyBorder="1" applyAlignment="1" applyProtection="1"/>
    <xf numFmtId="0" fontId="28" fillId="0" borderId="0" xfId="0" applyFont="1"/>
    <xf numFmtId="0" fontId="33" fillId="0" borderId="1" xfId="0" applyFont="1" applyBorder="1" applyAlignment="1">
      <alignment horizontal="right"/>
    </xf>
    <xf numFmtId="0" fontId="32" fillId="0" borderId="0" xfId="0" applyFont="1" applyAlignment="1">
      <alignment horizontal="right"/>
    </xf>
    <xf numFmtId="0" fontId="34" fillId="0" borderId="1" xfId="0" applyFont="1" applyBorder="1" applyAlignment="1">
      <alignment horizontal="right"/>
    </xf>
    <xf numFmtId="171" fontId="28" fillId="0" borderId="0" xfId="200" applyNumberFormat="1" applyFont="1"/>
    <xf numFmtId="0" fontId="30" fillId="0" borderId="2" xfId="0" applyFont="1" applyBorder="1" applyAlignment="1">
      <alignment horizontal="right"/>
    </xf>
    <xf numFmtId="16" fontId="30" fillId="2" borderId="2" xfId="0" quotePrefix="1" applyNumberFormat="1" applyFont="1" applyFill="1" applyBorder="1" applyAlignment="1">
      <alignment horizontal="right"/>
    </xf>
    <xf numFmtId="164" fontId="31" fillId="2" borderId="2" xfId="1" applyFont="1" applyFill="1" applyBorder="1" applyAlignment="1">
      <alignment horizontal="right" vertical="top" wrapText="1"/>
    </xf>
    <xf numFmtId="164" fontId="31" fillId="2" borderId="2" xfId="1" applyFont="1" applyFill="1" applyBorder="1"/>
    <xf numFmtId="4" fontId="31" fillId="2" borderId="2" xfId="0" applyNumberFormat="1" applyFont="1" applyFill="1" applyBorder="1"/>
    <xf numFmtId="4" fontId="31" fillId="2" borderId="2" xfId="0" applyNumberFormat="1" applyFont="1" applyFill="1" applyBorder="1" applyAlignment="1">
      <alignment horizontal="right"/>
    </xf>
    <xf numFmtId="164" fontId="35" fillId="2" borderId="2" xfId="1" applyFont="1" applyFill="1" applyBorder="1"/>
    <xf numFmtId="43" fontId="28" fillId="0" borderId="0" xfId="200" applyFont="1"/>
    <xf numFmtId="4" fontId="35" fillId="2" borderId="2" xfId="0" applyNumberFormat="1" applyFont="1" applyFill="1" applyBorder="1"/>
    <xf numFmtId="4" fontId="35" fillId="2" borderId="2" xfId="0" applyNumberFormat="1" applyFont="1" applyFill="1" applyBorder="1" applyAlignment="1">
      <alignment horizontal="right"/>
    </xf>
    <xf numFmtId="172" fontId="36" fillId="2" borderId="2" xfId="0" applyNumberFormat="1" applyFont="1" applyFill="1" applyBorder="1"/>
    <xf numFmtId="0" fontId="37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4" fontId="37" fillId="2" borderId="1" xfId="0" applyNumberFormat="1" applyFont="1" applyFill="1" applyBorder="1" applyAlignment="1">
      <alignment horizontal="right"/>
    </xf>
    <xf numFmtId="4" fontId="37" fillId="2" borderId="0" xfId="0" applyNumberFormat="1" applyFont="1" applyFill="1" applyAlignment="1">
      <alignment horizontal="right"/>
    </xf>
    <xf numFmtId="164" fontId="38" fillId="2" borderId="2" xfId="1" applyFont="1" applyFill="1" applyBorder="1"/>
    <xf numFmtId="164" fontId="38" fillId="2" borderId="2" xfId="1" applyFont="1" applyFill="1" applyBorder="1" applyAlignment="1"/>
    <xf numFmtId="10" fontId="38" fillId="2" borderId="2" xfId="0" applyNumberFormat="1" applyFont="1" applyFill="1" applyBorder="1" applyAlignment="1">
      <alignment horizontal="center"/>
    </xf>
    <xf numFmtId="10" fontId="39" fillId="6" borderId="2" xfId="0" applyNumberFormat="1" applyFont="1" applyFill="1" applyBorder="1" applyAlignment="1">
      <alignment horizontal="center" vertical="center"/>
    </xf>
    <xf numFmtId="10" fontId="38" fillId="6" borderId="2" xfId="0" applyNumberFormat="1" applyFont="1" applyFill="1" applyBorder="1" applyAlignment="1">
      <alignment horizontal="center" vertical="center"/>
    </xf>
    <xf numFmtId="164" fontId="38" fillId="0" borderId="2" xfId="1" applyFont="1" applyBorder="1"/>
    <xf numFmtId="173" fontId="18" fillId="2" borderId="2" xfId="0" applyNumberFormat="1" applyFont="1" applyFill="1" applyBorder="1" applyAlignment="1">
      <alignment horizontal="center" wrapText="1"/>
    </xf>
    <xf numFmtId="0" fontId="40" fillId="2" borderId="0" xfId="0" applyFont="1" applyFill="1"/>
    <xf numFmtId="0" fontId="41" fillId="9" borderId="0" xfId="0" applyFont="1" applyFill="1" applyAlignment="1">
      <alignment horizontal="right" vertical="center"/>
    </xf>
    <xf numFmtId="173" fontId="18" fillId="2" borderId="2" xfId="0" applyNumberFormat="1" applyFont="1" applyFill="1" applyBorder="1" applyAlignment="1">
      <alignment horizontal="center" wrapText="1"/>
    </xf>
    <xf numFmtId="173" fontId="38" fillId="2" borderId="2" xfId="0" applyNumberFormat="1" applyFont="1" applyFill="1" applyBorder="1" applyAlignment="1">
      <alignment horizontal="center" wrapText="1"/>
    </xf>
    <xf numFmtId="49" fontId="38" fillId="2" borderId="2" xfId="0" applyNumberFormat="1" applyFont="1" applyFill="1" applyBorder="1" applyAlignment="1">
      <alignment wrapText="1"/>
    </xf>
    <xf numFmtId="172" fontId="38" fillId="6" borderId="2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/>
    <xf numFmtId="4" fontId="18" fillId="2" borderId="2" xfId="0" applyNumberFormat="1" applyFont="1" applyFill="1" applyBorder="1" applyAlignment="1">
      <alignment wrapText="1"/>
    </xf>
    <xf numFmtId="0" fontId="18" fillId="2" borderId="2" xfId="0" applyFont="1" applyFill="1" applyBorder="1" applyAlignment="1">
      <alignment wrapText="1"/>
    </xf>
    <xf numFmtId="0" fontId="18" fillId="2" borderId="2" xfId="0" applyFont="1" applyFill="1" applyBorder="1" applyAlignment="1">
      <alignment horizontal="right" wrapText="1"/>
    </xf>
    <xf numFmtId="2" fontId="18" fillId="2" borderId="2" xfId="463" applyNumberFormat="1" applyFont="1" applyFill="1" applyBorder="1" applyAlignment="1">
      <alignment wrapText="1"/>
    </xf>
    <xf numFmtId="173" fontId="18" fillId="2" borderId="2" xfId="0" applyNumberFormat="1" applyFont="1" applyFill="1" applyBorder="1" applyAlignment="1">
      <alignment horizontal="right" wrapText="1"/>
    </xf>
    <xf numFmtId="2" fontId="18" fillId="2" borderId="2" xfId="0" applyNumberFormat="1" applyFont="1" applyFill="1" applyBorder="1" applyAlignment="1">
      <alignment wrapText="1"/>
    </xf>
    <xf numFmtId="174" fontId="18" fillId="2" borderId="2" xfId="1" applyNumberFormat="1" applyFont="1" applyFill="1" applyBorder="1" applyAlignment="1">
      <alignment horizontal="center" wrapText="1"/>
    </xf>
    <xf numFmtId="164" fontId="18" fillId="2" borderId="2" xfId="1" applyFont="1" applyFill="1" applyBorder="1" applyAlignment="1">
      <alignment horizontal="left" vertical="top" wrapText="1"/>
    </xf>
    <xf numFmtId="173" fontId="18" fillId="2" borderId="2" xfId="0" applyNumberFormat="1" applyFont="1" applyFill="1" applyBorder="1" applyAlignment="1">
      <alignment horizontal="center" wrapText="1"/>
    </xf>
    <xf numFmtId="2" fontId="18" fillId="2" borderId="2" xfId="0" applyNumberFormat="1" applyFont="1" applyFill="1" applyBorder="1"/>
    <xf numFmtId="173" fontId="18" fillId="2" borderId="2" xfId="0" applyNumberFormat="1" applyFont="1" applyFill="1" applyBorder="1" applyAlignment="1">
      <alignment horizontal="center" wrapText="1"/>
    </xf>
    <xf numFmtId="49" fontId="18" fillId="0" borderId="2" xfId="0" applyNumberFormat="1" applyFont="1" applyBorder="1" applyAlignment="1">
      <alignment wrapText="1"/>
    </xf>
    <xf numFmtId="49" fontId="18" fillId="2" borderId="2" xfId="0" applyNumberFormat="1" applyFont="1" applyFill="1" applyBorder="1" applyAlignment="1">
      <alignment vertical="center" wrapText="1"/>
    </xf>
    <xf numFmtId="173" fontId="18" fillId="2" borderId="2" xfId="0" applyNumberFormat="1" applyFont="1" applyFill="1" applyBorder="1" applyAlignment="1">
      <alignment horizontal="center" wrapText="1"/>
    </xf>
    <xf numFmtId="49" fontId="18" fillId="2" borderId="2" xfId="0" applyNumberFormat="1" applyFont="1" applyFill="1" applyBorder="1" applyAlignment="1">
      <alignment vertical="top" wrapText="1"/>
    </xf>
    <xf numFmtId="173" fontId="18" fillId="2" borderId="2" xfId="0" applyNumberFormat="1" applyFont="1" applyFill="1" applyBorder="1" applyAlignment="1">
      <alignment horizontal="center" wrapText="1"/>
    </xf>
    <xf numFmtId="173" fontId="18" fillId="2" borderId="2" xfId="0" applyNumberFormat="1" applyFont="1" applyFill="1" applyBorder="1" applyAlignment="1">
      <alignment horizontal="center" wrapText="1"/>
    </xf>
    <xf numFmtId="0" fontId="18" fillId="2" borderId="2" xfId="0" applyFont="1" applyFill="1" applyBorder="1"/>
    <xf numFmtId="164" fontId="18" fillId="0" borderId="2" xfId="1" applyFont="1" applyFill="1" applyBorder="1" applyAlignment="1">
      <alignment horizontal="right" vertical="top" wrapText="1"/>
    </xf>
    <xf numFmtId="173" fontId="18" fillId="2" borderId="2" xfId="0" applyNumberFormat="1" applyFont="1" applyFill="1" applyBorder="1" applyAlignment="1">
      <alignment horizontal="center" wrapText="1"/>
    </xf>
    <xf numFmtId="0" fontId="31" fillId="2" borderId="0" xfId="0" applyFont="1" applyFill="1" applyAlignment="1">
      <alignment horizontal="left"/>
    </xf>
    <xf numFmtId="173" fontId="18" fillId="2" borderId="2" xfId="0" applyNumberFormat="1" applyFont="1" applyFill="1" applyBorder="1" applyAlignment="1">
      <alignment horizontal="center" wrapText="1"/>
    </xf>
    <xf numFmtId="49" fontId="29" fillId="4" borderId="2" xfId="0" applyNumberFormat="1" applyFont="1" applyFill="1" applyBorder="1" applyAlignment="1">
      <alignment horizontal="center"/>
    </xf>
    <xf numFmtId="0" fontId="29" fillId="4" borderId="2" xfId="0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top" wrapText="1"/>
    </xf>
    <xf numFmtId="49" fontId="19" fillId="2" borderId="2" xfId="0" applyNumberFormat="1" applyFont="1" applyFill="1" applyBorder="1" applyAlignment="1">
      <alignment horizontal="center" vertical="top" wrapText="1"/>
    </xf>
    <xf numFmtId="49" fontId="19" fillId="2" borderId="2" xfId="0" applyNumberFormat="1" applyFont="1" applyFill="1" applyBorder="1" applyAlignment="1">
      <alignment horizontal="right"/>
    </xf>
    <xf numFmtId="173" fontId="19" fillId="2" borderId="2" xfId="0" applyNumberFormat="1" applyFont="1" applyFill="1" applyBorder="1" applyAlignment="1">
      <alignment horizontal="center"/>
    </xf>
    <xf numFmtId="49" fontId="19" fillId="2" borderId="2" xfId="0" applyNumberFormat="1" applyFont="1" applyFill="1" applyBorder="1" applyAlignment="1">
      <alignment horizontal="center" wrapText="1"/>
    </xf>
    <xf numFmtId="172" fontId="19" fillId="2" borderId="2" xfId="0" applyNumberFormat="1" applyFont="1" applyFill="1" applyBorder="1" applyAlignment="1">
      <alignment horizontal="center" wrapText="1"/>
    </xf>
    <xf numFmtId="173" fontId="18" fillId="2" borderId="2" xfId="0" applyNumberFormat="1" applyFont="1" applyFill="1" applyBorder="1" applyAlignment="1">
      <alignment horizontal="center" wrapText="1"/>
    </xf>
    <xf numFmtId="173" fontId="19" fillId="2" borderId="2" xfId="0" applyNumberFormat="1" applyFont="1" applyFill="1" applyBorder="1" applyAlignment="1">
      <alignment horizontal="center" wrapText="1"/>
    </xf>
    <xf numFmtId="49" fontId="7" fillId="5" borderId="2" xfId="0" applyNumberFormat="1" applyFont="1" applyFill="1" applyBorder="1" applyAlignment="1">
      <alignment horizontal="right"/>
    </xf>
    <xf numFmtId="0" fontId="19" fillId="2" borderId="2" xfId="0" applyFont="1" applyFill="1" applyBorder="1" applyAlignment="1">
      <alignment horizontal="center" wrapText="1"/>
    </xf>
    <xf numFmtId="2" fontId="19" fillId="2" borderId="2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64" fontId="38" fillId="2" borderId="2" xfId="1" applyFont="1" applyFill="1" applyBorder="1" applyAlignment="1">
      <alignment horizontal="left"/>
    </xf>
    <xf numFmtId="164" fontId="18" fillId="2" borderId="2" xfId="1" applyFont="1" applyFill="1" applyBorder="1" applyAlignment="1">
      <alignment horizontal="right" wrapText="1"/>
    </xf>
    <xf numFmtId="164" fontId="18" fillId="0" borderId="0" xfId="1" applyFont="1"/>
    <xf numFmtId="0" fontId="31" fillId="0" borderId="0" xfId="0" applyFont="1"/>
    <xf numFmtId="0" fontId="30" fillId="0" borderId="0" xfId="0" applyFont="1" applyAlignment="1">
      <alignment horizontal="right"/>
    </xf>
    <xf numFmtId="16" fontId="30" fillId="2" borderId="0" xfId="0" quotePrefix="1" applyNumberFormat="1" applyFont="1" applyFill="1" applyAlignment="1">
      <alignment horizontal="right" wrapText="1"/>
    </xf>
    <xf numFmtId="0" fontId="30" fillId="0" borderId="0" xfId="0" applyFont="1" applyAlignment="1">
      <alignment horizontal="right" wrapText="1"/>
    </xf>
    <xf numFmtId="2" fontId="31" fillId="0" borderId="0" xfId="0" applyNumberFormat="1" applyFont="1"/>
    <xf numFmtId="43" fontId="31" fillId="0" borderId="0" xfId="200" applyFont="1" applyBorder="1"/>
    <xf numFmtId="164" fontId="31" fillId="0" borderId="0" xfId="1" applyFont="1"/>
    <xf numFmtId="16" fontId="30" fillId="2" borderId="0" xfId="0" applyNumberFormat="1" applyFont="1" applyFill="1"/>
    <xf numFmtId="164" fontId="31" fillId="0" borderId="0" xfId="1" applyFont="1" applyBorder="1"/>
    <xf numFmtId="4" fontId="31" fillId="2" borderId="0" xfId="0" applyNumberFormat="1" applyFont="1" applyFill="1"/>
    <xf numFmtId="172" fontId="31" fillId="2" borderId="0" xfId="0" applyNumberFormat="1" applyFont="1" applyFill="1"/>
  </cellXfs>
  <cellStyles count="464">
    <cellStyle name="20% - Accent1 2" xfId="2"/>
    <cellStyle name="20% - Accent1 2 2" xfId="3"/>
    <cellStyle name="20% - Accent1 2 3" xfId="4"/>
    <cellStyle name="20% - Accent1 3" xfId="5"/>
    <cellStyle name="20% - Accent1 3 2" xfId="6"/>
    <cellStyle name="20% - Accent1 3 3" xfId="7"/>
    <cellStyle name="20% - Accent1 4" xfId="8"/>
    <cellStyle name="20% - Accent1 4 2" xfId="9"/>
    <cellStyle name="20% - Accent1 5" xfId="10"/>
    <cellStyle name="20% - Accent1 6" xfId="11"/>
    <cellStyle name="20% - Accent2 2" xfId="12"/>
    <cellStyle name="20% - Accent2 2 2" xfId="13"/>
    <cellStyle name="20% - Accent2 2 3" xfId="14"/>
    <cellStyle name="20% - Accent2 3" xfId="15"/>
    <cellStyle name="20% - Accent2 3 2" xfId="16"/>
    <cellStyle name="20% - Accent2 3 3" xfId="17"/>
    <cellStyle name="20% - Accent2 4" xfId="18"/>
    <cellStyle name="20% - Accent2 4 2" xfId="19"/>
    <cellStyle name="20% - Accent2 5" xfId="20"/>
    <cellStyle name="20% - Accent2 6" xfId="21"/>
    <cellStyle name="20% - Accent3 2" xfId="22"/>
    <cellStyle name="20% - Accent3 2 2" xfId="23"/>
    <cellStyle name="20% - Accent3 2 3" xfId="24"/>
    <cellStyle name="20% - Accent3 3" xfId="25"/>
    <cellStyle name="20% - Accent3 3 2" xfId="26"/>
    <cellStyle name="20% - Accent3 3 3" xfId="27"/>
    <cellStyle name="20% - Accent3 4" xfId="28"/>
    <cellStyle name="20% - Accent3 4 2" xfId="29"/>
    <cellStyle name="20% - Accent3 5" xfId="30"/>
    <cellStyle name="20% - Accent3 6" xfId="31"/>
    <cellStyle name="20% - Accent4 2" xfId="32"/>
    <cellStyle name="20% - Accent4 2 2" xfId="33"/>
    <cellStyle name="20% - Accent4 2 3" xfId="34"/>
    <cellStyle name="20% - Accent4 3" xfId="35"/>
    <cellStyle name="20% - Accent4 3 2" xfId="36"/>
    <cellStyle name="20% - Accent4 3 3" xfId="37"/>
    <cellStyle name="20% - Accent4 4" xfId="38"/>
    <cellStyle name="20% - Accent4 4 2" xfId="39"/>
    <cellStyle name="20% - Accent4 5" xfId="40"/>
    <cellStyle name="20% - Accent4 6" xfId="41"/>
    <cellStyle name="20% - Accent5 2" xfId="42"/>
    <cellStyle name="20% - Accent5 2 2" xfId="43"/>
    <cellStyle name="20% - Accent5 2 3" xfId="44"/>
    <cellStyle name="20% - Accent5 3" xfId="45"/>
    <cellStyle name="20% - Accent5 3 2" xfId="46"/>
    <cellStyle name="20% - Accent5 3 3" xfId="47"/>
    <cellStyle name="20% - Accent5 4" xfId="48"/>
    <cellStyle name="20% - Accent5 4 2" xfId="49"/>
    <cellStyle name="20% - Accent5 5" xfId="50"/>
    <cellStyle name="20% - Accent5 6" xfId="51"/>
    <cellStyle name="20% - Accent6 2" xfId="52"/>
    <cellStyle name="20% - Accent6 2 2" xfId="53"/>
    <cellStyle name="20% - Accent6 2 3" xfId="54"/>
    <cellStyle name="20% - Accent6 3" xfId="55"/>
    <cellStyle name="20% - Accent6 3 2" xfId="56"/>
    <cellStyle name="20% - Accent6 3 3" xfId="57"/>
    <cellStyle name="20% - Accent6 4" xfId="58"/>
    <cellStyle name="20% - Accent6 4 2" xfId="59"/>
    <cellStyle name="20% - Accent6 5" xfId="60"/>
    <cellStyle name="20% - Accent6 6" xfId="61"/>
    <cellStyle name="40% - Accent1 2" xfId="62"/>
    <cellStyle name="40% - Accent1 2 2" xfId="63"/>
    <cellStyle name="40% - Accent1 2 3" xfId="64"/>
    <cellStyle name="40% - Accent1 3" xfId="65"/>
    <cellStyle name="40% - Accent1 3 2" xfId="66"/>
    <cellStyle name="40% - Accent1 3 3" xfId="67"/>
    <cellStyle name="40% - Accent1 4" xfId="68"/>
    <cellStyle name="40% - Accent1 4 2" xfId="69"/>
    <cellStyle name="40% - Accent1 5" xfId="70"/>
    <cellStyle name="40% - Accent1 6" xfId="71"/>
    <cellStyle name="40% - Accent2 2" xfId="72"/>
    <cellStyle name="40% - Accent2 2 2" xfId="73"/>
    <cellStyle name="40% - Accent2 2 3" xfId="74"/>
    <cellStyle name="40% - Accent2 3" xfId="75"/>
    <cellStyle name="40% - Accent2 3 2" xfId="76"/>
    <cellStyle name="40% - Accent2 3 3" xfId="77"/>
    <cellStyle name="40% - Accent2 4" xfId="78"/>
    <cellStyle name="40% - Accent2 4 2" xfId="79"/>
    <cellStyle name="40% - Accent2 5" xfId="80"/>
    <cellStyle name="40% - Accent2 6" xfId="81"/>
    <cellStyle name="40% - Accent3 2" xfId="82"/>
    <cellStyle name="40% - Accent3 2 2" xfId="83"/>
    <cellStyle name="40% - Accent3 2 3" xfId="84"/>
    <cellStyle name="40% - Accent3 3" xfId="85"/>
    <cellStyle name="40% - Accent3 3 2" xfId="86"/>
    <cellStyle name="40% - Accent3 3 3" xfId="87"/>
    <cellStyle name="40% - Accent3 4" xfId="88"/>
    <cellStyle name="40% - Accent3 4 2" xfId="89"/>
    <cellStyle name="40% - Accent3 5" xfId="90"/>
    <cellStyle name="40% - Accent3 6" xfId="91"/>
    <cellStyle name="40% - Accent4 2" xfId="92"/>
    <cellStyle name="40% - Accent4 2 2" xfId="93"/>
    <cellStyle name="40% - Accent4 2 3" xfId="94"/>
    <cellStyle name="40% - Accent4 3" xfId="95"/>
    <cellStyle name="40% - Accent4 3 2" xfId="96"/>
    <cellStyle name="40% - Accent4 3 3" xfId="97"/>
    <cellStyle name="40% - Accent4 4" xfId="98"/>
    <cellStyle name="40% - Accent4 4 2" xfId="99"/>
    <cellStyle name="40% - Accent4 5" xfId="100"/>
    <cellStyle name="40% - Accent4 6" xfId="101"/>
    <cellStyle name="40% - Accent5 2" xfId="102"/>
    <cellStyle name="40% - Accent5 2 2" xfId="103"/>
    <cellStyle name="40% - Accent5 2 3" xfId="104"/>
    <cellStyle name="40% - Accent5 3" xfId="105"/>
    <cellStyle name="40% - Accent5 3 2" xfId="106"/>
    <cellStyle name="40% - Accent5 3 3" xfId="107"/>
    <cellStyle name="40% - Accent5 4" xfId="108"/>
    <cellStyle name="40% - Accent5 4 2" xfId="109"/>
    <cellStyle name="40% - Accent5 5" xfId="110"/>
    <cellStyle name="40% - Accent5 6" xfId="111"/>
    <cellStyle name="40% - Accent6 2" xfId="112"/>
    <cellStyle name="40% - Accent6 2 2" xfId="113"/>
    <cellStyle name="40% - Accent6 2 3" xfId="114"/>
    <cellStyle name="40% - Accent6 3" xfId="115"/>
    <cellStyle name="40% - Accent6 3 2" xfId="116"/>
    <cellStyle name="40% - Accent6 3 3" xfId="117"/>
    <cellStyle name="40% - Accent6 4" xfId="118"/>
    <cellStyle name="40% - Accent6 4 2" xfId="119"/>
    <cellStyle name="40% - Accent6 5" xfId="120"/>
    <cellStyle name="40% - Accent6 6" xfId="121"/>
    <cellStyle name="60% - Accent1 2" xfId="122"/>
    <cellStyle name="60% - Accent1 2 2" xfId="123"/>
    <cellStyle name="60% - Accent1 2 3" xfId="124"/>
    <cellStyle name="60% - Accent1 3" xfId="125"/>
    <cellStyle name="60% - Accent1 3 2" xfId="126"/>
    <cellStyle name="60% - Accent1 3 3" xfId="127"/>
    <cellStyle name="60% - Accent1 4" xfId="128"/>
    <cellStyle name="60% - Accent1 4 2" xfId="129"/>
    <cellStyle name="60% - Accent1 5" xfId="130"/>
    <cellStyle name="60% - Accent1 6" xfId="131"/>
    <cellStyle name="60% - Accent2 2" xfId="132"/>
    <cellStyle name="60% - Accent2 2 2" xfId="133"/>
    <cellStyle name="60% - Accent2 2 3" xfId="134"/>
    <cellStyle name="60% - Accent2 3" xfId="135"/>
    <cellStyle name="60% - Accent2 3 2" xfId="136"/>
    <cellStyle name="60% - Accent2 3 3" xfId="137"/>
    <cellStyle name="60% - Accent2 4" xfId="138"/>
    <cellStyle name="60% - Accent2 4 2" xfId="139"/>
    <cellStyle name="60% - Accent2 5" xfId="140"/>
    <cellStyle name="60% - Accent2 6" xfId="141"/>
    <cellStyle name="60% - Accent3 2" xfId="142"/>
    <cellStyle name="60% - Accent3 2 2" xfId="143"/>
    <cellStyle name="60% - Accent3 2 3" xfId="144"/>
    <cellStyle name="60% - Accent3 3" xfId="145"/>
    <cellStyle name="60% - Accent3 3 2" xfId="146"/>
    <cellStyle name="60% - Accent3 3 3" xfId="147"/>
    <cellStyle name="60% - Accent3 4" xfId="148"/>
    <cellStyle name="60% - Accent3 4 2" xfId="149"/>
    <cellStyle name="60% - Accent3 5" xfId="150"/>
    <cellStyle name="60% - Accent3 6" xfId="151"/>
    <cellStyle name="60% - Accent4 2" xfId="152"/>
    <cellStyle name="60% - Accent4 2 2" xfId="153"/>
    <cellStyle name="60% - Accent4 2 3" xfId="154"/>
    <cellStyle name="60% - Accent4 3" xfId="155"/>
    <cellStyle name="60% - Accent4 3 2" xfId="156"/>
    <cellStyle name="60% - Accent4 3 3" xfId="157"/>
    <cellStyle name="60% - Accent4 4" xfId="158"/>
    <cellStyle name="60% - Accent4 4 2" xfId="159"/>
    <cellStyle name="60% - Accent4 5" xfId="160"/>
    <cellStyle name="60% - Accent4 6" xfId="161"/>
    <cellStyle name="60% - Accent5 2" xfId="162"/>
    <cellStyle name="60% - Accent5 2 2" xfId="163"/>
    <cellStyle name="60% - Accent5 2 3" xfId="164"/>
    <cellStyle name="60% - Accent5 3" xfId="165"/>
    <cellStyle name="60% - Accent5 3 2" xfId="166"/>
    <cellStyle name="60% - Accent5 3 3" xfId="167"/>
    <cellStyle name="60% - Accent5 4" xfId="168"/>
    <cellStyle name="60% - Accent5 4 2" xfId="169"/>
    <cellStyle name="60% - Accent5 5" xfId="170"/>
    <cellStyle name="60% - Accent5 6" xfId="171"/>
    <cellStyle name="60% - Accent6 2" xfId="172"/>
    <cellStyle name="60% - Accent6 2 2" xfId="173"/>
    <cellStyle name="60% - Accent6 2 3" xfId="174"/>
    <cellStyle name="60% - Accent6 3" xfId="175"/>
    <cellStyle name="60% - Accent6 3 2" xfId="176"/>
    <cellStyle name="60% - Accent6 3 3" xfId="177"/>
    <cellStyle name="60% - Accent6 4" xfId="178"/>
    <cellStyle name="60% - Accent6 4 2" xfId="179"/>
    <cellStyle name="60% - Accent6 5" xfId="180"/>
    <cellStyle name="60% - Accent6 6" xfId="181"/>
    <cellStyle name="Comma" xfId="1" builtinId="3"/>
    <cellStyle name="Comma 10" xfId="182"/>
    <cellStyle name="Comma 10 13" xfId="183"/>
    <cellStyle name="Comma 11" xfId="184"/>
    <cellStyle name="Comma 12" xfId="185"/>
    <cellStyle name="Comma 12 2" xfId="186"/>
    <cellStyle name="Comma 12 3" xfId="187"/>
    <cellStyle name="Comma 13" xfId="188"/>
    <cellStyle name="Comma 13 2" xfId="189"/>
    <cellStyle name="Comma 13 3" xfId="190"/>
    <cellStyle name="Comma 14" xfId="191"/>
    <cellStyle name="Comma 15" xfId="192"/>
    <cellStyle name="Comma 15 2" xfId="193"/>
    <cellStyle name="Comma 15 3" xfId="194"/>
    <cellStyle name="Comma 16" xfId="195"/>
    <cellStyle name="Comma 16 2" xfId="196"/>
    <cellStyle name="Comma 16 3" xfId="197"/>
    <cellStyle name="Comma 17" xfId="198"/>
    <cellStyle name="Comma 18" xfId="199"/>
    <cellStyle name="Comma 2" xfId="200"/>
    <cellStyle name="Comma 2 10" xfId="201"/>
    <cellStyle name="Comma 2 10 2" xfId="202"/>
    <cellStyle name="Comma 2 11" xfId="203"/>
    <cellStyle name="Comma 2 11 2" xfId="204"/>
    <cellStyle name="Comma 2 12" xfId="205"/>
    <cellStyle name="Comma 2 13" xfId="206"/>
    <cellStyle name="Comma 2 2" xfId="207"/>
    <cellStyle name="Comma 2 2 2" xfId="208"/>
    <cellStyle name="Comma 2 2 2 2" xfId="209"/>
    <cellStyle name="Comma 2 2 2 2 2" xfId="210"/>
    <cellStyle name="Comma 2 2 2 2 3" xfId="211"/>
    <cellStyle name="Comma 2 2 2 3" xfId="212"/>
    <cellStyle name="Comma 2 3" xfId="213"/>
    <cellStyle name="Comma 2 3 2" xfId="214"/>
    <cellStyle name="Comma 2 4" xfId="215"/>
    <cellStyle name="Comma 2 4 2" xfId="216"/>
    <cellStyle name="Comma 2 5" xfId="217"/>
    <cellStyle name="Comma 2 5 2" xfId="218"/>
    <cellStyle name="Comma 2 6" xfId="219"/>
    <cellStyle name="Comma 2 6 2" xfId="220"/>
    <cellStyle name="Comma 2 7" xfId="221"/>
    <cellStyle name="Comma 2 7 2" xfId="222"/>
    <cellStyle name="Comma 2 8" xfId="223"/>
    <cellStyle name="Comma 2 8 2" xfId="224"/>
    <cellStyle name="Comma 2 9" xfId="225"/>
    <cellStyle name="Comma 2 9 2" xfId="226"/>
    <cellStyle name="Comma 3" xfId="227"/>
    <cellStyle name="Comma 3 2" xfId="228"/>
    <cellStyle name="Comma 3 2 2" xfId="229"/>
    <cellStyle name="Comma 3 3" xfId="230"/>
    <cellStyle name="Comma 3 4" xfId="231"/>
    <cellStyle name="Comma 3 4 3" xfId="232"/>
    <cellStyle name="Comma 3 4 4" xfId="233"/>
    <cellStyle name="Comma 4" xfId="234"/>
    <cellStyle name="Comma 4 2" xfId="235"/>
    <cellStyle name="Comma 4 3" xfId="236"/>
    <cellStyle name="Comma 5" xfId="237"/>
    <cellStyle name="Comma 6" xfId="238"/>
    <cellStyle name="Comma 7" xfId="239"/>
    <cellStyle name="Comma 8" xfId="240"/>
    <cellStyle name="Comma 8 2" xfId="241"/>
    <cellStyle name="Comma 9" xfId="242"/>
    <cellStyle name="Neutral 2" xfId="243"/>
    <cellStyle name="Normal" xfId="0" builtinId="0"/>
    <cellStyle name="Normal - Style1" xfId="244"/>
    <cellStyle name="Normal 10" xfId="245"/>
    <cellStyle name="Normal 10 2" xfId="246"/>
    <cellStyle name="Normal 10 3" xfId="247"/>
    <cellStyle name="Normal 11" xfId="248"/>
    <cellStyle name="Normal 11 2" xfId="249"/>
    <cellStyle name="Normal 11 3" xfId="250"/>
    <cellStyle name="Normal 12" xfId="251"/>
    <cellStyle name="Normal 12 2" xfId="252"/>
    <cellStyle name="Normal 12 2 2" xfId="253"/>
    <cellStyle name="Normal 12 2 3" xfId="254"/>
    <cellStyle name="Normal 12 3" xfId="255"/>
    <cellStyle name="Normal 12 4" xfId="256"/>
    <cellStyle name="Normal 13" xfId="257"/>
    <cellStyle name="Normal 13 2" xfId="258"/>
    <cellStyle name="Normal 13 3" xfId="259"/>
    <cellStyle name="Normal 14" xfId="260"/>
    <cellStyle name="Normal 14 2" xfId="261"/>
    <cellStyle name="Normal 15" xfId="262"/>
    <cellStyle name="Normal 15 2" xfId="263"/>
    <cellStyle name="Normal 15 3" xfId="264"/>
    <cellStyle name="Normal 16" xfId="265"/>
    <cellStyle name="Normal 16 2" xfId="266"/>
    <cellStyle name="Normal 16 3" xfId="267"/>
    <cellStyle name="Normal 17" xfId="268"/>
    <cellStyle name="Normal 17 2" xfId="269"/>
    <cellStyle name="Normal 17 3" xfId="270"/>
    <cellStyle name="Normal 18" xfId="271"/>
    <cellStyle name="Normal 18 2" xfId="272"/>
    <cellStyle name="Normal 18 3" xfId="273"/>
    <cellStyle name="Normal 19" xfId="274"/>
    <cellStyle name="Normal 19 2" xfId="275"/>
    <cellStyle name="Normal 19 3" xfId="276"/>
    <cellStyle name="Normal 2" xfId="277"/>
    <cellStyle name="Normal 2 2" xfId="278"/>
    <cellStyle name="Normal 2 2 2" xfId="279"/>
    <cellStyle name="Normal 2 3" xfId="280"/>
    <cellStyle name="Normal 2 4" xfId="281"/>
    <cellStyle name="Normal 2 5" xfId="282"/>
    <cellStyle name="Normal 2 6" xfId="283"/>
    <cellStyle name="Normal 20" xfId="284"/>
    <cellStyle name="Normal 20 2" xfId="285"/>
    <cellStyle name="Normal 20 3" xfId="286"/>
    <cellStyle name="Normal 21" xfId="287"/>
    <cellStyle name="Normal 21 2" xfId="288"/>
    <cellStyle name="Normal 21 3" xfId="289"/>
    <cellStyle name="Normal 22" xfId="290"/>
    <cellStyle name="Normal 22 2" xfId="291"/>
    <cellStyle name="Normal 22 3" xfId="292"/>
    <cellStyle name="Normal 23" xfId="293"/>
    <cellStyle name="Normal 23 2" xfId="294"/>
    <cellStyle name="Normal 23 3" xfId="295"/>
    <cellStyle name="Normal 24" xfId="296"/>
    <cellStyle name="Normal 24 2" xfId="297"/>
    <cellStyle name="Normal 24 3" xfId="298"/>
    <cellStyle name="Normal 25" xfId="299"/>
    <cellStyle name="Normal 25 2" xfId="300"/>
    <cellStyle name="Normal 25 3" xfId="301"/>
    <cellStyle name="Normal 26" xfId="302"/>
    <cellStyle name="Normal 26 2" xfId="303"/>
    <cellStyle name="Normal 26 3" xfId="304"/>
    <cellStyle name="Normal 27" xfId="305"/>
    <cellStyle name="Normal 27 2" xfId="306"/>
    <cellStyle name="Normal 27 2 2" xfId="307"/>
    <cellStyle name="Normal 27 3" xfId="308"/>
    <cellStyle name="Normal 28" xfId="309"/>
    <cellStyle name="Normal 28 2" xfId="310"/>
    <cellStyle name="Normal 29" xfId="311"/>
    <cellStyle name="Normal 29 2" xfId="312"/>
    <cellStyle name="Normal 3" xfId="313"/>
    <cellStyle name="Normal 3 2" xfId="314"/>
    <cellStyle name="Normal 3 2 2" xfId="315"/>
    <cellStyle name="Normal 3 2 3" xfId="316"/>
    <cellStyle name="Normal 3 3" xfId="317"/>
    <cellStyle name="Normal 3 4" xfId="318"/>
    <cellStyle name="Normal 30" xfId="319"/>
    <cellStyle name="Normal 30 2" xfId="320"/>
    <cellStyle name="Normal 31" xfId="321"/>
    <cellStyle name="Normal 31 2" xfId="322"/>
    <cellStyle name="Normal 32" xfId="323"/>
    <cellStyle name="Normal 32 2" xfId="324"/>
    <cellStyle name="Normal 33" xfId="325"/>
    <cellStyle name="Normal 33 2" xfId="326"/>
    <cellStyle name="Normal 34" xfId="327"/>
    <cellStyle name="Normal 34 2" xfId="328"/>
    <cellStyle name="Normal 35" xfId="329"/>
    <cellStyle name="Normal 35 2" xfId="330"/>
    <cellStyle name="Normal 36" xfId="331"/>
    <cellStyle name="Normal 36 2" xfId="332"/>
    <cellStyle name="Normal 37" xfId="333"/>
    <cellStyle name="Normal 37 2" xfId="334"/>
    <cellStyle name="Normal 38" xfId="335"/>
    <cellStyle name="Normal 38 2" xfId="336"/>
    <cellStyle name="Normal 39" xfId="337"/>
    <cellStyle name="Normal 39 2" xfId="338"/>
    <cellStyle name="Normal 4" xfId="339"/>
    <cellStyle name="Normal 4 2" xfId="340"/>
    <cellStyle name="Normal 40" xfId="341"/>
    <cellStyle name="Normal 40 2" xfId="342"/>
    <cellStyle name="Normal 41" xfId="343"/>
    <cellStyle name="Normal 41 2" xfId="344"/>
    <cellStyle name="Normal 42" xfId="345"/>
    <cellStyle name="Normal 42 2" xfId="346"/>
    <cellStyle name="Normal 43" xfId="347"/>
    <cellStyle name="Normal 43 2" xfId="348"/>
    <cellStyle name="Normal 44" xfId="349"/>
    <cellStyle name="Normal 44 2" xfId="350"/>
    <cellStyle name="Normal 45" xfId="351"/>
    <cellStyle name="Normal 45 2" xfId="352"/>
    <cellStyle name="Normal 46" xfId="353"/>
    <cellStyle name="Normal 46 2" xfId="354"/>
    <cellStyle name="Normal 47" xfId="355"/>
    <cellStyle name="Normal 47 2" xfId="356"/>
    <cellStyle name="Normal 48" xfId="357"/>
    <cellStyle name="Normal 48 2" xfId="358"/>
    <cellStyle name="Normal 49" xfId="359"/>
    <cellStyle name="Normal 49 2" xfId="360"/>
    <cellStyle name="Normal 5" xfId="361"/>
    <cellStyle name="Normal 50" xfId="362"/>
    <cellStyle name="Normal 50 2" xfId="363"/>
    <cellStyle name="Normal 51" xfId="364"/>
    <cellStyle name="Normal 51 2" xfId="365"/>
    <cellStyle name="Normal 52" xfId="366"/>
    <cellStyle name="Normal 52 2" xfId="367"/>
    <cellStyle name="Normal 53" xfId="368"/>
    <cellStyle name="Normal 53 2" xfId="369"/>
    <cellStyle name="Normal 54" xfId="370"/>
    <cellStyle name="Normal 54 2" xfId="371"/>
    <cellStyle name="Normal 55" xfId="372"/>
    <cellStyle name="Normal 55 2" xfId="373"/>
    <cellStyle name="Normal 56" xfId="374"/>
    <cellStyle name="Normal 56 2" xfId="375"/>
    <cellStyle name="Normal 57" xfId="376"/>
    <cellStyle name="Normal 57 2" xfId="377"/>
    <cellStyle name="Normal 58" xfId="378"/>
    <cellStyle name="Normal 58 2" xfId="379"/>
    <cellStyle name="Normal 59" xfId="380"/>
    <cellStyle name="Normal 59 2" xfId="381"/>
    <cellStyle name="Normal 6" xfId="382"/>
    <cellStyle name="Normal 6 2" xfId="383"/>
    <cellStyle name="Normal 6 3" xfId="384"/>
    <cellStyle name="Normal 60" xfId="385"/>
    <cellStyle name="Normal 60 2" xfId="386"/>
    <cellStyle name="Normal 61" xfId="387"/>
    <cellStyle name="Normal 61 2" xfId="388"/>
    <cellStyle name="Normal 62" xfId="389"/>
    <cellStyle name="Normal 62 2" xfId="390"/>
    <cellStyle name="Normal 63" xfId="391"/>
    <cellStyle name="Normal 63 2" xfId="392"/>
    <cellStyle name="Normal 64" xfId="393"/>
    <cellStyle name="Normal 64 2" xfId="394"/>
    <cellStyle name="Normal 65" xfId="395"/>
    <cellStyle name="Normal 65 2" xfId="396"/>
    <cellStyle name="Normal 66" xfId="397"/>
    <cellStyle name="Normal 66 2" xfId="398"/>
    <cellStyle name="Normal 67" xfId="399"/>
    <cellStyle name="Normal 67 2" xfId="400"/>
    <cellStyle name="Normal 68" xfId="401"/>
    <cellStyle name="Normal 68 2" xfId="402"/>
    <cellStyle name="Normal 69" xfId="403"/>
    <cellStyle name="Normal 69 2" xfId="404"/>
    <cellStyle name="Normal 7" xfId="405"/>
    <cellStyle name="Normal 7 2" xfId="406"/>
    <cellStyle name="Normal 7 3" xfId="407"/>
    <cellStyle name="Normal 70" xfId="408"/>
    <cellStyle name="Normal 71" xfId="409"/>
    <cellStyle name="Normal 72" xfId="410"/>
    <cellStyle name="Normal 73" xfId="411"/>
    <cellStyle name="Normal 74" xfId="412"/>
    <cellStyle name="Normal 75" xfId="463"/>
    <cellStyle name="Normal 8" xfId="413"/>
    <cellStyle name="Normal 8 2" xfId="414"/>
    <cellStyle name="Normal 8 3" xfId="415"/>
    <cellStyle name="Normal 9" xfId="416"/>
    <cellStyle name="Normal 9 2" xfId="417"/>
    <cellStyle name="Normal 9 3" xfId="418"/>
    <cellStyle name="Note 10" xfId="419"/>
    <cellStyle name="Note 10 2" xfId="420"/>
    <cellStyle name="Note 10 3" xfId="421"/>
    <cellStyle name="Note 11" xfId="422"/>
    <cellStyle name="Note 11 2" xfId="423"/>
    <cellStyle name="Note 11 3" xfId="424"/>
    <cellStyle name="Note 12" xfId="425"/>
    <cellStyle name="Note 12 2" xfId="426"/>
    <cellStyle name="Note 12 3" xfId="427"/>
    <cellStyle name="Note 13" xfId="428"/>
    <cellStyle name="Note 13 2" xfId="429"/>
    <cellStyle name="Note 14" xfId="430"/>
    <cellStyle name="Note 14 2" xfId="431"/>
    <cellStyle name="Note 2" xfId="432"/>
    <cellStyle name="Note 2 2" xfId="433"/>
    <cellStyle name="Note 2 3" xfId="434"/>
    <cellStyle name="Note 3" xfId="435"/>
    <cellStyle name="Note 3 2" xfId="436"/>
    <cellStyle name="Note 3 3" xfId="437"/>
    <cellStyle name="Note 4" xfId="438"/>
    <cellStyle name="Note 4 2" xfId="439"/>
    <cellStyle name="Note 4 3" xfId="440"/>
    <cellStyle name="Note 5" xfId="441"/>
    <cellStyle name="Note 5 2" xfId="442"/>
    <cellStyle name="Note 5 3" xfId="443"/>
    <cellStyle name="Note 6" xfId="444"/>
    <cellStyle name="Note 6 2" xfId="445"/>
    <cellStyle name="Note 6 3" xfId="446"/>
    <cellStyle name="Note 7" xfId="447"/>
    <cellStyle name="Note 7 2" xfId="448"/>
    <cellStyle name="Note 7 3" xfId="449"/>
    <cellStyle name="Note 8" xfId="450"/>
    <cellStyle name="Note 8 2" xfId="451"/>
    <cellStyle name="Note 8 3" xfId="452"/>
    <cellStyle name="Note 9" xfId="453"/>
    <cellStyle name="Note 9 2" xfId="454"/>
    <cellStyle name="Note 9 3" xfId="455"/>
    <cellStyle name="Percent 2" xfId="456"/>
    <cellStyle name="Percent 2 2" xfId="457"/>
    <cellStyle name="Percent 2 2 2" xfId="458"/>
    <cellStyle name="Percent 3" xfId="459"/>
    <cellStyle name="Percent 4" xfId="460"/>
    <cellStyle name="Title 2" xfId="461"/>
    <cellStyle name="Title 3" xfId="462"/>
  </cellStyles>
  <dxfs count="0"/>
  <tableStyles count="0" defaultTableStyle="TableStyleMedium2" defaultPivotStyle="PivotStyleLight16"/>
  <colors>
    <mruColors>
      <color rgb="FF0C685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8E-2"/>
          <c:y val="0.12704992830139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Mar 2025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_-* #,##0.00_-;\-* #,##0.00_-;_-* "-"??_-;_-@_-</c:formatCode>
                <c:ptCount val="8"/>
                <c:pt idx="0" formatCode="0.00">
                  <c:v>38.254232063824439</c:v>
                </c:pt>
                <c:pt idx="1">
                  <c:v>2137.5508517731296</c:v>
                </c:pt>
                <c:pt idx="2" formatCode="0.00">
                  <c:v>191.04383083871033</c:v>
                </c:pt>
                <c:pt idx="3">
                  <c:v>1787.1244946161137</c:v>
                </c:pt>
                <c:pt idx="4" formatCode="0.00">
                  <c:v>101.14279538354</c:v>
                </c:pt>
                <c:pt idx="5" formatCode="0.00">
                  <c:v>57.960605376102954</c:v>
                </c:pt>
                <c:pt idx="6" formatCode="0.00">
                  <c:v>6.7148611995100005</c:v>
                </c:pt>
                <c:pt idx="7" formatCode="0.00">
                  <c:v>54.400136303729944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6-46ED-89A2-2B50ABB45C22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Apr 2025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38.4092374166</c:v>
                </c:pt>
                <c:pt idx="1">
                  <c:v>2770.932964702899</c:v>
                </c:pt>
                <c:pt idx="2">
                  <c:v>204.98454964474001</c:v>
                </c:pt>
                <c:pt idx="3">
                  <c:v>1951.2396774693273</c:v>
                </c:pt>
                <c:pt idx="4">
                  <c:v>355.82549393045997</c:v>
                </c:pt>
                <c:pt idx="5">
                  <c:v>58.687519196020006</c:v>
                </c:pt>
                <c:pt idx="6">
                  <c:v>6.8343344776499997</c:v>
                </c:pt>
                <c:pt idx="7">
                  <c:v>57.934627993589999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6-46ED-89A2-2B50ABB45C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430612036398778"/>
          <c:y val="0.16516634114243717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Apr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C18-4D5B-93F2-F392B61358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C18-4D5B-93F2-F392B61358B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C18-4D5B-93F2-F392B61358B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C18-4D5B-93F2-F392B61358B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C18-4D5B-93F2-F392B61358B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C18-4D5B-93F2-F392B61358B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C18-4D5B-93F2-F392B61358B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C18-4D5B-93F2-F392B61358BF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18-4D5B-93F2-F392B61358BF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C18-4D5B-93F2-F392B61358BF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18-4D5B-93F2-F392B61358BF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C18-4D5B-93F2-F392B61358BF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C18-4D5B-93F2-F392B61358BF}"/>
                </c:ext>
              </c:extLst>
            </c:dLbl>
            <c:dLbl>
              <c:idx val="5"/>
              <c:layout>
                <c:manualLayout>
                  <c:x val="0.16387243416296915"/>
                  <c:y val="-0.14293289835765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C18-4D5B-93F2-F392B61358BF}"/>
                </c:ext>
              </c:extLst>
            </c:dLbl>
            <c:dLbl>
              <c:idx val="6"/>
              <c:layout>
                <c:manualLayout>
                  <c:x val="4.1958195051844678E-2"/>
                  <c:y val="0.136559003230298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C18-4D5B-93F2-F392B61358BF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C18-4D5B-93F2-F392B61358BF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BONDS/FIXED INCOME FUNDS</c:v>
                </c:pt>
                <c:pt idx="5">
                  <c:v>REAL ESTATE INVESTMENT TRUST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_-* #,##0.00_-;\-* #,##0.00_-;_-* "-"??_-;_-@_-</c:formatCode>
                <c:ptCount val="8"/>
                <c:pt idx="0">
                  <c:v>6834334477.6499996</c:v>
                </c:pt>
                <c:pt idx="1">
                  <c:v>38409237416.599998</c:v>
                </c:pt>
                <c:pt idx="2" formatCode="#,##0.00">
                  <c:v>57934627993.589996</c:v>
                </c:pt>
                <c:pt idx="3" formatCode="#,##0.00">
                  <c:v>58687519196.020004</c:v>
                </c:pt>
                <c:pt idx="4" formatCode="#,##0.00">
                  <c:v>204984549644.74002</c:v>
                </c:pt>
                <c:pt idx="5" formatCode="#,##0.00">
                  <c:v>355825493930.45996</c:v>
                </c:pt>
                <c:pt idx="6" formatCode="#,##0.00">
                  <c:v>1951239677469.3271</c:v>
                </c:pt>
                <c:pt idx="7" formatCode="#,##0.00">
                  <c:v>2770932964702.8989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C18-4D5B-93F2-F392B61358B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50791</c:v>
                </c:pt>
                <c:pt idx="1">
                  <c:v>395538</c:v>
                </c:pt>
                <c:pt idx="2">
                  <c:v>44914</c:v>
                </c:pt>
                <c:pt idx="3">
                  <c:v>21167</c:v>
                </c:pt>
                <c:pt idx="4">
                  <c:v>217513</c:v>
                </c:pt>
                <c:pt idx="5">
                  <c:v>68124</c:v>
                </c:pt>
                <c:pt idx="6">
                  <c:v>13617</c:v>
                </c:pt>
                <c:pt idx="7">
                  <c:v>30259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9-4D7C-AC55-08D88FE24A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CLASSES OF FUNDS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83820</xdr:colOff>
      <xdr:row>22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30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Update%20on%20Registered%20Mutual%20Funds%20as%20at%20March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h"/>
      <sheetName val="NAV Comparison"/>
      <sheetName val="Market Share"/>
      <sheetName val="Unitholders"/>
    </sheetNames>
    <sheetDataSet>
      <sheetData sheetId="0">
        <row r="24">
          <cell r="I24">
            <v>38254232063.82444</v>
          </cell>
        </row>
        <row r="68">
          <cell r="I68">
            <v>2137550851773.1294</v>
          </cell>
        </row>
        <row r="108">
          <cell r="I108">
            <v>191043830838.71033</v>
          </cell>
        </row>
        <row r="146">
          <cell r="I146">
            <v>1787124494616.1138</v>
          </cell>
        </row>
        <row r="154">
          <cell r="I154">
            <v>101142795383.54001</v>
          </cell>
        </row>
        <row r="185">
          <cell r="I185">
            <v>57960605376.102951</v>
          </cell>
        </row>
        <row r="191">
          <cell r="I191">
            <v>6714861199.5100002</v>
          </cell>
        </row>
        <row r="215">
          <cell r="I215">
            <v>54400136303.729942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0"/>
  <sheetViews>
    <sheetView tabSelected="1" view="pageBreakPreview" zoomScale="120" zoomScaleNormal="70" zoomScaleSheetLayoutView="120" workbookViewId="0">
      <pane ySplit="2" topLeftCell="A3" activePane="bottomLeft" state="frozen"/>
      <selection pane="bottomLeft" activeCell="A3" sqref="A3:V3"/>
    </sheetView>
  </sheetViews>
  <sheetFormatPr defaultColWidth="9" defaultRowHeight="13.8"/>
  <cols>
    <col min="1" max="1" width="6.6640625" style="5" customWidth="1"/>
    <col min="2" max="2" width="44.6640625" style="15" customWidth="1"/>
    <col min="3" max="3" width="43.88671875" style="15" customWidth="1"/>
    <col min="4" max="4" width="21.5546875" style="4" customWidth="1"/>
    <col min="5" max="6" width="19.33203125" style="4" customWidth="1"/>
    <col min="7" max="7" width="19.6640625" style="4" customWidth="1"/>
    <col min="8" max="8" width="20" style="4" customWidth="1"/>
    <col min="9" max="9" width="22" style="4" customWidth="1"/>
    <col min="10" max="10" width="9" style="4"/>
    <col min="11" max="11" width="24.5546875" style="4" customWidth="1"/>
    <col min="12" max="12" width="9" style="4"/>
    <col min="13" max="13" width="11.5546875" style="4" customWidth="1"/>
    <col min="14" max="14" width="12.109375" style="4" customWidth="1"/>
    <col min="15" max="15" width="12.5546875" style="4" customWidth="1"/>
    <col min="16" max="16" width="12.33203125" style="4" customWidth="1"/>
    <col min="17" max="17" width="12.6640625" style="4" customWidth="1"/>
    <col min="18" max="18" width="14.44140625" style="4" customWidth="1"/>
    <col min="19" max="19" width="13.33203125" style="4" customWidth="1"/>
    <col min="20" max="20" width="16.44140625" style="4" customWidth="1"/>
    <col min="21" max="22" width="20.109375" style="4" customWidth="1"/>
    <col min="23" max="16384" width="9" style="4"/>
  </cols>
  <sheetData>
    <row r="1" spans="1:23" ht="39.9" customHeight="1">
      <c r="A1" s="120" t="s">
        <v>296</v>
      </c>
      <c r="B1" s="120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5"/>
    </row>
    <row r="2" spans="1:23" ht="48" customHeight="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3" t="s">
        <v>7</v>
      </c>
      <c r="I2" s="30" t="s">
        <v>295</v>
      </c>
      <c r="J2" s="30" t="s">
        <v>8</v>
      </c>
      <c r="K2" s="30" t="s">
        <v>9</v>
      </c>
      <c r="L2" s="30" t="s">
        <v>8</v>
      </c>
      <c r="M2" s="30" t="s">
        <v>10</v>
      </c>
      <c r="N2" s="30" t="s">
        <v>11</v>
      </c>
      <c r="O2" s="30" t="s">
        <v>12</v>
      </c>
      <c r="P2" s="30" t="s">
        <v>13</v>
      </c>
      <c r="Q2" s="30" t="s">
        <v>14</v>
      </c>
      <c r="R2" s="30" t="s">
        <v>15</v>
      </c>
      <c r="S2" s="30" t="s">
        <v>16</v>
      </c>
      <c r="T2" s="30" t="s">
        <v>17</v>
      </c>
      <c r="U2" s="30" t="s">
        <v>18</v>
      </c>
      <c r="V2" s="30" t="s">
        <v>19</v>
      </c>
    </row>
    <row r="3" spans="1:23" ht="6" customHeight="1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</row>
    <row r="4" spans="1:23" ht="16.5" customHeight="1">
      <c r="A4" s="123" t="s">
        <v>20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3" ht="15" customHeight="1">
      <c r="A5" s="90">
        <v>1</v>
      </c>
      <c r="B5" s="19" t="s">
        <v>21</v>
      </c>
      <c r="C5" s="19" t="s">
        <v>22</v>
      </c>
      <c r="D5" s="10">
        <v>1490649087.28</v>
      </c>
      <c r="E5" s="10">
        <v>27999622.48</v>
      </c>
      <c r="F5" s="10">
        <v>533036574.68000001</v>
      </c>
      <c r="G5" s="10">
        <v>2766551.37</v>
      </c>
      <c r="H5" s="12">
        <f>(E5+F5)-G5</f>
        <v>558269645.78999996</v>
      </c>
      <c r="I5" s="29">
        <v>1588678846.1300001</v>
      </c>
      <c r="J5" s="13">
        <f t="shared" ref="J5:J23" si="0">(I5/$I$24)</f>
        <v>4.2141828274517602E-2</v>
      </c>
      <c r="K5" s="29">
        <v>1544138452.8199999</v>
      </c>
      <c r="L5" s="13">
        <f>(K5/$K$24)</f>
        <v>4.0202267909454574E-2</v>
      </c>
      <c r="M5" s="13">
        <f t="shared" ref="M5:M24" si="1">((K5-I5)/I5)</f>
        <v>-2.8036121597829523E-2</v>
      </c>
      <c r="N5" s="20">
        <f t="shared" ref="N5" si="2">(G5/K5)</f>
        <v>1.7916472224025993E-3</v>
      </c>
      <c r="O5" s="21">
        <f t="shared" ref="O5" si="3">H5/K5</f>
        <v>0.36154118484029318</v>
      </c>
      <c r="P5" s="22">
        <f t="shared" ref="P5" si="4">K5/V5</f>
        <v>430.17090397856441</v>
      </c>
      <c r="Q5" s="22">
        <f t="shared" ref="Q5" si="5">H5/V5</f>
        <v>155.52449830823016</v>
      </c>
      <c r="R5" s="10">
        <v>430.17090000000002</v>
      </c>
      <c r="S5" s="10">
        <v>433.72739999999999</v>
      </c>
      <c r="T5" s="10">
        <v>1690</v>
      </c>
      <c r="U5" s="10">
        <v>3768249.82</v>
      </c>
      <c r="V5" s="10">
        <v>3589592.97</v>
      </c>
    </row>
    <row r="6" spans="1:23">
      <c r="A6" s="90">
        <v>2</v>
      </c>
      <c r="B6" s="19" t="s">
        <v>23</v>
      </c>
      <c r="C6" s="19" t="s">
        <v>24</v>
      </c>
      <c r="D6" s="10">
        <v>658008262.71000004</v>
      </c>
      <c r="E6" s="10">
        <v>2031685</v>
      </c>
      <c r="F6" s="10">
        <v>0</v>
      </c>
      <c r="G6" s="10">
        <v>882349.58</v>
      </c>
      <c r="H6" s="12">
        <f t="shared" ref="H6:H23" si="6">(E6+F6)-G6</f>
        <v>1149335.42</v>
      </c>
      <c r="I6" s="29">
        <v>657961130.13999999</v>
      </c>
      <c r="J6" s="13">
        <f t="shared" si="0"/>
        <v>1.7453297767016703E-2</v>
      </c>
      <c r="K6" s="29">
        <v>680595664.53999996</v>
      </c>
      <c r="L6" s="13">
        <f t="shared" ref="L6:L23" si="7">(K6/$K$24)</f>
        <v>1.7719582848209708E-2</v>
      </c>
      <c r="M6" s="13">
        <f t="shared" ref="M6:M23" si="8">((K6-I6)/I6)</f>
        <v>3.4401020612241692E-2</v>
      </c>
      <c r="N6" s="20">
        <f t="shared" ref="N6:N23" si="9">(G6/K6)</f>
        <v>1.296437262197903E-3</v>
      </c>
      <c r="O6" s="21">
        <f t="shared" ref="O6:O23" si="10">H6/K6</f>
        <v>1.6887198668490066E-3</v>
      </c>
      <c r="P6" s="22">
        <f t="shared" ref="P6:P23" si="11">K6/V6</f>
        <v>286.00730139352709</v>
      </c>
      <c r="Q6" s="22">
        <f t="shared" ref="Q6:Q23" si="12">H6/V6</f>
        <v>0.48298621192712082</v>
      </c>
      <c r="R6" s="10">
        <v>285.97000000000003</v>
      </c>
      <c r="S6" s="10">
        <v>289.31</v>
      </c>
      <c r="T6" s="10">
        <v>354</v>
      </c>
      <c r="U6" s="10">
        <v>2380682.2599999998</v>
      </c>
      <c r="V6" s="10">
        <v>2379644.37</v>
      </c>
    </row>
    <row r="7" spans="1:23">
      <c r="A7" s="106">
        <v>3</v>
      </c>
      <c r="B7" s="19" t="s">
        <v>25</v>
      </c>
      <c r="C7" s="97" t="s">
        <v>26</v>
      </c>
      <c r="D7" s="10">
        <v>3446790793.1199999</v>
      </c>
      <c r="E7" s="10">
        <v>90811486.099999994</v>
      </c>
      <c r="F7" s="10">
        <v>-25665178.390000001</v>
      </c>
      <c r="G7" s="10">
        <v>18019844.280000001</v>
      </c>
      <c r="H7" s="12">
        <f t="shared" si="6"/>
        <v>47126463.429999992</v>
      </c>
      <c r="I7" s="29">
        <v>4004923606</v>
      </c>
      <c r="J7" s="13">
        <f t="shared" si="0"/>
        <v>0.10623594772961627</v>
      </c>
      <c r="K7" s="29">
        <v>4084541672</v>
      </c>
      <c r="L7" s="13">
        <f t="shared" si="7"/>
        <v>0.10634269115259007</v>
      </c>
      <c r="M7" s="13">
        <f t="shared" si="8"/>
        <v>1.988004612140909E-2</v>
      </c>
      <c r="N7" s="20">
        <f t="shared" si="9"/>
        <v>4.4117175749553723E-3</v>
      </c>
      <c r="O7" s="21">
        <f t="shared" si="10"/>
        <v>1.1537760467240985E-2</v>
      </c>
      <c r="P7" s="22">
        <f t="shared" si="11"/>
        <v>36.922001406791189</v>
      </c>
      <c r="Q7" s="22">
        <f t="shared" si="12"/>
        <v>0.42599720820269138</v>
      </c>
      <c r="R7" s="10">
        <v>36.737400000000001</v>
      </c>
      <c r="S7" s="10">
        <v>37.845100000000002</v>
      </c>
      <c r="T7" s="10">
        <v>6700</v>
      </c>
      <c r="U7" s="10">
        <v>110411107</v>
      </c>
      <c r="V7" s="10">
        <v>110626226</v>
      </c>
    </row>
    <row r="8" spans="1:23">
      <c r="A8" s="106">
        <v>4</v>
      </c>
      <c r="B8" s="110" t="s">
        <v>27</v>
      </c>
      <c r="C8" s="110" t="s">
        <v>28</v>
      </c>
      <c r="D8" s="10">
        <v>459276657.39999998</v>
      </c>
      <c r="E8" s="10">
        <v>11224038.48</v>
      </c>
      <c r="F8" s="10">
        <v>0</v>
      </c>
      <c r="G8" s="10">
        <v>915336.77</v>
      </c>
      <c r="H8" s="12">
        <f t="shared" si="6"/>
        <v>10308701.710000001</v>
      </c>
      <c r="I8" s="29">
        <v>592486638.02999997</v>
      </c>
      <c r="J8" s="13">
        <f t="shared" si="0"/>
        <v>1.5716499414358907E-2</v>
      </c>
      <c r="K8" s="29">
        <v>592651509.47000003</v>
      </c>
      <c r="L8" s="13">
        <f t="shared" si="7"/>
        <v>1.5429921272372447E-2</v>
      </c>
      <c r="M8" s="13">
        <f t="shared" si="8"/>
        <v>2.782703092651165E-4</v>
      </c>
      <c r="N8" s="20">
        <f t="shared" si="9"/>
        <v>1.5444772440022516E-3</v>
      </c>
      <c r="O8" s="21">
        <f t="shared" si="10"/>
        <v>1.7394204764987316E-2</v>
      </c>
      <c r="P8" s="22">
        <f t="shared" si="11"/>
        <v>225.66740311261364</v>
      </c>
      <c r="Q8" s="22">
        <f t="shared" si="12"/>
        <v>3.9253050185237379</v>
      </c>
      <c r="R8" s="10">
        <v>225.66739999999999</v>
      </c>
      <c r="S8" s="10">
        <v>225.66739999999999</v>
      </c>
      <c r="T8" s="10">
        <v>1955</v>
      </c>
      <c r="U8" s="10">
        <v>2632804.77</v>
      </c>
      <c r="V8" s="10">
        <v>2626216.73</v>
      </c>
    </row>
    <row r="9" spans="1:23">
      <c r="A9" s="93">
        <v>5</v>
      </c>
      <c r="B9" s="19" t="s">
        <v>209</v>
      </c>
      <c r="C9" s="97" t="s">
        <v>103</v>
      </c>
      <c r="D9" s="10">
        <v>984660555.32000005</v>
      </c>
      <c r="E9" s="10">
        <v>23086964.100000001</v>
      </c>
      <c r="F9" s="10">
        <v>-39479537.869999997</v>
      </c>
      <c r="G9" s="10">
        <v>1615647.94</v>
      </c>
      <c r="H9" s="12">
        <f t="shared" si="6"/>
        <v>-18008221.709999997</v>
      </c>
      <c r="I9" s="29">
        <v>1024125069.77</v>
      </c>
      <c r="J9" s="13">
        <f t="shared" si="0"/>
        <v>2.7166285323814324E-2</v>
      </c>
      <c r="K9" s="29">
        <v>977809212.11000001</v>
      </c>
      <c r="L9" s="13">
        <f t="shared" si="7"/>
        <v>2.5457657529212047E-2</v>
      </c>
      <c r="M9" s="13">
        <f t="shared" si="8"/>
        <v>-4.5224806058503847E-2</v>
      </c>
      <c r="N9" s="20">
        <f t="shared" si="9"/>
        <v>1.6523140915328638E-3</v>
      </c>
      <c r="O9" s="21">
        <f t="shared" si="10"/>
        <v>-1.8416907395605656E-2</v>
      </c>
      <c r="P9" s="22">
        <f t="shared" si="11"/>
        <v>1.3040254265506055</v>
      </c>
      <c r="Q9" s="22">
        <f t="shared" si="12"/>
        <v>-2.4016115522297665E-2</v>
      </c>
      <c r="R9" s="10">
        <v>1.2954000000000001</v>
      </c>
      <c r="S9" s="10">
        <v>1.3105</v>
      </c>
      <c r="T9" s="10">
        <v>511</v>
      </c>
      <c r="U9" s="10">
        <v>771756980.12</v>
      </c>
      <c r="V9" s="10">
        <v>749839069.24000001</v>
      </c>
    </row>
    <row r="10" spans="1:23">
      <c r="A10" s="90">
        <v>6</v>
      </c>
      <c r="B10" s="98" t="s">
        <v>208</v>
      </c>
      <c r="C10" s="99" t="s">
        <v>48</v>
      </c>
      <c r="D10" s="10">
        <v>93203474.650000006</v>
      </c>
      <c r="E10" s="10">
        <v>219666.19</v>
      </c>
      <c r="F10" s="17">
        <v>0</v>
      </c>
      <c r="G10" s="10">
        <v>84713.35</v>
      </c>
      <c r="H10" s="12">
        <f t="shared" si="6"/>
        <v>134952.84</v>
      </c>
      <c r="I10" s="17">
        <v>111697352.47</v>
      </c>
      <c r="J10" s="13">
        <f t="shared" si="0"/>
        <v>2.9629214601651619E-3</v>
      </c>
      <c r="K10" s="17">
        <v>112951144.08</v>
      </c>
      <c r="L10" s="13">
        <f t="shared" si="7"/>
        <v>2.9407286287642855E-3</v>
      </c>
      <c r="M10" s="13">
        <f t="shared" si="8"/>
        <v>1.1224899984417683E-2</v>
      </c>
      <c r="N10" s="20">
        <f t="shared" si="9"/>
        <v>7.4999992864171442E-4</v>
      </c>
      <c r="O10" s="21">
        <f t="shared" si="10"/>
        <v>1.1947894915027761E-3</v>
      </c>
      <c r="P10" s="22">
        <f t="shared" si="11"/>
        <v>165.99221762298379</v>
      </c>
      <c r="Q10" s="22">
        <f t="shared" si="12"/>
        <v>0.19832575728718294</v>
      </c>
      <c r="R10" s="10">
        <v>165.72</v>
      </c>
      <c r="S10" s="10">
        <v>166.57</v>
      </c>
      <c r="T10" s="10">
        <v>103</v>
      </c>
      <c r="U10" s="10">
        <v>614336.31999999995</v>
      </c>
      <c r="V10" s="10">
        <v>680460.48</v>
      </c>
    </row>
    <row r="11" spans="1:23">
      <c r="A11" s="108">
        <v>7</v>
      </c>
      <c r="B11" s="19" t="s">
        <v>29</v>
      </c>
      <c r="C11" s="19" t="s">
        <v>30</v>
      </c>
      <c r="D11" s="10">
        <v>1513097031.01</v>
      </c>
      <c r="E11" s="10">
        <v>6799453.5300000003</v>
      </c>
      <c r="F11" s="10">
        <v>-39860630.93</v>
      </c>
      <c r="G11" s="10">
        <v>2492911.39</v>
      </c>
      <c r="H11" s="12">
        <f t="shared" si="6"/>
        <v>-35554088.789999999</v>
      </c>
      <c r="I11" s="29">
        <v>1460381792.6600001</v>
      </c>
      <c r="J11" s="13">
        <f t="shared" si="0"/>
        <v>3.8738577574333653E-2</v>
      </c>
      <c r="K11" s="29">
        <v>1492506162.95</v>
      </c>
      <c r="L11" s="13">
        <f t="shared" si="7"/>
        <v>3.8858000401355466E-2</v>
      </c>
      <c r="M11" s="13">
        <f t="shared" si="8"/>
        <v>2.1997241030708346E-2</v>
      </c>
      <c r="N11" s="20">
        <f t="shared" si="9"/>
        <v>1.6702854915336884E-3</v>
      </c>
      <c r="O11" s="21">
        <f t="shared" si="10"/>
        <v>-2.3821736668561473E-2</v>
      </c>
      <c r="P11" s="22">
        <f t="shared" si="11"/>
        <v>366.50192678537269</v>
      </c>
      <c r="Q11" s="22">
        <f t="shared" si="12"/>
        <v>-8.7307123884015443</v>
      </c>
      <c r="R11" s="10">
        <v>366.5</v>
      </c>
      <c r="S11" s="10">
        <v>371.26</v>
      </c>
      <c r="T11" s="10">
        <v>1680</v>
      </c>
      <c r="U11" s="10">
        <v>4197506</v>
      </c>
      <c r="V11" s="10">
        <v>4072301</v>
      </c>
    </row>
    <row r="12" spans="1:23">
      <c r="A12" s="114">
        <v>8</v>
      </c>
      <c r="B12" s="19" t="s">
        <v>31</v>
      </c>
      <c r="C12" s="97" t="s">
        <v>32</v>
      </c>
      <c r="D12" s="10">
        <v>465626061.17000002</v>
      </c>
      <c r="E12" s="10">
        <v>43312019.719999999</v>
      </c>
      <c r="F12" s="10">
        <v>2946886.22</v>
      </c>
      <c r="G12" s="10">
        <v>1425786.59</v>
      </c>
      <c r="H12" s="12">
        <f t="shared" si="6"/>
        <v>44833119.349999994</v>
      </c>
      <c r="I12" s="29">
        <v>437363974.17000002</v>
      </c>
      <c r="J12" s="13">
        <f t="shared" si="0"/>
        <v>1.1601663569595031E-2</v>
      </c>
      <c r="K12" s="29">
        <v>436767750.81</v>
      </c>
      <c r="L12" s="13">
        <f t="shared" si="7"/>
        <v>1.1371424693301366E-2</v>
      </c>
      <c r="M12" s="13">
        <f t="shared" si="8"/>
        <v>-1.3632200986180606E-3</v>
      </c>
      <c r="N12" s="20">
        <f t="shared" si="9"/>
        <v>3.2644044514638097E-3</v>
      </c>
      <c r="O12" s="21">
        <f t="shared" si="10"/>
        <v>0.10264750377484491</v>
      </c>
      <c r="P12" s="22">
        <f t="shared" si="11"/>
        <v>217.61298141832557</v>
      </c>
      <c r="Q12" s="22">
        <f t="shared" si="12"/>
        <v>22.33742933159283</v>
      </c>
      <c r="R12" s="10">
        <v>217.61</v>
      </c>
      <c r="S12" s="10">
        <v>225.64</v>
      </c>
      <c r="T12" s="10">
        <v>2475</v>
      </c>
      <c r="U12" s="10">
        <v>2007085</v>
      </c>
      <c r="V12" s="10">
        <v>2007085</v>
      </c>
    </row>
    <row r="13" spans="1:23">
      <c r="A13" s="108">
        <v>9</v>
      </c>
      <c r="B13" s="19" t="s">
        <v>33</v>
      </c>
      <c r="C13" s="19" t="s">
        <v>34</v>
      </c>
      <c r="D13" s="10">
        <v>67631514.030000001</v>
      </c>
      <c r="E13" s="10">
        <v>1134272.5</v>
      </c>
      <c r="F13" s="10">
        <v>12515127.119999999</v>
      </c>
      <c r="G13" s="10">
        <v>1112626.31</v>
      </c>
      <c r="H13" s="12">
        <f t="shared" si="6"/>
        <v>12536773.309999999</v>
      </c>
      <c r="I13" s="29">
        <v>64707506.880000003</v>
      </c>
      <c r="J13" s="13">
        <f t="shared" si="0"/>
        <v>1.7164530450265636E-3</v>
      </c>
      <c r="K13" s="29">
        <v>68142820.609999999</v>
      </c>
      <c r="L13" s="13">
        <f t="shared" si="7"/>
        <v>1.7741258403779065E-3</v>
      </c>
      <c r="M13" s="13">
        <f t="shared" si="8"/>
        <v>5.3089879299024485E-2</v>
      </c>
      <c r="N13" s="20">
        <f t="shared" si="9"/>
        <v>1.6327858166715239E-2</v>
      </c>
      <c r="O13" s="21">
        <f t="shared" si="10"/>
        <v>0.18397790402236769</v>
      </c>
      <c r="P13" s="22">
        <f t="shared" si="11"/>
        <v>243.10662352862184</v>
      </c>
      <c r="Q13" s="22">
        <f t="shared" si="12"/>
        <v>44.726247050750665</v>
      </c>
      <c r="R13" s="10">
        <v>239.08</v>
      </c>
      <c r="S13" s="10">
        <v>246.47</v>
      </c>
      <c r="T13" s="10">
        <v>18</v>
      </c>
      <c r="U13" s="10">
        <v>280694.77</v>
      </c>
      <c r="V13" s="10">
        <v>280300.14</v>
      </c>
      <c r="W13" s="6"/>
    </row>
    <row r="14" spans="1:23">
      <c r="A14" s="108">
        <v>10</v>
      </c>
      <c r="B14" s="97" t="s">
        <v>35</v>
      </c>
      <c r="C14" s="97" t="s">
        <v>36</v>
      </c>
      <c r="D14" s="10">
        <v>830050808.98000002</v>
      </c>
      <c r="E14" s="10">
        <v>2895762.01</v>
      </c>
      <c r="F14" s="10">
        <v>11334227.15</v>
      </c>
      <c r="G14" s="10">
        <v>1490638.79</v>
      </c>
      <c r="H14" s="12">
        <f t="shared" si="6"/>
        <v>12739350.370000001</v>
      </c>
      <c r="I14" s="29">
        <v>754739132.12</v>
      </c>
      <c r="J14" s="13">
        <f t="shared" si="0"/>
        <v>2.0020463528760822E-2</v>
      </c>
      <c r="K14" s="29">
        <v>822014204.37</v>
      </c>
      <c r="L14" s="13">
        <f t="shared" si="7"/>
        <v>2.1401471616167407E-2</v>
      </c>
      <c r="M14" s="13">
        <f t="shared" si="8"/>
        <v>8.9136854559309614E-2</v>
      </c>
      <c r="N14" s="20">
        <f t="shared" si="9"/>
        <v>1.8133978489367354E-3</v>
      </c>
      <c r="O14" s="21">
        <f t="shared" si="10"/>
        <v>1.5497725346198327E-2</v>
      </c>
      <c r="P14" s="22">
        <f t="shared" si="11"/>
        <v>2.5946943902396646</v>
      </c>
      <c r="Q14" s="22">
        <f t="shared" si="12"/>
        <v>4.0211861017255865E-2</v>
      </c>
      <c r="R14" s="10">
        <v>2.59</v>
      </c>
      <c r="S14" s="10">
        <v>2.63</v>
      </c>
      <c r="T14" s="10">
        <v>515</v>
      </c>
      <c r="U14" s="10">
        <v>296011702.76999998</v>
      </c>
      <c r="V14" s="10">
        <v>316805789.32999998</v>
      </c>
    </row>
    <row r="15" spans="1:23">
      <c r="A15" s="108">
        <v>11</v>
      </c>
      <c r="B15" s="98" t="s">
        <v>253</v>
      </c>
      <c r="C15" s="99" t="s">
        <v>276</v>
      </c>
      <c r="D15" s="10">
        <v>32374445.84</v>
      </c>
      <c r="E15" s="10">
        <v>87210.84</v>
      </c>
      <c r="F15" s="10">
        <v>2515877.12</v>
      </c>
      <c r="G15" s="10">
        <v>107366.57</v>
      </c>
      <c r="H15" s="12">
        <f t="shared" si="6"/>
        <v>2495721.39</v>
      </c>
      <c r="I15" s="134">
        <f>40197101.58-1157448.68</f>
        <v>39039652.899999999</v>
      </c>
      <c r="J15" s="13">
        <f t="shared" si="0"/>
        <v>1.0355789355515517E-3</v>
      </c>
      <c r="K15" s="29">
        <v>39389993.859999999</v>
      </c>
      <c r="L15" s="13">
        <f t="shared" si="7"/>
        <v>1.0255343898854948E-3</v>
      </c>
      <c r="M15" s="13">
        <f t="shared" si="8"/>
        <v>8.9739773275494695E-3</v>
      </c>
      <c r="N15" s="20">
        <f t="shared" si="9"/>
        <v>2.7257320826604469E-3</v>
      </c>
      <c r="O15" s="21">
        <f t="shared" si="10"/>
        <v>6.335927339492102E-2</v>
      </c>
      <c r="P15" s="22">
        <f t="shared" si="11"/>
        <v>16.582907545329356</v>
      </c>
      <c r="Q15" s="22">
        <f t="shared" si="12"/>
        <v>1.0506809728472213</v>
      </c>
      <c r="R15" s="10">
        <v>16.582899999999999</v>
      </c>
      <c r="S15" s="10">
        <v>17.1127</v>
      </c>
      <c r="T15" s="10">
        <v>30</v>
      </c>
      <c r="U15" s="17">
        <v>2425337</v>
      </c>
      <c r="V15" s="136">
        <v>2375337</v>
      </c>
    </row>
    <row r="16" spans="1:23">
      <c r="A16" s="108">
        <v>12</v>
      </c>
      <c r="B16" s="19" t="s">
        <v>37</v>
      </c>
      <c r="C16" s="97" t="s">
        <v>38</v>
      </c>
      <c r="D16" s="10">
        <v>1934881785.95</v>
      </c>
      <c r="E16" s="10">
        <v>33181005.41</v>
      </c>
      <c r="F16" s="10">
        <v>0</v>
      </c>
      <c r="G16" s="10">
        <v>3383537.7</v>
      </c>
      <c r="H16" s="12">
        <f t="shared" si="6"/>
        <v>29797467.710000001</v>
      </c>
      <c r="I16" s="29">
        <v>1901377281.3299999</v>
      </c>
      <c r="J16" s="13">
        <f t="shared" si="0"/>
        <v>5.0436571916386702E-2</v>
      </c>
      <c r="K16" s="29">
        <v>1925529230.3599999</v>
      </c>
      <c r="L16" s="13">
        <f t="shared" si="7"/>
        <v>5.0131930750799282E-2</v>
      </c>
      <c r="M16" s="13">
        <f t="shared" si="8"/>
        <v>1.2702344383280868E-2</v>
      </c>
      <c r="N16" s="20">
        <f t="shared" si="9"/>
        <v>1.7571988244330151E-3</v>
      </c>
      <c r="O16" s="21">
        <f t="shared" si="10"/>
        <v>1.5474949556818217E-2</v>
      </c>
      <c r="P16" s="22">
        <f t="shared" si="11"/>
        <v>3.9769678962379365</v>
      </c>
      <c r="Q16" s="22">
        <f t="shared" si="12"/>
        <v>6.1543377583367531E-2</v>
      </c>
      <c r="R16" s="10">
        <v>3.92</v>
      </c>
      <c r="S16" s="10">
        <v>4.01</v>
      </c>
      <c r="T16" s="10">
        <v>3651</v>
      </c>
      <c r="U16" s="10">
        <v>483600201</v>
      </c>
      <c r="V16" s="10">
        <v>484170172</v>
      </c>
    </row>
    <row r="17" spans="1:23">
      <c r="A17" s="111">
        <v>13</v>
      </c>
      <c r="B17" s="19" t="s">
        <v>39</v>
      </c>
      <c r="C17" s="19" t="s">
        <v>40</v>
      </c>
      <c r="D17" s="10">
        <v>965299796.13999999</v>
      </c>
      <c r="E17" s="10">
        <v>26826071.539999999</v>
      </c>
      <c r="F17" s="10">
        <v>4730838.0599999996</v>
      </c>
      <c r="G17" s="10">
        <v>1420546.82</v>
      </c>
      <c r="H17" s="12">
        <f t="shared" si="6"/>
        <v>30136362.779999997</v>
      </c>
      <c r="I17" s="29">
        <v>965012628.00999999</v>
      </c>
      <c r="J17" s="13">
        <f t="shared" si="0"/>
        <v>2.5598248854010724E-2</v>
      </c>
      <c r="K17" s="29">
        <v>961452056.28999996</v>
      </c>
      <c r="L17" s="13">
        <f t="shared" si="7"/>
        <v>2.5031792374885117E-2</v>
      </c>
      <c r="M17" s="13">
        <f t="shared" si="8"/>
        <v>-3.6896633439320466E-3</v>
      </c>
      <c r="N17" s="20">
        <f t="shared" si="9"/>
        <v>1.4775014632362746E-3</v>
      </c>
      <c r="O17" s="21">
        <f t="shared" si="10"/>
        <v>3.1344633965721173E-2</v>
      </c>
      <c r="P17" s="22">
        <f t="shared" si="11"/>
        <v>25.505193664175508</v>
      </c>
      <c r="Q17" s="22">
        <f t="shared" si="12"/>
        <v>0.79945095962841206</v>
      </c>
      <c r="R17" s="10">
        <v>26.43</v>
      </c>
      <c r="S17" s="10">
        <v>26.51</v>
      </c>
      <c r="T17" s="10">
        <v>473</v>
      </c>
      <c r="U17" s="10">
        <v>37903182.960000001</v>
      </c>
      <c r="V17" s="10">
        <v>37696324.479999997</v>
      </c>
    </row>
    <row r="18" spans="1:23">
      <c r="A18" s="114">
        <v>14</v>
      </c>
      <c r="B18" s="110" t="s">
        <v>41</v>
      </c>
      <c r="C18" s="110" t="s">
        <v>42</v>
      </c>
      <c r="D18" s="10">
        <v>136707174.91999999</v>
      </c>
      <c r="E18" s="10">
        <v>2895748.59</v>
      </c>
      <c r="F18" s="10">
        <v>56611394.259999998</v>
      </c>
      <c r="G18" s="10">
        <v>258451.41</v>
      </c>
      <c r="H18" s="12">
        <f t="shared" si="6"/>
        <v>59248691.439999998</v>
      </c>
      <c r="I18" s="29">
        <v>140351193.38999999</v>
      </c>
      <c r="J18" s="13">
        <f t="shared" si="0"/>
        <v>3.7230028613857418E-3</v>
      </c>
      <c r="K18" s="29">
        <v>141528783.31</v>
      </c>
      <c r="L18" s="13">
        <f t="shared" si="7"/>
        <v>3.684759001459191E-3</v>
      </c>
      <c r="M18" s="13">
        <f t="shared" si="8"/>
        <v>8.3903092774408848E-3</v>
      </c>
      <c r="N18" s="20">
        <f t="shared" si="9"/>
        <v>1.8261402659973168E-3</v>
      </c>
      <c r="O18" s="21">
        <f t="shared" si="10"/>
        <v>0.41863351082601769</v>
      </c>
      <c r="P18" s="22">
        <f t="shared" si="11"/>
        <v>1.5191958495919324</v>
      </c>
      <c r="Q18" s="22">
        <f t="shared" si="12"/>
        <v>0.63598629214698532</v>
      </c>
      <c r="R18" s="10">
        <v>1.47</v>
      </c>
      <c r="S18" s="10">
        <v>1.54</v>
      </c>
      <c r="T18" s="10">
        <v>23</v>
      </c>
      <c r="U18" s="10">
        <v>93061643.780000001</v>
      </c>
      <c r="V18" s="10">
        <v>93160327.780000001</v>
      </c>
    </row>
    <row r="19" spans="1:23">
      <c r="A19" s="108">
        <v>15</v>
      </c>
      <c r="B19" s="19" t="s">
        <v>43</v>
      </c>
      <c r="C19" s="19" t="s">
        <v>44</v>
      </c>
      <c r="D19" s="10">
        <v>2699735268.8499999</v>
      </c>
      <c r="E19" s="10">
        <v>87154669.480000004</v>
      </c>
      <c r="F19" s="10">
        <v>71937559.629999995</v>
      </c>
      <c r="G19" s="10">
        <v>4482195.29</v>
      </c>
      <c r="H19" s="12">
        <f t="shared" si="6"/>
        <v>154610033.82000002</v>
      </c>
      <c r="I19" s="29">
        <v>2517974551.9099998</v>
      </c>
      <c r="J19" s="13">
        <f t="shared" si="0"/>
        <v>6.67926380619243E-2</v>
      </c>
      <c r="K19" s="29">
        <v>2695284707.5300002</v>
      </c>
      <c r="L19" s="13">
        <f t="shared" si="7"/>
        <v>7.0172825310120091E-2</v>
      </c>
      <c r="M19" s="13">
        <f t="shared" si="8"/>
        <v>7.0417771095225096E-2</v>
      </c>
      <c r="N19" s="20">
        <f t="shared" si="9"/>
        <v>1.6629765595737572E-3</v>
      </c>
      <c r="O19" s="21">
        <f t="shared" si="10"/>
        <v>5.7363154767307308E-2</v>
      </c>
      <c r="P19" s="22">
        <f t="shared" si="11"/>
        <v>35.389497253710587</v>
      </c>
      <c r="Q19" s="22">
        <f t="shared" si="12"/>
        <v>2.0300532081017977</v>
      </c>
      <c r="R19" s="10">
        <v>35.39</v>
      </c>
      <c r="S19" s="10">
        <v>35.44</v>
      </c>
      <c r="T19" s="10">
        <v>9918</v>
      </c>
      <c r="U19" s="10">
        <v>75334082</v>
      </c>
      <c r="V19" s="10">
        <v>76160582</v>
      </c>
    </row>
    <row r="20" spans="1:23">
      <c r="A20" s="108">
        <v>16</v>
      </c>
      <c r="B20" s="97" t="s">
        <v>45</v>
      </c>
      <c r="C20" s="19" t="s">
        <v>46</v>
      </c>
      <c r="D20" s="10">
        <v>927887916.95000005</v>
      </c>
      <c r="E20" s="10">
        <v>8707540.3599999994</v>
      </c>
      <c r="F20" s="10">
        <v>36526785.850000001</v>
      </c>
      <c r="G20" s="10">
        <v>1001800.11</v>
      </c>
      <c r="H20" s="12">
        <f t="shared" si="6"/>
        <v>44232526.100000001</v>
      </c>
      <c r="I20" s="29">
        <v>881134151.67999995</v>
      </c>
      <c r="J20" s="13">
        <f t="shared" si="0"/>
        <v>2.3373260239075894E-2</v>
      </c>
      <c r="K20" s="29">
        <v>947245867.94000006</v>
      </c>
      <c r="L20" s="13">
        <f t="shared" si="7"/>
        <v>2.4661928526875987E-2</v>
      </c>
      <c r="M20" s="13">
        <f t="shared" si="8"/>
        <v>7.5030250653602845E-2</v>
      </c>
      <c r="N20" s="20">
        <f t="shared" si="9"/>
        <v>1.0575924835424624E-3</v>
      </c>
      <c r="O20" s="21">
        <f t="shared" si="10"/>
        <v>4.6695929322123741E-2</v>
      </c>
      <c r="P20" s="22">
        <f t="shared" si="11"/>
        <v>9219.1397664669057</v>
      </c>
      <c r="Q20" s="22">
        <f t="shared" si="12"/>
        <v>430.49629894571905</v>
      </c>
      <c r="R20" s="10">
        <v>9147.0400000000009</v>
      </c>
      <c r="S20" s="10">
        <v>9268.5499999999993</v>
      </c>
      <c r="T20" s="10">
        <v>22</v>
      </c>
      <c r="U20" s="10">
        <v>100263.59</v>
      </c>
      <c r="V20" s="10">
        <v>102747.75</v>
      </c>
    </row>
    <row r="21" spans="1:23">
      <c r="A21" s="108">
        <v>17</v>
      </c>
      <c r="B21" s="19" t="s">
        <v>47</v>
      </c>
      <c r="C21" s="19" t="s">
        <v>46</v>
      </c>
      <c r="D21" s="10">
        <v>14228664313.129999</v>
      </c>
      <c r="E21" s="10">
        <v>147684007.59999999</v>
      </c>
      <c r="F21" s="10">
        <v>441862907.50999999</v>
      </c>
      <c r="G21" s="10">
        <v>37996897.640000001</v>
      </c>
      <c r="H21" s="12">
        <f t="shared" si="6"/>
        <v>551550017.47000003</v>
      </c>
      <c r="I21" s="29">
        <v>14237823747.969999</v>
      </c>
      <c r="J21" s="13">
        <f t="shared" si="0"/>
        <v>0.37767729132380112</v>
      </c>
      <c r="K21" s="29">
        <v>14274527268.33</v>
      </c>
      <c r="L21" s="13">
        <f t="shared" si="7"/>
        <v>0.3716430793328046</v>
      </c>
      <c r="M21" s="13">
        <f t="shared" si="8"/>
        <v>2.5778883774448835E-3</v>
      </c>
      <c r="N21" s="20">
        <f t="shared" si="9"/>
        <v>2.6618673197186249E-3</v>
      </c>
      <c r="O21" s="21">
        <f t="shared" si="10"/>
        <v>3.8638758895623085E-2</v>
      </c>
      <c r="P21" s="22">
        <f t="shared" si="11"/>
        <v>28664.008101469972</v>
      </c>
      <c r="Q21" s="22">
        <f t="shared" si="12"/>
        <v>1107.541698014885</v>
      </c>
      <c r="R21" s="10">
        <v>28411.82</v>
      </c>
      <c r="S21" s="10">
        <v>28836.85</v>
      </c>
      <c r="T21" s="10">
        <v>17679</v>
      </c>
      <c r="U21" s="10">
        <v>516453.93</v>
      </c>
      <c r="V21" s="10">
        <v>497994.81</v>
      </c>
    </row>
    <row r="22" spans="1:23">
      <c r="A22" s="108">
        <v>18</v>
      </c>
      <c r="B22" s="19" t="s">
        <v>49</v>
      </c>
      <c r="C22" s="19" t="s">
        <v>50</v>
      </c>
      <c r="D22" s="10">
        <v>3296441216</v>
      </c>
      <c r="E22" s="10">
        <v>21438871</v>
      </c>
      <c r="F22" s="10">
        <v>-30193747</v>
      </c>
      <c r="G22" s="10">
        <v>6633421</v>
      </c>
      <c r="H22" s="12">
        <f t="shared" ref="H22" si="13">(E22+F22)-G22</f>
        <v>-15388297</v>
      </c>
      <c r="I22" s="29">
        <v>4203059826</v>
      </c>
      <c r="J22" s="13">
        <f t="shared" si="0"/>
        <v>0.11149177560102155</v>
      </c>
      <c r="K22" s="29">
        <v>4234215178</v>
      </c>
      <c r="L22" s="13">
        <f t="shared" si="7"/>
        <v>0.11023950129689439</v>
      </c>
      <c r="M22" s="13">
        <f t="shared" si="8"/>
        <v>7.4125406941090728E-3</v>
      </c>
      <c r="N22" s="20">
        <f t="shared" si="9"/>
        <v>1.5666234995485625E-3</v>
      </c>
      <c r="O22" s="21">
        <f t="shared" si="10"/>
        <v>-3.6342737326988061E-3</v>
      </c>
      <c r="P22" s="22">
        <f t="shared" si="11"/>
        <v>1.6710252424096448</v>
      </c>
      <c r="Q22" s="22">
        <f t="shared" si="12"/>
        <v>-6.0729631451660274E-3</v>
      </c>
      <c r="R22" s="10">
        <v>1.67</v>
      </c>
      <c r="S22" s="10">
        <v>1.69</v>
      </c>
      <c r="T22" s="10">
        <v>2959</v>
      </c>
      <c r="U22" s="10">
        <v>2558028648</v>
      </c>
      <c r="V22" s="10">
        <v>2533902583</v>
      </c>
    </row>
    <row r="23" spans="1:23">
      <c r="A23" s="114">
        <v>19</v>
      </c>
      <c r="B23" s="99" t="s">
        <v>254</v>
      </c>
      <c r="C23" s="99" t="s">
        <v>255</v>
      </c>
      <c r="D23" s="10">
        <v>2386765937.7399998</v>
      </c>
      <c r="E23" s="10">
        <v>56809835.229999997</v>
      </c>
      <c r="F23" s="10">
        <v>148521520.16</v>
      </c>
      <c r="G23" s="10">
        <v>5960003.7000000002</v>
      </c>
      <c r="H23" s="12">
        <f t="shared" si="6"/>
        <v>199371351.69</v>
      </c>
      <c r="I23" s="29">
        <v>2115546425.6600001</v>
      </c>
      <c r="J23" s="13">
        <f t="shared" si="0"/>
        <v>5.6117694519637315E-2</v>
      </c>
      <c r="K23" s="29">
        <v>2377945737.2199998</v>
      </c>
      <c r="L23" s="13">
        <f t="shared" si="7"/>
        <v>6.1910777124470608E-2</v>
      </c>
      <c r="M23" s="13">
        <f t="shared" si="8"/>
        <v>0.12403382330791317</v>
      </c>
      <c r="N23" s="20">
        <f t="shared" si="9"/>
        <v>2.5063665695617176E-3</v>
      </c>
      <c r="O23" s="21">
        <f t="shared" si="10"/>
        <v>8.384184238076027E-2</v>
      </c>
      <c r="P23" s="22">
        <f t="shared" si="11"/>
        <v>142.8809811652973</v>
      </c>
      <c r="Q23" s="22">
        <f t="shared" si="12"/>
        <v>11.979404702069232</v>
      </c>
      <c r="R23" s="10">
        <v>139.87</v>
      </c>
      <c r="S23" s="10">
        <v>144.82</v>
      </c>
      <c r="T23" s="10">
        <v>35</v>
      </c>
      <c r="U23" s="10">
        <v>15992777</v>
      </c>
      <c r="V23" s="10">
        <v>16642843</v>
      </c>
    </row>
    <row r="24" spans="1:23">
      <c r="A24" s="124" t="s">
        <v>51</v>
      </c>
      <c r="B24" s="124"/>
      <c r="C24" s="124"/>
      <c r="D24" s="124"/>
      <c r="E24" s="124"/>
      <c r="F24" s="124"/>
      <c r="G24" s="124"/>
      <c r="H24" s="124"/>
      <c r="I24" s="34">
        <f>SUM(I5:I23)</f>
        <v>37698384507.220001</v>
      </c>
      <c r="J24" s="35">
        <f>(I24/$I$218)</f>
        <v>7.8504081234490909E-3</v>
      </c>
      <c r="K24" s="62">
        <f>SUM(K5:K23)</f>
        <v>38409237416.599998</v>
      </c>
      <c r="L24" s="35">
        <f>(K24/$K$218)</f>
        <v>7.0542344911786658E-3</v>
      </c>
      <c r="M24" s="35">
        <f t="shared" si="1"/>
        <v>1.885632285499806E-2</v>
      </c>
      <c r="N24" s="20"/>
      <c r="O24" s="20"/>
      <c r="P24" s="36"/>
      <c r="Q24" s="36"/>
      <c r="R24" s="37"/>
      <c r="S24" s="37"/>
      <c r="T24" s="37">
        <f>SUM(T5:T23)</f>
        <v>50791</v>
      </c>
      <c r="U24" s="37"/>
      <c r="V24" s="37"/>
    </row>
    <row r="25" spans="1:23" ht="6" customHeight="1">
      <c r="A25" s="125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5"/>
    </row>
    <row r="26" spans="1:23">
      <c r="A26" s="123" t="s">
        <v>52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</row>
    <row r="27" spans="1:23" ht="12.9" customHeight="1">
      <c r="A27" s="106">
        <v>20</v>
      </c>
      <c r="B27" s="19" t="s">
        <v>53</v>
      </c>
      <c r="C27" s="19" t="s">
        <v>22</v>
      </c>
      <c r="D27" s="18">
        <v>3042915848.4000001</v>
      </c>
      <c r="E27" s="18">
        <v>47783375.93</v>
      </c>
      <c r="F27" s="18">
        <v>0</v>
      </c>
      <c r="G27" s="18">
        <v>5463987.0499999998</v>
      </c>
      <c r="H27" s="12">
        <f>(E27+F27)-G27</f>
        <v>42319388.880000003</v>
      </c>
      <c r="I27" s="49">
        <v>2573627877.8800001</v>
      </c>
      <c r="J27" s="13">
        <f t="shared" ref="J27:J67" si="14">(I27/$I$68)</f>
        <v>1.0296607508302883E-3</v>
      </c>
      <c r="K27" s="49">
        <v>3086740876.4099998</v>
      </c>
      <c r="L27" s="13">
        <f t="shared" ref="L27:L67" si="15">(K27/$K$68)</f>
        <v>1.1139716895825237E-3</v>
      </c>
      <c r="M27" s="13">
        <f t="shared" ref="M27:M68" si="16">((K27-I27)/I27)</f>
        <v>0.19937342260710642</v>
      </c>
      <c r="N27" s="20">
        <f t="shared" ref="N27" si="17">(G27/K27)</f>
        <v>1.7701476310362761E-3</v>
      </c>
      <c r="O27" s="21">
        <f t="shared" ref="O27" si="18">H27/K27</f>
        <v>1.3710055548692219E-2</v>
      </c>
      <c r="P27" s="24">
        <f t="shared" ref="P27" si="19">K27/V27</f>
        <v>100.4155828792511</v>
      </c>
      <c r="Q27" s="24">
        <f t="shared" ref="Q27" si="20">H27/V27</f>
        <v>1.37670321922884</v>
      </c>
      <c r="R27" s="10">
        <v>100</v>
      </c>
      <c r="S27" s="10">
        <v>100</v>
      </c>
      <c r="T27" s="10">
        <v>850</v>
      </c>
      <c r="U27" s="18">
        <v>25608590</v>
      </c>
      <c r="V27" s="18">
        <v>30739660</v>
      </c>
    </row>
    <row r="28" spans="1:23" ht="15" customHeight="1">
      <c r="A28" s="113">
        <v>21</v>
      </c>
      <c r="B28" s="19" t="s">
        <v>54</v>
      </c>
      <c r="C28" s="19" t="s">
        <v>55</v>
      </c>
      <c r="D28" s="18">
        <v>19694262147.48</v>
      </c>
      <c r="E28" s="18">
        <v>359973225.22000003</v>
      </c>
      <c r="F28" s="18">
        <v>0</v>
      </c>
      <c r="G28" s="18">
        <v>30099035.989999998</v>
      </c>
      <c r="H28" s="12">
        <f t="shared" ref="H28:H67" si="21">(E28+F28)-G28</f>
        <v>329874189.23000002</v>
      </c>
      <c r="I28" s="49">
        <v>17438432588.220001</v>
      </c>
      <c r="J28" s="13">
        <f t="shared" si="14"/>
        <v>6.9767932444377992E-3</v>
      </c>
      <c r="K28" s="49">
        <v>19612993762.400002</v>
      </c>
      <c r="L28" s="13">
        <f t="shared" si="15"/>
        <v>7.0781191794377883E-3</v>
      </c>
      <c r="M28" s="13">
        <f t="shared" ref="M28:M67" si="22">((K28-I28)/I28)</f>
        <v>0.12469934801645868</v>
      </c>
      <c r="N28" s="20">
        <f t="shared" ref="N28:N67" si="23">(G28/K28)</f>
        <v>1.5346477113403641E-3</v>
      </c>
      <c r="O28" s="21">
        <f t="shared" ref="O28:O67" si="24">H28/K28</f>
        <v>1.681916556066013E-2</v>
      </c>
      <c r="P28" s="24">
        <f t="shared" ref="P28:P67" si="25">K28/V28</f>
        <v>102.24177373869321</v>
      </c>
      <c r="Q28" s="24">
        <f t="shared" ref="Q28:Q67" si="26">H28/V28</f>
        <v>1.7196213197266341</v>
      </c>
      <c r="R28" s="10">
        <v>100</v>
      </c>
      <c r="S28" s="10">
        <v>100</v>
      </c>
      <c r="T28" s="10">
        <v>2690</v>
      </c>
      <c r="U28" s="18">
        <v>166173470.25999999</v>
      </c>
      <c r="V28" s="18">
        <v>191829553.08000001</v>
      </c>
    </row>
    <row r="29" spans="1:23">
      <c r="A29" s="119">
        <v>22</v>
      </c>
      <c r="B29" s="19" t="s">
        <v>56</v>
      </c>
      <c r="C29" s="19" t="s">
        <v>24</v>
      </c>
      <c r="D29" s="18">
        <v>1895029088.71</v>
      </c>
      <c r="E29" s="18">
        <v>32566447.829999998</v>
      </c>
      <c r="F29" s="18">
        <v>0</v>
      </c>
      <c r="G29" s="18">
        <v>2517243.94</v>
      </c>
      <c r="H29" s="12">
        <f t="shared" si="21"/>
        <v>30049203.889999997</v>
      </c>
      <c r="I29" s="49">
        <v>1795166374.3</v>
      </c>
      <c r="J29" s="13">
        <f t="shared" si="14"/>
        <v>7.1821275045778389E-4</v>
      </c>
      <c r="K29" s="49">
        <v>1916688077.8</v>
      </c>
      <c r="L29" s="13">
        <f t="shared" si="15"/>
        <v>6.9171217861111573E-4</v>
      </c>
      <c r="M29" s="13">
        <f t="shared" si="22"/>
        <v>6.7693838988815563E-2</v>
      </c>
      <c r="N29" s="20">
        <f t="shared" si="23"/>
        <v>1.3133299931042124E-3</v>
      </c>
      <c r="O29" s="21">
        <f t="shared" si="24"/>
        <v>1.5677670372161376E-2</v>
      </c>
      <c r="P29" s="24">
        <f t="shared" si="25"/>
        <v>158.75852090431309</v>
      </c>
      <c r="Q29" s="24">
        <f t="shared" si="26"/>
        <v>2.4889637595097116</v>
      </c>
      <c r="R29" s="10">
        <v>100</v>
      </c>
      <c r="S29" s="10">
        <v>100</v>
      </c>
      <c r="T29" s="10">
        <v>1553</v>
      </c>
      <c r="U29" s="18">
        <v>10414363.869999999</v>
      </c>
      <c r="V29" s="18">
        <v>12072977.67</v>
      </c>
    </row>
    <row r="30" spans="1:23">
      <c r="A30" s="119">
        <v>23</v>
      </c>
      <c r="B30" s="19" t="s">
        <v>57</v>
      </c>
      <c r="C30" s="97" t="s">
        <v>58</v>
      </c>
      <c r="D30" s="18">
        <v>79387998117.929993</v>
      </c>
      <c r="E30" s="18">
        <v>3513656464.6799998</v>
      </c>
      <c r="F30" s="18">
        <v>0</v>
      </c>
      <c r="G30" s="18">
        <v>370902206.52999997</v>
      </c>
      <c r="H30" s="12">
        <f t="shared" si="21"/>
        <v>3142754258.1499996</v>
      </c>
      <c r="I30" s="49">
        <v>179543529330</v>
      </c>
      <c r="J30" s="13">
        <f t="shared" si="14"/>
        <v>7.1832033995890499E-2</v>
      </c>
      <c r="K30" s="49">
        <v>196502524149</v>
      </c>
      <c r="L30" s="13">
        <f t="shared" si="15"/>
        <v>7.0915654276778622E-2</v>
      </c>
      <c r="M30" s="13">
        <f t="shared" si="22"/>
        <v>9.4456173844223945E-2</v>
      </c>
      <c r="N30" s="20">
        <f t="shared" si="23"/>
        <v>1.8875187895742228E-3</v>
      </c>
      <c r="O30" s="21">
        <f t="shared" si="24"/>
        <v>1.5993454902222908E-2</v>
      </c>
      <c r="P30" s="24">
        <f t="shared" si="25"/>
        <v>1</v>
      </c>
      <c r="Q30" s="24">
        <f t="shared" si="26"/>
        <v>1.5993454902222908E-2</v>
      </c>
      <c r="R30" s="10">
        <v>1</v>
      </c>
      <c r="S30" s="10">
        <v>1</v>
      </c>
      <c r="T30" s="10">
        <v>69047</v>
      </c>
      <c r="U30" s="18">
        <v>179543529330</v>
      </c>
      <c r="V30" s="18">
        <v>196502524149</v>
      </c>
    </row>
    <row r="31" spans="1:23">
      <c r="A31" s="119">
        <v>24</v>
      </c>
      <c r="B31" s="19" t="s">
        <v>271</v>
      </c>
      <c r="C31" s="97" t="s">
        <v>101</v>
      </c>
      <c r="D31" s="18">
        <v>1005961406.6</v>
      </c>
      <c r="E31" s="18">
        <v>10329587.84</v>
      </c>
      <c r="F31" s="18">
        <v>0</v>
      </c>
      <c r="G31" s="18">
        <v>1439266.44</v>
      </c>
      <c r="H31" s="12">
        <f t="shared" si="21"/>
        <v>8890321.4000000004</v>
      </c>
      <c r="I31" s="49">
        <v>350223266.38999999</v>
      </c>
      <c r="J31" s="13">
        <f t="shared" si="14"/>
        <v>1.4011782920474628E-4</v>
      </c>
      <c r="K31" s="49">
        <v>901728134.60000002</v>
      </c>
      <c r="L31" s="13">
        <f t="shared" si="15"/>
        <v>3.2542401641848592E-4</v>
      </c>
      <c r="M31" s="13">
        <f t="shared" si="22"/>
        <v>1.574723672401187</v>
      </c>
      <c r="N31" s="20">
        <f t="shared" si="23"/>
        <v>1.5961201439483176E-3</v>
      </c>
      <c r="O31" s="21">
        <f t="shared" si="24"/>
        <v>9.8592037432032459E-3</v>
      </c>
      <c r="P31" s="24">
        <f t="shared" si="25"/>
        <v>0.99493610601513283</v>
      </c>
      <c r="Q31" s="24">
        <f t="shared" si="26"/>
        <v>9.8092777806724589E-3</v>
      </c>
      <c r="R31" s="10">
        <v>1</v>
      </c>
      <c r="S31" s="10">
        <v>1</v>
      </c>
      <c r="T31" s="10">
        <v>234</v>
      </c>
      <c r="U31" s="18">
        <v>357625000</v>
      </c>
      <c r="V31" s="18">
        <v>906317631</v>
      </c>
    </row>
    <row r="32" spans="1:23" ht="15" customHeight="1">
      <c r="A32" s="119">
        <v>25</v>
      </c>
      <c r="B32" s="19" t="s">
        <v>59</v>
      </c>
      <c r="C32" s="19" t="s">
        <v>28</v>
      </c>
      <c r="D32" s="18">
        <v>50687045304.139999</v>
      </c>
      <c r="E32" s="18">
        <v>1952818096.27</v>
      </c>
      <c r="F32" s="18">
        <v>0</v>
      </c>
      <c r="G32" s="18">
        <v>147095880.93000001</v>
      </c>
      <c r="H32" s="12">
        <f t="shared" si="21"/>
        <v>1805722215.3399999</v>
      </c>
      <c r="I32" s="49">
        <v>106308532030.57001</v>
      </c>
      <c r="J32" s="13">
        <f t="shared" si="14"/>
        <v>4.2532070720507763E-2</v>
      </c>
      <c r="K32" s="49">
        <v>113763181064.25</v>
      </c>
      <c r="L32" s="13">
        <f t="shared" si="15"/>
        <v>4.1055912399688005E-2</v>
      </c>
      <c r="M32" s="13">
        <f t="shared" si="22"/>
        <v>7.0122772756718521E-2</v>
      </c>
      <c r="N32" s="20">
        <f t="shared" si="23"/>
        <v>1.2930007719011013E-3</v>
      </c>
      <c r="O32" s="21">
        <f t="shared" si="24"/>
        <v>1.5872641732127574E-2</v>
      </c>
      <c r="P32" s="24">
        <f t="shared" si="25"/>
        <v>1.0158778124127938</v>
      </c>
      <c r="Q32" s="24">
        <f t="shared" si="26"/>
        <v>1.6124664560045777E-2</v>
      </c>
      <c r="R32" s="10">
        <v>1</v>
      </c>
      <c r="S32" s="10">
        <v>1</v>
      </c>
      <c r="T32" s="10">
        <v>32794</v>
      </c>
      <c r="U32" s="18">
        <v>101716392338.23</v>
      </c>
      <c r="V32" s="18">
        <v>111985102611.95</v>
      </c>
    </row>
    <row r="33" spans="1:22" ht="15" customHeight="1">
      <c r="A33" s="119">
        <v>26</v>
      </c>
      <c r="B33" s="19" t="s">
        <v>266</v>
      </c>
      <c r="C33" s="19" t="s">
        <v>103</v>
      </c>
      <c r="D33" s="18">
        <v>5073184367.4300003</v>
      </c>
      <c r="E33" s="18">
        <v>78627333.129999995</v>
      </c>
      <c r="F33" s="18">
        <v>0</v>
      </c>
      <c r="G33" s="18">
        <v>5959137.9800000004</v>
      </c>
      <c r="H33" s="12">
        <f t="shared" si="21"/>
        <v>72668195.149999991</v>
      </c>
      <c r="I33" s="49">
        <v>4396493167.3599997</v>
      </c>
      <c r="J33" s="13">
        <f t="shared" si="14"/>
        <v>1.7589553231965745E-3</v>
      </c>
      <c r="K33" s="49">
        <v>5170230836.3599997</v>
      </c>
      <c r="L33" s="13">
        <f t="shared" si="15"/>
        <v>1.8658808791912997E-3</v>
      </c>
      <c r="M33" s="13">
        <f t="shared" si="22"/>
        <v>0.17598973535187204</v>
      </c>
      <c r="N33" s="20">
        <f t="shared" si="23"/>
        <v>1.1525864450948606E-3</v>
      </c>
      <c r="O33" s="21">
        <f t="shared" si="24"/>
        <v>1.4055116193063561E-2</v>
      </c>
      <c r="P33" s="24">
        <f t="shared" si="25"/>
        <v>1.0000263995182299</v>
      </c>
      <c r="Q33" s="24">
        <f t="shared" si="26"/>
        <v>1.4055487241359724E-2</v>
      </c>
      <c r="R33" s="10">
        <v>1</v>
      </c>
      <c r="S33" s="10">
        <v>1</v>
      </c>
      <c r="T33" s="10">
        <v>629</v>
      </c>
      <c r="U33" s="18">
        <v>4396493167.3599997</v>
      </c>
      <c r="V33" s="18">
        <v>5170094348.3599997</v>
      </c>
    </row>
    <row r="34" spans="1:22">
      <c r="A34" s="119">
        <v>27</v>
      </c>
      <c r="B34" s="97" t="s">
        <v>261</v>
      </c>
      <c r="C34" s="97" t="s">
        <v>44</v>
      </c>
      <c r="D34" s="18">
        <v>22786350101.709999</v>
      </c>
      <c r="E34" s="18">
        <v>381440253.68000001</v>
      </c>
      <c r="F34" s="18">
        <v>0</v>
      </c>
      <c r="G34" s="18">
        <v>35797928.969999999</v>
      </c>
      <c r="H34" s="12">
        <f t="shared" si="21"/>
        <v>345642324.71000004</v>
      </c>
      <c r="I34" s="49">
        <v>20139965677.360001</v>
      </c>
      <c r="J34" s="13">
        <f t="shared" si="14"/>
        <v>8.057626496542656E-3</v>
      </c>
      <c r="K34" s="49">
        <v>22409956039.830002</v>
      </c>
      <c r="L34" s="13">
        <f t="shared" si="15"/>
        <v>8.08751287934272E-3</v>
      </c>
      <c r="M34" s="13">
        <f t="shared" si="22"/>
        <v>0.11271073639523488</v>
      </c>
      <c r="N34" s="20">
        <f t="shared" si="23"/>
        <v>1.5974118336678164E-3</v>
      </c>
      <c r="O34" s="21">
        <f t="shared" si="24"/>
        <v>1.542360565525777E-2</v>
      </c>
      <c r="P34" s="24">
        <f t="shared" si="25"/>
        <v>100.00000000816603</v>
      </c>
      <c r="Q34" s="24">
        <f t="shared" si="26"/>
        <v>1.5423605656517265</v>
      </c>
      <c r="R34" s="10">
        <v>100</v>
      </c>
      <c r="S34" s="10">
        <v>100</v>
      </c>
      <c r="T34" s="10">
        <v>3089</v>
      </c>
      <c r="U34" s="18">
        <v>201399656.77000001</v>
      </c>
      <c r="V34" s="18">
        <v>224099560.38</v>
      </c>
    </row>
    <row r="35" spans="1:22">
      <c r="A35" s="119">
        <v>28</v>
      </c>
      <c r="B35" s="25" t="s">
        <v>215</v>
      </c>
      <c r="C35" s="25" t="s">
        <v>216</v>
      </c>
      <c r="D35" s="18">
        <v>912472559.87</v>
      </c>
      <c r="E35" s="18">
        <v>29377179.809999999</v>
      </c>
      <c r="F35" s="18">
        <v>0</v>
      </c>
      <c r="G35" s="18">
        <v>905684.15</v>
      </c>
      <c r="H35" s="12">
        <f t="shared" si="21"/>
        <v>28471495.66</v>
      </c>
      <c r="I35" s="49">
        <v>768683214.85000002</v>
      </c>
      <c r="J35" s="13">
        <f t="shared" si="14"/>
        <v>3.0753588852366139E-4</v>
      </c>
      <c r="K35" s="49">
        <v>892409889.04999995</v>
      </c>
      <c r="L35" s="13">
        <f t="shared" si="15"/>
        <v>3.2206116149969172E-4</v>
      </c>
      <c r="M35" s="13">
        <f t="shared" si="22"/>
        <v>0.16095925058561844</v>
      </c>
      <c r="N35" s="20">
        <f t="shared" si="23"/>
        <v>1.0148746233237407E-3</v>
      </c>
      <c r="O35" s="21">
        <f t="shared" si="24"/>
        <v>3.190405665529867E-2</v>
      </c>
      <c r="P35" s="24">
        <f t="shared" si="25"/>
        <v>1.0117014005274878</v>
      </c>
      <c r="Q35" s="24">
        <f t="shared" si="26"/>
        <v>3.2277378800673988E-2</v>
      </c>
      <c r="R35" s="10">
        <v>1</v>
      </c>
      <c r="S35" s="10">
        <v>1</v>
      </c>
      <c r="T35" s="10">
        <v>408</v>
      </c>
      <c r="U35" s="18">
        <v>761829621.00999999</v>
      </c>
      <c r="V35" s="18">
        <v>882088221.47000003</v>
      </c>
    </row>
    <row r="36" spans="1:22">
      <c r="A36" s="119">
        <v>29</v>
      </c>
      <c r="B36" s="19" t="s">
        <v>231</v>
      </c>
      <c r="C36" s="19" t="s">
        <v>60</v>
      </c>
      <c r="D36" s="18">
        <v>53328510385.879997</v>
      </c>
      <c r="E36" s="18">
        <v>967019184.53999996</v>
      </c>
      <c r="F36" s="18">
        <v>0</v>
      </c>
      <c r="G36" s="18">
        <v>82008588.650000006</v>
      </c>
      <c r="H36" s="12">
        <f t="shared" si="21"/>
        <v>885010595.88999999</v>
      </c>
      <c r="I36" s="49">
        <v>48299889768.220001</v>
      </c>
      <c r="J36" s="13">
        <f t="shared" si="14"/>
        <v>1.9323889514568132E-2</v>
      </c>
      <c r="K36" s="49">
        <v>52180754493.290001</v>
      </c>
      <c r="L36" s="13">
        <f t="shared" si="15"/>
        <v>1.8831474870733601E-2</v>
      </c>
      <c r="M36" s="13">
        <f t="shared" si="22"/>
        <v>8.0349349526331673E-2</v>
      </c>
      <c r="N36" s="20">
        <f t="shared" si="23"/>
        <v>1.5716251987223683E-3</v>
      </c>
      <c r="O36" s="21">
        <f t="shared" si="24"/>
        <v>1.6960479097783164E-2</v>
      </c>
      <c r="P36" s="24">
        <f t="shared" si="25"/>
        <v>100.00000000055576</v>
      </c>
      <c r="Q36" s="24">
        <f t="shared" si="26"/>
        <v>1.6960479097877423</v>
      </c>
      <c r="R36" s="10">
        <v>100</v>
      </c>
      <c r="S36" s="10">
        <v>100</v>
      </c>
      <c r="T36" s="10">
        <v>3898</v>
      </c>
      <c r="U36" s="18">
        <v>482998897.68000001</v>
      </c>
      <c r="V36" s="18">
        <v>521807544.93000001</v>
      </c>
    </row>
    <row r="37" spans="1:22">
      <c r="A37" s="119">
        <v>30</v>
      </c>
      <c r="B37" s="19" t="s">
        <v>61</v>
      </c>
      <c r="C37" s="19" t="s">
        <v>62</v>
      </c>
      <c r="D37" s="18">
        <v>9004898567.2299995</v>
      </c>
      <c r="E37" s="18">
        <v>392084462.04000002</v>
      </c>
      <c r="F37" s="18">
        <v>0</v>
      </c>
      <c r="G37" s="18">
        <v>30727317.600000001</v>
      </c>
      <c r="H37" s="12">
        <f t="shared" si="21"/>
        <v>361357144.44</v>
      </c>
      <c r="I37" s="49">
        <v>20743329100</v>
      </c>
      <c r="J37" s="13">
        <f t="shared" si="14"/>
        <v>8.2990210043185006E-3</v>
      </c>
      <c r="K37" s="49">
        <v>22500359602.810001</v>
      </c>
      <c r="L37" s="13">
        <f t="shared" si="15"/>
        <v>8.1201385560124885E-3</v>
      </c>
      <c r="M37" s="13">
        <f t="shared" si="22"/>
        <v>8.4703400034761123E-2</v>
      </c>
      <c r="N37" s="20">
        <f t="shared" si="23"/>
        <v>1.3656367339196908E-3</v>
      </c>
      <c r="O37" s="21">
        <f t="shared" si="24"/>
        <v>1.6060060853199484E-2</v>
      </c>
      <c r="P37" s="24">
        <f t="shared" si="25"/>
        <v>100.0000000124887</v>
      </c>
      <c r="Q37" s="24">
        <f t="shared" si="26"/>
        <v>1.6060060855205176</v>
      </c>
      <c r="R37" s="10">
        <v>100</v>
      </c>
      <c r="S37" s="10">
        <v>100</v>
      </c>
      <c r="T37" s="10">
        <f>6385+266+142</f>
        <v>6793</v>
      </c>
      <c r="U37" s="18">
        <v>207433291</v>
      </c>
      <c r="V37" s="18">
        <v>225003596</v>
      </c>
    </row>
    <row r="38" spans="1:22">
      <c r="A38" s="119">
        <v>31</v>
      </c>
      <c r="B38" s="19" t="s">
        <v>63</v>
      </c>
      <c r="C38" s="19" t="s">
        <v>64</v>
      </c>
      <c r="D38" s="18">
        <v>22510550103.709999</v>
      </c>
      <c r="E38" s="18">
        <v>351314609.44999999</v>
      </c>
      <c r="F38" s="18">
        <v>0</v>
      </c>
      <c r="G38" s="18">
        <v>34054137.75</v>
      </c>
      <c r="H38" s="12">
        <f t="shared" si="21"/>
        <v>317260471.69999999</v>
      </c>
      <c r="I38" s="49">
        <v>19652826125.610001</v>
      </c>
      <c r="J38" s="13">
        <f t="shared" si="14"/>
        <v>7.8627310025494793E-3</v>
      </c>
      <c r="K38" s="49">
        <v>24235434634.099998</v>
      </c>
      <c r="L38" s="13">
        <f t="shared" si="15"/>
        <v>8.746308533197784E-3</v>
      </c>
      <c r="M38" s="13">
        <f t="shared" si="22"/>
        <v>0.23317809251455732</v>
      </c>
      <c r="N38" s="20">
        <f t="shared" si="23"/>
        <v>1.4051383135536915E-3</v>
      </c>
      <c r="O38" s="21">
        <f t="shared" si="24"/>
        <v>1.3090768805672863E-2</v>
      </c>
      <c r="P38" s="24">
        <f t="shared" si="25"/>
        <v>1</v>
      </c>
      <c r="Q38" s="24">
        <f t="shared" si="26"/>
        <v>1.3090768805672863E-2</v>
      </c>
      <c r="R38" s="10">
        <v>1</v>
      </c>
      <c r="S38" s="10">
        <v>1</v>
      </c>
      <c r="T38" s="10">
        <v>4599</v>
      </c>
      <c r="U38" s="18">
        <v>19652826125.610001</v>
      </c>
      <c r="V38" s="18">
        <v>24235434634.099998</v>
      </c>
    </row>
    <row r="39" spans="1:22">
      <c r="A39" s="119">
        <v>32</v>
      </c>
      <c r="B39" s="19" t="s">
        <v>65</v>
      </c>
      <c r="C39" s="19" t="s">
        <v>66</v>
      </c>
      <c r="D39" s="18">
        <v>18674761560.18</v>
      </c>
      <c r="E39" s="18">
        <v>817977936.54999995</v>
      </c>
      <c r="F39" s="18"/>
      <c r="G39" s="18">
        <v>70349748.689999998</v>
      </c>
      <c r="H39" s="12">
        <f t="shared" si="21"/>
        <v>747628187.8599999</v>
      </c>
      <c r="I39" s="49">
        <v>43874806230.769997</v>
      </c>
      <c r="J39" s="13">
        <f t="shared" si="14"/>
        <v>1.7553495714897779E-2</v>
      </c>
      <c r="K39" s="49">
        <v>49832800288.370003</v>
      </c>
      <c r="L39" s="13">
        <f t="shared" si="15"/>
        <v>1.7984123370416182E-2</v>
      </c>
      <c r="M39" s="13">
        <f t="shared" si="22"/>
        <v>0.13579533608108757</v>
      </c>
      <c r="N39" s="20">
        <f t="shared" si="23"/>
        <v>1.4117157431030069E-3</v>
      </c>
      <c r="O39" s="21">
        <f t="shared" si="24"/>
        <v>1.5002732809187158E-2</v>
      </c>
      <c r="P39" s="24">
        <f t="shared" si="25"/>
        <v>101.49464139602701</v>
      </c>
      <c r="Q39" s="24">
        <f t="shared" si="26"/>
        <v>1.5226969864288595</v>
      </c>
      <c r="R39" s="10">
        <v>100</v>
      </c>
      <c r="S39" s="10">
        <v>100</v>
      </c>
      <c r="T39" s="10">
        <v>6551</v>
      </c>
      <c r="U39" s="18">
        <v>438748062</v>
      </c>
      <c r="V39" s="18">
        <v>490989471</v>
      </c>
    </row>
    <row r="40" spans="1:22">
      <c r="A40" s="119">
        <v>33</v>
      </c>
      <c r="B40" s="19" t="s">
        <v>67</v>
      </c>
      <c r="C40" s="19" t="s">
        <v>66</v>
      </c>
      <c r="D40" s="18">
        <v>2092302297.1099999</v>
      </c>
      <c r="E40" s="18">
        <v>94959948.930000007</v>
      </c>
      <c r="F40" s="18">
        <v>0</v>
      </c>
      <c r="G40" s="18">
        <v>5087138.3899999997</v>
      </c>
      <c r="H40" s="12">
        <f>(E40+F40)-G40</f>
        <v>89872810.540000007</v>
      </c>
      <c r="I40" s="49">
        <v>5628612875.0100002</v>
      </c>
      <c r="J40" s="13">
        <f t="shared" si="14"/>
        <v>2.2519035517247583E-3</v>
      </c>
      <c r="K40" s="49">
        <v>6475432147.3900003</v>
      </c>
      <c r="L40" s="13">
        <f t="shared" si="15"/>
        <v>2.3369140393781776E-3</v>
      </c>
      <c r="M40" s="13">
        <f t="shared" si="22"/>
        <v>0.15044901669107871</v>
      </c>
      <c r="N40" s="20">
        <f t="shared" si="23"/>
        <v>7.856060065505329E-4</v>
      </c>
      <c r="O40" s="21">
        <f t="shared" si="24"/>
        <v>1.3879044439717325E-2</v>
      </c>
      <c r="P40" s="24">
        <f t="shared" si="25"/>
        <v>1015117.1260997022</v>
      </c>
      <c r="Q40" s="24">
        <f t="shared" si="26"/>
        <v>14088.855704655904</v>
      </c>
      <c r="R40" s="10">
        <v>1000000</v>
      </c>
      <c r="S40" s="10">
        <v>1000000</v>
      </c>
      <c r="T40" s="10">
        <v>39</v>
      </c>
      <c r="U40" s="18">
        <v>5629</v>
      </c>
      <c r="V40" s="18">
        <v>6379</v>
      </c>
    </row>
    <row r="41" spans="1:22">
      <c r="A41" s="119">
        <v>34</v>
      </c>
      <c r="B41" s="97" t="s">
        <v>68</v>
      </c>
      <c r="C41" s="97" t="s">
        <v>69</v>
      </c>
      <c r="D41" s="18">
        <v>4564052122.54</v>
      </c>
      <c r="E41" s="18">
        <v>80631913.5</v>
      </c>
      <c r="F41" s="18">
        <v>0</v>
      </c>
      <c r="G41" s="18">
        <v>6896089.8099999996</v>
      </c>
      <c r="H41" s="12">
        <f t="shared" si="21"/>
        <v>73735823.689999998</v>
      </c>
      <c r="I41" s="49">
        <v>3986592886.6100001</v>
      </c>
      <c r="J41" s="13">
        <f t="shared" si="14"/>
        <v>1.5949618280723856E-3</v>
      </c>
      <c r="K41" s="49">
        <v>4465192498.3400002</v>
      </c>
      <c r="L41" s="13">
        <f t="shared" si="15"/>
        <v>1.6114401016622071E-3</v>
      </c>
      <c r="M41" s="13">
        <f t="shared" si="22"/>
        <v>0.12005229160406626</v>
      </c>
      <c r="N41" s="20">
        <f t="shared" si="23"/>
        <v>1.5444104173702971E-3</v>
      </c>
      <c r="O41" s="21">
        <f t="shared" si="24"/>
        <v>1.6513470296613719E-2</v>
      </c>
      <c r="P41" s="24">
        <f t="shared" si="25"/>
        <v>1.1124365980943418</v>
      </c>
      <c r="Q41" s="24">
        <f t="shared" si="26"/>
        <v>1.8370188719496926E-2</v>
      </c>
      <c r="R41" s="10">
        <v>1</v>
      </c>
      <c r="S41" s="10">
        <v>1</v>
      </c>
      <c r="T41" s="10">
        <v>875</v>
      </c>
      <c r="U41" s="18">
        <v>4008058010.6399999</v>
      </c>
      <c r="V41" s="18">
        <v>4013884931.5</v>
      </c>
    </row>
    <row r="42" spans="1:22">
      <c r="A42" s="119">
        <v>35</v>
      </c>
      <c r="B42" s="19" t="s">
        <v>70</v>
      </c>
      <c r="C42" s="19" t="s">
        <v>71</v>
      </c>
      <c r="D42" s="18">
        <v>1262273381.3299999</v>
      </c>
      <c r="E42" s="18">
        <v>34028731.75</v>
      </c>
      <c r="F42" s="18">
        <v>0</v>
      </c>
      <c r="G42" s="18">
        <v>2697543.88</v>
      </c>
      <c r="H42" s="12">
        <f>(E42+F42)-G42</f>
        <v>31331187.870000001</v>
      </c>
      <c r="I42" s="49">
        <v>1680322422.95</v>
      </c>
      <c r="J42" s="13">
        <f t="shared" si="14"/>
        <v>6.7226581687359938E-4</v>
      </c>
      <c r="K42" s="49">
        <v>2011712474.96</v>
      </c>
      <c r="L42" s="13">
        <f t="shared" si="15"/>
        <v>7.2600546479683497E-4</v>
      </c>
      <c r="M42" s="13">
        <f t="shared" si="22"/>
        <v>0.19721813354618364</v>
      </c>
      <c r="N42" s="20">
        <f t="shared" si="23"/>
        <v>1.3409191987307414E-3</v>
      </c>
      <c r="O42" s="21">
        <f t="shared" si="24"/>
        <v>1.5574386628299342E-2</v>
      </c>
      <c r="P42" s="24">
        <f t="shared" si="25"/>
        <v>1.1291566831326516</v>
      </c>
      <c r="Q42" s="24">
        <f t="shared" si="26"/>
        <v>1.7585922747036006E-2</v>
      </c>
      <c r="R42" s="10">
        <v>1</v>
      </c>
      <c r="S42" s="10">
        <v>1</v>
      </c>
      <c r="T42" s="10">
        <f>1153+37+16</f>
        <v>1206</v>
      </c>
      <c r="U42" s="18">
        <v>1505797387.98</v>
      </c>
      <c r="V42" s="18">
        <v>1781606135.8099999</v>
      </c>
    </row>
    <row r="43" spans="1:22">
      <c r="A43" s="119">
        <v>36</v>
      </c>
      <c r="B43" s="19" t="s">
        <v>72</v>
      </c>
      <c r="C43" s="19" t="s">
        <v>73</v>
      </c>
      <c r="D43" s="18">
        <v>509497339568.85999</v>
      </c>
      <c r="E43" s="18">
        <v>7360977104.6599998</v>
      </c>
      <c r="F43" s="18">
        <v>0</v>
      </c>
      <c r="G43" s="18">
        <v>770589011.67999995</v>
      </c>
      <c r="H43" s="12">
        <f t="shared" ref="H43" si="27">(E43+F43)-G43</f>
        <v>6590388092.9799995</v>
      </c>
      <c r="I43" s="49">
        <v>452117746259.65997</v>
      </c>
      <c r="J43" s="13">
        <f t="shared" si="14"/>
        <v>0.18088391957460967</v>
      </c>
      <c r="K43" s="49">
        <v>500670309628.23999</v>
      </c>
      <c r="L43" s="13">
        <f t="shared" si="15"/>
        <v>0.18068654709657408</v>
      </c>
      <c r="M43" s="13">
        <f t="shared" si="22"/>
        <v>0.1073892006457436</v>
      </c>
      <c r="N43" s="20">
        <f t="shared" si="23"/>
        <v>1.5391146566134134E-3</v>
      </c>
      <c r="O43" s="21">
        <f t="shared" si="24"/>
        <v>1.3163129441155648E-2</v>
      </c>
      <c r="P43" s="24">
        <f t="shared" si="25"/>
        <v>100.05729660691195</v>
      </c>
      <c r="Q43" s="24">
        <f t="shared" si="26"/>
        <v>1.3170671467688857</v>
      </c>
      <c r="R43" s="10">
        <v>100</v>
      </c>
      <c r="S43" s="10">
        <v>100</v>
      </c>
      <c r="T43" s="10">
        <v>32880</v>
      </c>
      <c r="U43" s="18">
        <v>4518446855</v>
      </c>
      <c r="V43" s="18">
        <v>5003836068</v>
      </c>
    </row>
    <row r="44" spans="1:22">
      <c r="A44" s="119">
        <v>37</v>
      </c>
      <c r="B44" s="19" t="s">
        <v>267</v>
      </c>
      <c r="C44" s="19" t="s">
        <v>268</v>
      </c>
      <c r="D44" s="18">
        <v>1051440362.39</v>
      </c>
      <c r="E44" s="18">
        <v>30248665.890000001</v>
      </c>
      <c r="F44" s="18">
        <v>0</v>
      </c>
      <c r="G44" s="18">
        <v>1195487.18</v>
      </c>
      <c r="H44" s="12">
        <f t="shared" si="21"/>
        <v>29053178.710000001</v>
      </c>
      <c r="I44" s="49">
        <v>917256748.30999994</v>
      </c>
      <c r="J44" s="13">
        <f t="shared" si="14"/>
        <v>3.6697740193388618E-4</v>
      </c>
      <c r="K44" s="49">
        <v>1028585647.38</v>
      </c>
      <c r="L44" s="13">
        <f t="shared" si="15"/>
        <v>3.7120553275105502E-4</v>
      </c>
      <c r="M44" s="13">
        <f t="shared" si="22"/>
        <v>0.12137157810516851</v>
      </c>
      <c r="N44" s="20">
        <f t="shared" si="23"/>
        <v>1.1622631358362129E-3</v>
      </c>
      <c r="O44" s="21">
        <f t="shared" si="24"/>
        <v>2.8245755503203726E-2</v>
      </c>
      <c r="P44" s="24">
        <f t="shared" si="25"/>
        <v>1.0004116717236597</v>
      </c>
      <c r="Q44" s="24">
        <f t="shared" si="26"/>
        <v>2.82573834820578E-2</v>
      </c>
      <c r="R44" s="10">
        <v>1</v>
      </c>
      <c r="S44" s="10">
        <v>1</v>
      </c>
      <c r="T44" s="10">
        <v>179</v>
      </c>
      <c r="U44" s="18">
        <v>916757869</v>
      </c>
      <c r="V44" s="18">
        <v>1028162382</v>
      </c>
    </row>
    <row r="45" spans="1:22" ht="16.95" customHeight="1">
      <c r="A45" s="119">
        <v>38</v>
      </c>
      <c r="B45" s="19" t="s">
        <v>74</v>
      </c>
      <c r="C45" s="19" t="s">
        <v>75</v>
      </c>
      <c r="D45" s="18">
        <v>952346088.20000005</v>
      </c>
      <c r="E45" s="18">
        <v>15262173.289999999</v>
      </c>
      <c r="F45" s="18">
        <v>0</v>
      </c>
      <c r="G45" s="18">
        <v>2308065.08</v>
      </c>
      <c r="H45" s="12">
        <f t="shared" si="21"/>
        <v>12954108.209999999</v>
      </c>
      <c r="I45" s="49">
        <v>931158181.85000002</v>
      </c>
      <c r="J45" s="13">
        <f t="shared" si="14"/>
        <v>3.7253910750112797E-4</v>
      </c>
      <c r="K45" s="49">
        <v>931158181.85000002</v>
      </c>
      <c r="L45" s="13">
        <f t="shared" si="15"/>
        <v>3.3604500495371575E-4</v>
      </c>
      <c r="M45" s="13">
        <f t="shared" si="22"/>
        <v>0</v>
      </c>
      <c r="N45" s="20">
        <f t="shared" si="23"/>
        <v>2.4787035382263394E-3</v>
      </c>
      <c r="O45" s="21">
        <f t="shared" si="24"/>
        <v>1.3911823428607077E-2</v>
      </c>
      <c r="P45" s="24">
        <f t="shared" si="25"/>
        <v>9.9738622286627745</v>
      </c>
      <c r="Q45" s="24">
        <f t="shared" si="26"/>
        <v>0.13875461022640997</v>
      </c>
      <c r="R45" s="10">
        <v>10</v>
      </c>
      <c r="S45" s="10">
        <v>10</v>
      </c>
      <c r="T45" s="10">
        <v>456</v>
      </c>
      <c r="U45" s="18">
        <v>93663899</v>
      </c>
      <c r="V45" s="18">
        <v>93359840</v>
      </c>
    </row>
    <row r="46" spans="1:22">
      <c r="A46" s="119">
        <v>39</v>
      </c>
      <c r="B46" s="19" t="s">
        <v>76</v>
      </c>
      <c r="C46" s="19" t="s">
        <v>281</v>
      </c>
      <c r="D46" s="18">
        <v>1849409447.6900001</v>
      </c>
      <c r="E46" s="18">
        <v>219779922.40000001</v>
      </c>
      <c r="F46" s="18">
        <v>0</v>
      </c>
      <c r="G46" s="18">
        <v>12226552.359999999</v>
      </c>
      <c r="H46" s="12">
        <f t="shared" si="21"/>
        <v>207553370.04000002</v>
      </c>
      <c r="I46" s="49">
        <v>6539263298.6499996</v>
      </c>
      <c r="J46" s="13">
        <f t="shared" si="14"/>
        <v>2.6162378857627743E-3</v>
      </c>
      <c r="K46" s="49">
        <v>6993415027.9899998</v>
      </c>
      <c r="L46" s="13">
        <f t="shared" si="15"/>
        <v>2.5238485077317047E-3</v>
      </c>
      <c r="M46" s="13">
        <f t="shared" si="22"/>
        <v>6.9449983675341179E-2</v>
      </c>
      <c r="N46" s="20">
        <f t="shared" si="23"/>
        <v>1.7482949762119399E-3</v>
      </c>
      <c r="O46" s="21">
        <f t="shared" si="24"/>
        <v>2.967840021066984E-2</v>
      </c>
      <c r="P46" s="24">
        <f t="shared" si="25"/>
        <v>102.24033731534328</v>
      </c>
      <c r="Q46" s="24">
        <f t="shared" si="26"/>
        <v>3.0343296485186393</v>
      </c>
      <c r="R46" s="10">
        <v>100</v>
      </c>
      <c r="S46" s="10">
        <v>100</v>
      </c>
      <c r="T46" s="10">
        <v>1737</v>
      </c>
      <c r="U46" s="18">
        <v>62155416</v>
      </c>
      <c r="V46" s="18">
        <v>68401721</v>
      </c>
    </row>
    <row r="47" spans="1:22">
      <c r="A47" s="119">
        <v>40</v>
      </c>
      <c r="B47" s="98" t="s">
        <v>251</v>
      </c>
      <c r="C47" s="98" t="s">
        <v>227</v>
      </c>
      <c r="D47" s="18">
        <v>87948478.159999996</v>
      </c>
      <c r="E47" s="18">
        <v>5367648.1399999997</v>
      </c>
      <c r="F47" s="18">
        <v>0</v>
      </c>
      <c r="G47" s="18">
        <v>94047.82</v>
      </c>
      <c r="H47" s="12">
        <f t="shared" si="21"/>
        <v>5273600.3199999994</v>
      </c>
      <c r="I47" s="49">
        <v>94923812.299999997</v>
      </c>
      <c r="J47" s="13">
        <f t="shared" si="14"/>
        <v>3.7977255641558844E-5</v>
      </c>
      <c r="K47" s="49">
        <v>94923812.299999997</v>
      </c>
      <c r="L47" s="13">
        <f t="shared" si="15"/>
        <v>3.4256986188107867E-5</v>
      </c>
      <c r="M47" s="13">
        <f t="shared" si="22"/>
        <v>0</v>
      </c>
      <c r="N47" s="20">
        <f t="shared" si="23"/>
        <v>9.9077162748972326E-4</v>
      </c>
      <c r="O47" s="21">
        <f t="shared" si="24"/>
        <v>5.5556136992614226E-2</v>
      </c>
      <c r="P47" s="24">
        <f t="shared" si="25"/>
        <v>1.0319388364889441</v>
      </c>
      <c r="Q47" s="24">
        <f t="shared" si="26"/>
        <v>5.7330535367978712E-2</v>
      </c>
      <c r="R47" s="10">
        <v>1</v>
      </c>
      <c r="S47" s="10">
        <v>1</v>
      </c>
      <c r="T47" s="10">
        <v>51</v>
      </c>
      <c r="U47" s="18">
        <v>87171820</v>
      </c>
      <c r="V47" s="18">
        <v>91985890</v>
      </c>
    </row>
    <row r="48" spans="1:22">
      <c r="A48" s="119">
        <v>41</v>
      </c>
      <c r="B48" s="97" t="s">
        <v>269</v>
      </c>
      <c r="C48" s="97" t="s">
        <v>36</v>
      </c>
      <c r="D48" s="18">
        <v>399499149.31999999</v>
      </c>
      <c r="E48" s="18">
        <v>6337142.04</v>
      </c>
      <c r="F48" s="18">
        <v>0</v>
      </c>
      <c r="G48" s="18">
        <v>812055.65</v>
      </c>
      <c r="H48" s="12">
        <f t="shared" si="21"/>
        <v>5525086.3899999997</v>
      </c>
      <c r="I48" s="49">
        <v>327959603</v>
      </c>
      <c r="J48" s="13">
        <f t="shared" si="14"/>
        <v>1.3121055066638059E-4</v>
      </c>
      <c r="K48" s="49">
        <v>377848951</v>
      </c>
      <c r="L48" s="13">
        <f t="shared" si="15"/>
        <v>1.3636163552607387E-4</v>
      </c>
      <c r="M48" s="13">
        <f t="shared" si="22"/>
        <v>0.15212040612209182</v>
      </c>
      <c r="N48" s="20">
        <f t="shared" si="23"/>
        <v>2.1491541735152255E-3</v>
      </c>
      <c r="O48" s="21">
        <f t="shared" si="24"/>
        <v>1.4622473809646755E-2</v>
      </c>
      <c r="P48" s="24">
        <f t="shared" si="25"/>
        <v>100</v>
      </c>
      <c r="Q48" s="24">
        <f t="shared" si="26"/>
        <v>1.4622473809646754</v>
      </c>
      <c r="R48" s="10">
        <v>100</v>
      </c>
      <c r="S48" s="10">
        <v>100</v>
      </c>
      <c r="T48" s="10">
        <v>1812</v>
      </c>
      <c r="U48" s="18">
        <v>3279596.03</v>
      </c>
      <c r="V48" s="18">
        <v>3778489.51</v>
      </c>
    </row>
    <row r="49" spans="1:22">
      <c r="A49" s="119">
        <v>42</v>
      </c>
      <c r="B49" s="97" t="s">
        <v>78</v>
      </c>
      <c r="C49" s="97" t="s">
        <v>36</v>
      </c>
      <c r="D49" s="18">
        <v>84586841496.610001</v>
      </c>
      <c r="E49" s="18">
        <v>1376099836.5699999</v>
      </c>
      <c r="F49" s="18">
        <v>0</v>
      </c>
      <c r="G49" s="18">
        <v>90251330.159999996</v>
      </c>
      <c r="H49" s="12">
        <f t="shared" si="21"/>
        <v>1285848506.4099998</v>
      </c>
      <c r="I49" s="49">
        <v>73255755935.789993</v>
      </c>
      <c r="J49" s="13">
        <f t="shared" si="14"/>
        <v>2.9308268420537704E-2</v>
      </c>
      <c r="K49" s="49">
        <v>83501984705.660004</v>
      </c>
      <c r="L49" s="13">
        <f t="shared" si="15"/>
        <v>3.0134971061854299E-2</v>
      </c>
      <c r="M49" s="13">
        <f t="shared" si="22"/>
        <v>0.1398692654110486</v>
      </c>
      <c r="N49" s="20">
        <f t="shared" si="23"/>
        <v>1.0808285632746464E-3</v>
      </c>
      <c r="O49" s="21">
        <f t="shared" si="24"/>
        <v>1.5399017292134391E-2</v>
      </c>
      <c r="P49" s="24">
        <f t="shared" si="25"/>
        <v>99.999999999592831</v>
      </c>
      <c r="Q49" s="24">
        <f t="shared" si="26"/>
        <v>1.5399017292071693</v>
      </c>
      <c r="R49" s="10">
        <v>100</v>
      </c>
      <c r="S49" s="10">
        <v>100</v>
      </c>
      <c r="T49" s="10">
        <v>11472</v>
      </c>
      <c r="U49" s="18">
        <v>732557559.36000001</v>
      </c>
      <c r="V49" s="18">
        <v>835019847.05999994</v>
      </c>
    </row>
    <row r="50" spans="1:22">
      <c r="A50" s="119">
        <v>43</v>
      </c>
      <c r="B50" s="19" t="s">
        <v>79</v>
      </c>
      <c r="C50" s="19" t="s">
        <v>38</v>
      </c>
      <c r="D50" s="18">
        <v>17001373704.059999</v>
      </c>
      <c r="E50" s="18">
        <v>304287898.51999998</v>
      </c>
      <c r="F50" s="18">
        <v>0</v>
      </c>
      <c r="G50" s="18">
        <v>22111652.329999998</v>
      </c>
      <c r="H50" s="12">
        <f t="shared" si="21"/>
        <v>282176246.19</v>
      </c>
      <c r="I50" s="49">
        <v>14920650466.879999</v>
      </c>
      <c r="J50" s="13">
        <f t="shared" si="14"/>
        <v>5.9694753443762195E-3</v>
      </c>
      <c r="K50" s="49">
        <v>16940252108.209999</v>
      </c>
      <c r="L50" s="13">
        <f t="shared" si="15"/>
        <v>6.1135553707003312E-3</v>
      </c>
      <c r="M50" s="13">
        <f t="shared" si="22"/>
        <v>0.13535613918528522</v>
      </c>
      <c r="N50" s="20">
        <f t="shared" si="23"/>
        <v>1.3052729197155046E-3</v>
      </c>
      <c r="O50" s="21">
        <f t="shared" si="24"/>
        <v>1.6657145619057515E-2</v>
      </c>
      <c r="P50" s="24">
        <f t="shared" si="25"/>
        <v>0.99952274615549408</v>
      </c>
      <c r="Q50" s="24">
        <f t="shared" si="26"/>
        <v>1.6649195932272324E-2</v>
      </c>
      <c r="R50" s="10">
        <v>1</v>
      </c>
      <c r="S50" s="10">
        <v>1</v>
      </c>
      <c r="T50" s="10">
        <v>1611</v>
      </c>
      <c r="U50" s="18">
        <v>14923492460</v>
      </c>
      <c r="V50" s="18">
        <v>16948340769</v>
      </c>
    </row>
    <row r="51" spans="1:22">
      <c r="A51" s="119">
        <v>44</v>
      </c>
      <c r="B51" s="19" t="s">
        <v>277</v>
      </c>
      <c r="C51" s="97" t="s">
        <v>278</v>
      </c>
      <c r="D51" s="18">
        <v>1645530316.4400001</v>
      </c>
      <c r="E51" s="18">
        <v>22232652.850000001</v>
      </c>
      <c r="F51" s="18"/>
      <c r="G51" s="18">
        <v>3138756.32</v>
      </c>
      <c r="H51" s="12">
        <f t="shared" si="21"/>
        <v>19093896.530000001</v>
      </c>
      <c r="I51" s="49">
        <v>1380253732.02</v>
      </c>
      <c r="J51" s="13">
        <f t="shared" si="14"/>
        <v>5.5221390250820345E-4</v>
      </c>
      <c r="K51" s="49">
        <v>1627225377.5</v>
      </c>
      <c r="L51" s="13">
        <f t="shared" si="15"/>
        <v>5.8724819338040973E-4</v>
      </c>
      <c r="M51" s="13">
        <f t="shared" si="22"/>
        <v>0.1789320613671207</v>
      </c>
      <c r="N51" s="20">
        <f t="shared" si="23"/>
        <v>1.9289007923550528E-3</v>
      </c>
      <c r="O51" s="21">
        <f t="shared" si="24"/>
        <v>1.1734020863990613E-2</v>
      </c>
      <c r="P51" s="24">
        <f t="shared" si="25"/>
        <v>99.999999969272849</v>
      </c>
      <c r="Q51" s="24">
        <f t="shared" si="26"/>
        <v>1.1734020860385084</v>
      </c>
      <c r="R51" s="10">
        <v>100</v>
      </c>
      <c r="S51" s="10">
        <v>100</v>
      </c>
      <c r="T51" s="10">
        <v>122</v>
      </c>
      <c r="U51" s="18">
        <v>13802537.32</v>
      </c>
      <c r="V51" s="18">
        <v>16272253.779999999</v>
      </c>
    </row>
    <row r="52" spans="1:22">
      <c r="A52" s="119">
        <v>45</v>
      </c>
      <c r="B52" s="19" t="s">
        <v>80</v>
      </c>
      <c r="C52" s="19" t="s">
        <v>40</v>
      </c>
      <c r="D52" s="18">
        <v>37939224609.080002</v>
      </c>
      <c r="E52" s="18">
        <v>648268361.45000005</v>
      </c>
      <c r="F52" s="18">
        <v>0</v>
      </c>
      <c r="G52" s="18">
        <v>50878387.549999997</v>
      </c>
      <c r="H52" s="12">
        <f t="shared" si="21"/>
        <v>597389973.9000001</v>
      </c>
      <c r="I52" s="49">
        <v>34576633284.25</v>
      </c>
      <c r="J52" s="13">
        <f t="shared" si="14"/>
        <v>1.3833469280714874E-2</v>
      </c>
      <c r="K52" s="49">
        <v>37284554922.690002</v>
      </c>
      <c r="L52" s="13">
        <f t="shared" si="15"/>
        <v>1.3455596146725143E-2</v>
      </c>
      <c r="M52" s="13">
        <f t="shared" si="22"/>
        <v>7.831652133909428E-2</v>
      </c>
      <c r="N52" s="20">
        <f t="shared" si="23"/>
        <v>1.3645968861770504E-3</v>
      </c>
      <c r="O52" s="21">
        <f t="shared" si="24"/>
        <v>1.6022451525536399E-2</v>
      </c>
      <c r="P52" s="24">
        <f t="shared" si="25"/>
        <v>10.020654679177916</v>
      </c>
      <c r="Q52" s="24">
        <f t="shared" si="26"/>
        <v>0.16055545385126765</v>
      </c>
      <c r="R52" s="10">
        <v>10</v>
      </c>
      <c r="S52" s="10">
        <v>10</v>
      </c>
      <c r="T52" s="10">
        <v>4435</v>
      </c>
      <c r="U52" s="18">
        <v>3467670831.27</v>
      </c>
      <c r="V52" s="18">
        <v>3720770360.46</v>
      </c>
    </row>
    <row r="53" spans="1:22" ht="14.1" customHeight="1">
      <c r="A53" s="119">
        <v>46</v>
      </c>
      <c r="B53" s="19" t="s">
        <v>81</v>
      </c>
      <c r="C53" s="19" t="s">
        <v>262</v>
      </c>
      <c r="D53" s="18">
        <v>7167993753.5600004</v>
      </c>
      <c r="E53" s="18">
        <v>346160698.45999998</v>
      </c>
      <c r="F53" s="18">
        <v>0</v>
      </c>
      <c r="G53" s="18">
        <v>23084644.649999999</v>
      </c>
      <c r="H53" s="12">
        <f t="shared" si="21"/>
        <v>323076053.81</v>
      </c>
      <c r="I53" s="49">
        <v>16968530636</v>
      </c>
      <c r="J53" s="13">
        <f t="shared" si="14"/>
        <v>6.7887941941096605E-3</v>
      </c>
      <c r="K53" s="49">
        <v>19221287036</v>
      </c>
      <c r="L53" s="13">
        <f t="shared" si="15"/>
        <v>6.9367564213380084E-3</v>
      </c>
      <c r="M53" s="13">
        <f t="shared" si="22"/>
        <v>0.13276084113144185</v>
      </c>
      <c r="N53" s="20">
        <f t="shared" si="23"/>
        <v>1.2009937007217168E-3</v>
      </c>
      <c r="O53" s="21">
        <f t="shared" si="24"/>
        <v>1.6808242507637666E-2</v>
      </c>
      <c r="P53" s="24">
        <f t="shared" si="25"/>
        <v>100.00000018729234</v>
      </c>
      <c r="Q53" s="24">
        <f t="shared" si="26"/>
        <v>1.6808242539118219</v>
      </c>
      <c r="R53" s="10">
        <v>100</v>
      </c>
      <c r="S53" s="10">
        <v>100</v>
      </c>
      <c r="T53" s="10">
        <f>3782+112+81</f>
        <v>3975</v>
      </c>
      <c r="U53" s="18">
        <v>169685306</v>
      </c>
      <c r="V53" s="18">
        <v>192212870</v>
      </c>
    </row>
    <row r="54" spans="1:22">
      <c r="A54" s="119">
        <v>47</v>
      </c>
      <c r="B54" s="19" t="s">
        <v>82</v>
      </c>
      <c r="C54" s="97" t="s">
        <v>83</v>
      </c>
      <c r="D54" s="18">
        <v>156304501.11000001</v>
      </c>
      <c r="E54" s="18">
        <v>4208808.87</v>
      </c>
      <c r="F54" s="18">
        <v>0</v>
      </c>
      <c r="G54" s="18">
        <v>4167803.1</v>
      </c>
      <c r="H54" s="12">
        <f t="shared" si="21"/>
        <v>41005.770000000019</v>
      </c>
      <c r="I54" s="49">
        <v>237967307.69</v>
      </c>
      <c r="J54" s="13">
        <f t="shared" si="14"/>
        <v>9.5206303450126215E-5</v>
      </c>
      <c r="K54" s="49">
        <v>222253953.31</v>
      </c>
      <c r="L54" s="13">
        <f t="shared" si="15"/>
        <v>8.0209068981872749E-5</v>
      </c>
      <c r="M54" s="13">
        <f t="shared" si="22"/>
        <v>-6.6031567665881988E-2</v>
      </c>
      <c r="N54" s="20">
        <f t="shared" si="23"/>
        <v>1.8752436291590929E-2</v>
      </c>
      <c r="O54" s="21">
        <f t="shared" si="24"/>
        <v>1.8449962031858724E-4</v>
      </c>
      <c r="P54" s="24">
        <f t="shared" si="25"/>
        <v>1.2044710694202991</v>
      </c>
      <c r="Q54" s="24">
        <f t="shared" si="26"/>
        <v>2.2222445499276797E-4</v>
      </c>
      <c r="R54" s="10">
        <v>1</v>
      </c>
      <c r="S54" s="10">
        <v>1</v>
      </c>
      <c r="T54" s="10">
        <v>93</v>
      </c>
      <c r="U54" s="18">
        <v>189996408</v>
      </c>
      <c r="V54" s="18">
        <v>184524111</v>
      </c>
    </row>
    <row r="55" spans="1:22" ht="15" customHeight="1">
      <c r="A55" s="119">
        <v>48</v>
      </c>
      <c r="B55" s="97" t="s">
        <v>84</v>
      </c>
      <c r="C55" s="97" t="s">
        <v>42</v>
      </c>
      <c r="D55" s="18">
        <v>1396708170.02</v>
      </c>
      <c r="E55" s="18">
        <v>68988171.769999996</v>
      </c>
      <c r="F55" s="18">
        <v>0</v>
      </c>
      <c r="G55" s="18">
        <v>1536320.82</v>
      </c>
      <c r="H55" s="12">
        <f t="shared" si="21"/>
        <v>67451850.950000003</v>
      </c>
      <c r="I55" s="49">
        <v>1395926030.3199999</v>
      </c>
      <c r="J55" s="13">
        <f t="shared" si="14"/>
        <v>5.584840982010271E-4</v>
      </c>
      <c r="K55" s="49">
        <v>1465779882.9200001</v>
      </c>
      <c r="L55" s="13">
        <f t="shared" si="15"/>
        <v>5.2898424523133917E-4</v>
      </c>
      <c r="M55" s="13">
        <f t="shared" si="22"/>
        <v>5.0041227889408263E-2</v>
      </c>
      <c r="N55" s="20">
        <f t="shared" si="23"/>
        <v>1.0481251911709107E-3</v>
      </c>
      <c r="O55" s="21">
        <f t="shared" si="24"/>
        <v>4.6017721853044029E-2</v>
      </c>
      <c r="P55" s="24">
        <f t="shared" si="25"/>
        <v>12.370658366122866</v>
      </c>
      <c r="Q55" s="24">
        <f t="shared" si="26"/>
        <v>0.56926951583127405</v>
      </c>
      <c r="R55" s="10">
        <v>10</v>
      </c>
      <c r="S55" s="10">
        <v>10</v>
      </c>
      <c r="T55" s="10">
        <v>793</v>
      </c>
      <c r="U55" s="18">
        <v>108392817.59999999</v>
      </c>
      <c r="V55" s="18">
        <v>118488429.59999999</v>
      </c>
    </row>
    <row r="56" spans="1:22" ht="15" customHeight="1">
      <c r="A56" s="119">
        <v>49</v>
      </c>
      <c r="B56" s="10" t="s">
        <v>210</v>
      </c>
      <c r="C56" s="10" t="s">
        <v>211</v>
      </c>
      <c r="D56" s="18">
        <v>416097063.72000003</v>
      </c>
      <c r="E56" s="18">
        <v>15253114.33</v>
      </c>
      <c r="F56" s="18">
        <v>0</v>
      </c>
      <c r="G56" s="18">
        <v>1795415.24</v>
      </c>
      <c r="H56" s="12">
        <f t="shared" si="21"/>
        <v>13457699.09</v>
      </c>
      <c r="I56" s="49">
        <v>788893322</v>
      </c>
      <c r="J56" s="13">
        <f t="shared" si="14"/>
        <v>3.1562157732167487E-4</v>
      </c>
      <c r="K56" s="49">
        <v>804726809</v>
      </c>
      <c r="L56" s="13">
        <f t="shared" si="15"/>
        <v>2.9041727795326989E-4</v>
      </c>
      <c r="M56" s="13">
        <f t="shared" si="22"/>
        <v>2.0070504539015478E-2</v>
      </c>
      <c r="N56" s="20">
        <f t="shared" si="23"/>
        <v>2.2310866494321055E-3</v>
      </c>
      <c r="O56" s="21">
        <f t="shared" si="24"/>
        <v>1.6723313973748821E-2</v>
      </c>
      <c r="P56" s="24">
        <f t="shared" si="25"/>
        <v>1</v>
      </c>
      <c r="Q56" s="24">
        <f t="shared" si="26"/>
        <v>1.6723313973748821E-2</v>
      </c>
      <c r="R56" s="10">
        <v>1</v>
      </c>
      <c r="S56" s="10">
        <v>1</v>
      </c>
      <c r="T56" s="10">
        <v>79</v>
      </c>
      <c r="U56" s="18">
        <v>788893322</v>
      </c>
      <c r="V56" s="18">
        <v>804726809</v>
      </c>
    </row>
    <row r="57" spans="1:22" ht="15" customHeight="1">
      <c r="A57" s="119">
        <v>50</v>
      </c>
      <c r="B57" s="10" t="s">
        <v>284</v>
      </c>
      <c r="C57" s="10" t="s">
        <v>283</v>
      </c>
      <c r="D57" s="18">
        <v>392167137.30000001</v>
      </c>
      <c r="E57" s="18">
        <v>5406515.8700000001</v>
      </c>
      <c r="F57" s="18"/>
      <c r="G57" s="18"/>
      <c r="H57" s="12">
        <f t="shared" si="21"/>
        <v>5406515.8700000001</v>
      </c>
      <c r="I57" s="49">
        <v>0</v>
      </c>
      <c r="J57" s="13">
        <f t="shared" si="14"/>
        <v>0</v>
      </c>
      <c r="K57" s="49">
        <v>511874811</v>
      </c>
      <c r="L57" s="13">
        <f t="shared" si="15"/>
        <v>1.8473013151903641E-4</v>
      </c>
      <c r="M57" s="13" t="e">
        <f t="shared" si="22"/>
        <v>#DIV/0!</v>
      </c>
      <c r="N57" s="20">
        <f t="shared" si="23"/>
        <v>0</v>
      </c>
      <c r="O57" s="21">
        <f t="shared" si="24"/>
        <v>1.0562183865695239E-2</v>
      </c>
      <c r="P57" s="24">
        <f t="shared" si="25"/>
        <v>1</v>
      </c>
      <c r="Q57" s="24">
        <f t="shared" si="26"/>
        <v>1.0562183865695239E-2</v>
      </c>
      <c r="R57" s="10">
        <v>1</v>
      </c>
      <c r="S57" s="10">
        <v>1</v>
      </c>
      <c r="T57" s="10">
        <v>256</v>
      </c>
      <c r="U57" s="18">
        <v>314049050</v>
      </c>
      <c r="V57" s="18">
        <v>511874811</v>
      </c>
    </row>
    <row r="58" spans="1:22" ht="15" customHeight="1">
      <c r="A58" s="119">
        <v>51</v>
      </c>
      <c r="B58" s="98" t="s">
        <v>212</v>
      </c>
      <c r="C58" s="99" t="s">
        <v>213</v>
      </c>
      <c r="D58" s="18">
        <v>11424142197.23</v>
      </c>
      <c r="E58" s="18">
        <v>204504852.38</v>
      </c>
      <c r="F58" s="18">
        <v>0</v>
      </c>
      <c r="G58" s="18">
        <v>15188905.08</v>
      </c>
      <c r="H58" s="12">
        <f t="shared" si="21"/>
        <v>189315947.29999998</v>
      </c>
      <c r="I58" s="49">
        <v>9899185780.6599998</v>
      </c>
      <c r="J58" s="13">
        <f t="shared" si="14"/>
        <v>3.9604805151236969E-3</v>
      </c>
      <c r="K58" s="49">
        <v>11409892249.75</v>
      </c>
      <c r="L58" s="13">
        <f t="shared" si="15"/>
        <v>4.1177077883489599E-3</v>
      </c>
      <c r="M58" s="13">
        <f t="shared" si="22"/>
        <v>0.15260916428515378</v>
      </c>
      <c r="N58" s="20">
        <f t="shared" si="23"/>
        <v>1.3312049533450066E-3</v>
      </c>
      <c r="O58" s="21">
        <f t="shared" si="24"/>
        <v>1.6592264252464614E-2</v>
      </c>
      <c r="P58" s="24">
        <f t="shared" si="25"/>
        <v>43.518776567227022</v>
      </c>
      <c r="Q58" s="24">
        <f t="shared" si="26"/>
        <v>0.7220750407473957</v>
      </c>
      <c r="R58" s="10">
        <v>100</v>
      </c>
      <c r="S58" s="10">
        <v>100</v>
      </c>
      <c r="T58" s="10">
        <v>113</v>
      </c>
      <c r="U58" s="18">
        <v>150000000</v>
      </c>
      <c r="V58" s="18">
        <v>262183203.43000001</v>
      </c>
    </row>
    <row r="59" spans="1:22" ht="15" customHeight="1">
      <c r="A59" s="119">
        <v>52</v>
      </c>
      <c r="B59" s="98" t="s">
        <v>214</v>
      </c>
      <c r="C59" s="99" t="s">
        <v>110</v>
      </c>
      <c r="D59" s="18">
        <v>50000000</v>
      </c>
      <c r="E59" s="18">
        <v>951948.42</v>
      </c>
      <c r="F59" s="18">
        <v>0</v>
      </c>
      <c r="G59" s="18">
        <v>57992.57</v>
      </c>
      <c r="H59" s="12">
        <f t="shared" si="21"/>
        <v>893955.85000000009</v>
      </c>
      <c r="I59" s="49">
        <v>52595835.259999998</v>
      </c>
      <c r="J59" s="13">
        <f t="shared" si="14"/>
        <v>2.1042617578796238E-5</v>
      </c>
      <c r="K59" s="49">
        <v>52596948.420000002</v>
      </c>
      <c r="L59" s="13">
        <f t="shared" si="15"/>
        <v>1.8981674796899853E-5</v>
      </c>
      <c r="M59" s="13">
        <f t="shared" si="22"/>
        <v>2.1164413389408628E-5</v>
      </c>
      <c r="N59" s="20">
        <f t="shared" si="23"/>
        <v>1.1025843084453224E-3</v>
      </c>
      <c r="O59" s="21">
        <f t="shared" si="24"/>
        <v>1.699634440503155E-2</v>
      </c>
      <c r="P59" s="24">
        <f t="shared" si="25"/>
        <v>1018.0382932352657</v>
      </c>
      <c r="Q59" s="24">
        <f t="shared" si="26"/>
        <v>17.302929449337078</v>
      </c>
      <c r="R59" s="10">
        <v>1000</v>
      </c>
      <c r="S59" s="10">
        <v>1000</v>
      </c>
      <c r="T59" s="10">
        <v>23</v>
      </c>
      <c r="U59" s="18">
        <v>51645</v>
      </c>
      <c r="V59" s="18">
        <v>51665</v>
      </c>
    </row>
    <row r="60" spans="1:22">
      <c r="A60" s="119">
        <v>53</v>
      </c>
      <c r="B60" s="19" t="s">
        <v>85</v>
      </c>
      <c r="C60" s="19" t="s">
        <v>46</v>
      </c>
      <c r="D60" s="18">
        <v>1324595348943.1001</v>
      </c>
      <c r="E60" s="18">
        <v>23322142220.470001</v>
      </c>
      <c r="F60" s="18">
        <v>0</v>
      </c>
      <c r="G60" s="18">
        <v>2007627228.8299999</v>
      </c>
      <c r="H60" s="12">
        <f t="shared" si="21"/>
        <v>21314514991.639999</v>
      </c>
      <c r="I60" s="49">
        <v>1189850824865.2</v>
      </c>
      <c r="J60" s="13">
        <f t="shared" si="14"/>
        <v>0.47603723298021566</v>
      </c>
      <c r="K60" s="49">
        <v>1323241307248.8899</v>
      </c>
      <c r="L60" s="13">
        <f t="shared" si="15"/>
        <v>0.47754360141684937</v>
      </c>
      <c r="M60" s="13">
        <f t="shared" si="22"/>
        <v>0.11210689575208048</v>
      </c>
      <c r="N60" s="20">
        <f t="shared" si="23"/>
        <v>1.5172041696642584E-3</v>
      </c>
      <c r="O60" s="21">
        <f t="shared" si="24"/>
        <v>1.6107806546603619E-2</v>
      </c>
      <c r="P60" s="24">
        <f t="shared" si="25"/>
        <v>1</v>
      </c>
      <c r="Q60" s="24">
        <f t="shared" si="26"/>
        <v>1.6107806546603619E-2</v>
      </c>
      <c r="R60" s="10">
        <v>100</v>
      </c>
      <c r="S60" s="10">
        <v>100</v>
      </c>
      <c r="T60" s="10">
        <v>177085</v>
      </c>
      <c r="U60" s="18">
        <v>1189850824865.2</v>
      </c>
      <c r="V60" s="18">
        <v>1323241307248.8899</v>
      </c>
    </row>
    <row r="61" spans="1:22">
      <c r="A61" s="119">
        <v>54</v>
      </c>
      <c r="B61" s="19" t="s">
        <v>292</v>
      </c>
      <c r="C61" s="19" t="s">
        <v>291</v>
      </c>
      <c r="D61" s="18">
        <v>1431796283.0799999</v>
      </c>
      <c r="E61" s="18">
        <v>116489862.12</v>
      </c>
      <c r="F61" s="18"/>
      <c r="G61" s="18">
        <v>10301060.720000001</v>
      </c>
      <c r="H61" s="12">
        <f t="shared" si="21"/>
        <v>106188801.40000001</v>
      </c>
      <c r="I61" s="49">
        <v>2754940914.7789998</v>
      </c>
      <c r="J61" s="13">
        <f t="shared" si="14"/>
        <v>1.1022007319648293E-3</v>
      </c>
      <c r="K61" s="49">
        <v>3224152980.5500002</v>
      </c>
      <c r="L61" s="13">
        <f t="shared" si="15"/>
        <v>1.1635622447819468E-3</v>
      </c>
      <c r="M61" s="13">
        <f t="shared" si="22"/>
        <v>0.17031656223692201</v>
      </c>
      <c r="N61" s="20">
        <f t="shared" si="23"/>
        <v>3.1949664864360031E-3</v>
      </c>
      <c r="O61" s="21">
        <f t="shared" si="24"/>
        <v>3.2935410335859908E-2</v>
      </c>
      <c r="P61" s="24">
        <f t="shared" si="25"/>
        <v>99.999999986042852</v>
      </c>
      <c r="Q61" s="24">
        <f t="shared" si="26"/>
        <v>3.2935410331263064</v>
      </c>
      <c r="R61" s="10">
        <v>100</v>
      </c>
      <c r="S61" s="10">
        <v>100</v>
      </c>
      <c r="T61" s="10">
        <v>509</v>
      </c>
      <c r="U61" s="18">
        <v>27549409.149999999</v>
      </c>
      <c r="V61" s="18">
        <v>32241529.809999999</v>
      </c>
    </row>
    <row r="62" spans="1:22">
      <c r="A62" s="119">
        <v>55</v>
      </c>
      <c r="B62" s="19" t="s">
        <v>86</v>
      </c>
      <c r="C62" s="19" t="s">
        <v>87</v>
      </c>
      <c r="D62" s="18">
        <v>4198808005.9400001</v>
      </c>
      <c r="E62" s="18">
        <v>84860230.489999995</v>
      </c>
      <c r="F62" s="18">
        <v>0</v>
      </c>
      <c r="G62" s="18">
        <v>6269242.4000000004</v>
      </c>
      <c r="H62" s="12">
        <f t="shared" si="21"/>
        <v>78590988.089999989</v>
      </c>
      <c r="I62" s="49">
        <v>4531727167.8599997</v>
      </c>
      <c r="J62" s="13">
        <f t="shared" si="14"/>
        <v>1.8130599370334885E-3</v>
      </c>
      <c r="K62" s="49">
        <v>4192445850.6900001</v>
      </c>
      <c r="L62" s="13">
        <f t="shared" si="15"/>
        <v>1.5130087606213586E-3</v>
      </c>
      <c r="M62" s="13">
        <f t="shared" si="22"/>
        <v>-7.4867992843050415E-2</v>
      </c>
      <c r="N62" s="20">
        <f t="shared" si="23"/>
        <v>1.4953663382362345E-3</v>
      </c>
      <c r="O62" s="21">
        <f t="shared" si="24"/>
        <v>1.8745856449658222E-2</v>
      </c>
      <c r="P62" s="24">
        <f t="shared" si="25"/>
        <v>1.0190899028334106</v>
      </c>
      <c r="Q62" s="24">
        <f t="shared" si="26"/>
        <v>1.9103713027811262E-2</v>
      </c>
      <c r="R62" s="10">
        <v>1</v>
      </c>
      <c r="S62" s="10">
        <v>1</v>
      </c>
      <c r="T62" s="10">
        <v>472</v>
      </c>
      <c r="U62" s="18">
        <v>4338443786.0699997</v>
      </c>
      <c r="V62" s="18">
        <v>4113911676.52</v>
      </c>
    </row>
    <row r="63" spans="1:22">
      <c r="A63" s="119">
        <v>56</v>
      </c>
      <c r="B63" s="19" t="s">
        <v>88</v>
      </c>
      <c r="C63" s="19" t="s">
        <v>50</v>
      </c>
      <c r="D63" s="18">
        <v>39710048996</v>
      </c>
      <c r="E63" s="18">
        <v>2251928450</v>
      </c>
      <c r="F63" s="18">
        <v>0</v>
      </c>
      <c r="G63" s="18">
        <v>189263286</v>
      </c>
      <c r="H63" s="12">
        <f t="shared" si="21"/>
        <v>2062665164</v>
      </c>
      <c r="I63" s="49">
        <v>116631764588</v>
      </c>
      <c r="J63" s="13">
        <f t="shared" si="14"/>
        <v>4.6662204481273097E-2</v>
      </c>
      <c r="K63" s="49">
        <v>131914547317</v>
      </c>
      <c r="L63" s="13">
        <f t="shared" si="15"/>
        <v>4.7606545880890319E-2</v>
      </c>
      <c r="M63" s="13">
        <f t="shared" si="22"/>
        <v>0.13103448089794581</v>
      </c>
      <c r="N63" s="20">
        <f t="shared" si="23"/>
        <v>1.4347415796772355E-3</v>
      </c>
      <c r="O63" s="21">
        <f t="shared" si="24"/>
        <v>1.5636373743096503E-2</v>
      </c>
      <c r="P63" s="24">
        <f t="shared" si="25"/>
        <v>1.0336628819386411</v>
      </c>
      <c r="Q63" s="24">
        <f t="shared" si="26"/>
        <v>1.6162739146358827E-2</v>
      </c>
      <c r="R63" s="10">
        <v>1</v>
      </c>
      <c r="S63" s="10">
        <v>1</v>
      </c>
      <c r="T63" s="10">
        <v>13100</v>
      </c>
      <c r="U63" s="18">
        <v>113084795680.12</v>
      </c>
      <c r="V63" s="18">
        <v>127618539489</v>
      </c>
    </row>
    <row r="64" spans="1:22">
      <c r="A64" s="119">
        <v>57</v>
      </c>
      <c r="B64" s="112" t="s">
        <v>89</v>
      </c>
      <c r="C64" s="19" t="s">
        <v>90</v>
      </c>
      <c r="D64" s="18">
        <v>952141453.95000005</v>
      </c>
      <c r="E64" s="18">
        <v>24874888.690000001</v>
      </c>
      <c r="F64" s="18">
        <v>0</v>
      </c>
      <c r="G64" s="18">
        <v>2238079.38</v>
      </c>
      <c r="H64" s="12">
        <f t="shared" si="21"/>
        <v>22636809.310000002</v>
      </c>
      <c r="I64" s="49">
        <v>1445679274.8399999</v>
      </c>
      <c r="J64" s="13">
        <f t="shared" si="14"/>
        <v>5.7838944797945172E-4</v>
      </c>
      <c r="K64" s="49">
        <v>1431048915.1700001</v>
      </c>
      <c r="L64" s="13">
        <f t="shared" si="15"/>
        <v>5.1645021131842424E-4</v>
      </c>
      <c r="M64" s="13">
        <f t="shared" si="22"/>
        <v>-1.0120059078538737E-2</v>
      </c>
      <c r="N64" s="20">
        <f t="shared" si="23"/>
        <v>1.5639433119825463E-3</v>
      </c>
      <c r="O64" s="21">
        <f t="shared" si="24"/>
        <v>1.5818333720137641E-2</v>
      </c>
      <c r="P64" s="24">
        <f t="shared" si="25"/>
        <v>1.0164314385554358</v>
      </c>
      <c r="Q64" s="24">
        <f t="shared" si="26"/>
        <v>1.607825169870946E-2</v>
      </c>
      <c r="R64" s="10">
        <v>1</v>
      </c>
      <c r="S64" s="10">
        <v>1</v>
      </c>
      <c r="T64" s="10">
        <v>153</v>
      </c>
      <c r="U64" s="18">
        <v>1350549660.76</v>
      </c>
      <c r="V64" s="18">
        <v>1407914848.8399999</v>
      </c>
    </row>
    <row r="65" spans="1:24">
      <c r="A65" s="119">
        <v>58</v>
      </c>
      <c r="B65" s="19" t="s">
        <v>91</v>
      </c>
      <c r="C65" s="19" t="s">
        <v>92</v>
      </c>
      <c r="D65" s="18">
        <v>4178546240.1700001</v>
      </c>
      <c r="E65" s="18">
        <v>68031307.409999996</v>
      </c>
      <c r="F65" s="18">
        <v>0</v>
      </c>
      <c r="G65" s="18">
        <v>5788447.4699999997</v>
      </c>
      <c r="H65" s="12">
        <f t="shared" si="21"/>
        <v>62242859.939999998</v>
      </c>
      <c r="I65" s="49">
        <v>4138759633.1799998</v>
      </c>
      <c r="J65" s="13">
        <f t="shared" si="14"/>
        <v>1.6558409193626663E-3</v>
      </c>
      <c r="K65" s="49">
        <v>4214856378.1700001</v>
      </c>
      <c r="L65" s="13">
        <f t="shared" si="15"/>
        <v>1.5210964797273323E-3</v>
      </c>
      <c r="M65" s="13">
        <f t="shared" si="22"/>
        <v>1.8386364934059148E-2</v>
      </c>
      <c r="N65" s="20">
        <f t="shared" si="23"/>
        <v>1.37334394120286E-3</v>
      </c>
      <c r="O65" s="21">
        <f t="shared" si="24"/>
        <v>1.4767492496867594E-2</v>
      </c>
      <c r="P65" s="24">
        <f t="shared" si="25"/>
        <v>1.0150490703651531</v>
      </c>
      <c r="Q65" s="24">
        <f t="shared" si="26"/>
        <v>1.4989729530569826E-2</v>
      </c>
      <c r="R65" s="10">
        <v>1</v>
      </c>
      <c r="S65" s="10">
        <v>1</v>
      </c>
      <c r="T65" s="10">
        <v>402</v>
      </c>
      <c r="U65" s="18">
        <v>3989676148.8000002</v>
      </c>
      <c r="V65" s="18">
        <v>4152367113.3000002</v>
      </c>
    </row>
    <row r="66" spans="1:24">
      <c r="A66" s="119">
        <v>59</v>
      </c>
      <c r="B66" s="19" t="s">
        <v>286</v>
      </c>
      <c r="C66" s="19" t="s">
        <v>287</v>
      </c>
      <c r="D66" s="18">
        <v>2756099528.3200002</v>
      </c>
      <c r="E66" s="18">
        <v>113392745.23</v>
      </c>
      <c r="F66" s="18"/>
      <c r="G66" s="18">
        <v>10455811.67</v>
      </c>
      <c r="H66" s="12">
        <f t="shared" si="21"/>
        <v>102936933.56</v>
      </c>
      <c r="I66" s="49">
        <v>5495751881.8500004</v>
      </c>
      <c r="J66" s="13">
        <f t="shared" si="14"/>
        <v>2.1987483340847195E-3</v>
      </c>
      <c r="K66" s="49">
        <v>6197980837.9700003</v>
      </c>
      <c r="L66" s="13">
        <f t="shared" si="15"/>
        <v>2.2367848363428564E-3</v>
      </c>
      <c r="M66" s="13">
        <f t="shared" si="22"/>
        <v>0.12777668483163271</v>
      </c>
      <c r="N66" s="20">
        <f t="shared" si="23"/>
        <v>1.6869706350083763E-3</v>
      </c>
      <c r="O66" s="21">
        <f t="shared" si="24"/>
        <v>1.660814001382336E-2</v>
      </c>
      <c r="P66" s="24">
        <f t="shared" si="25"/>
        <v>0.99884302627525789</v>
      </c>
      <c r="Q66" s="24">
        <f t="shared" si="26"/>
        <v>1.6588924832210528E-2</v>
      </c>
      <c r="R66" s="10">
        <v>1</v>
      </c>
      <c r="S66" s="10">
        <v>1</v>
      </c>
      <c r="T66" s="10">
        <v>3254</v>
      </c>
      <c r="U66" s="18">
        <v>5498519119.0299997</v>
      </c>
      <c r="V66" s="18">
        <v>6205160045.1000004</v>
      </c>
    </row>
    <row r="67" spans="1:24">
      <c r="A67" s="119">
        <v>60</v>
      </c>
      <c r="B67" s="19" t="s">
        <v>93</v>
      </c>
      <c r="C67" s="19" t="s">
        <v>94</v>
      </c>
      <c r="D67" s="18">
        <v>86911613952</v>
      </c>
      <c r="E67" s="18">
        <v>1530907387.5</v>
      </c>
      <c r="F67" s="18">
        <v>0</v>
      </c>
      <c r="G67" s="18">
        <v>99885116.180000007</v>
      </c>
      <c r="H67" s="12">
        <f t="shared" si="21"/>
        <v>1431022271.3199999</v>
      </c>
      <c r="I67" s="49">
        <v>83055913803.339996</v>
      </c>
      <c r="J67" s="13">
        <f t="shared" si="14"/>
        <v>3.3229129705452415E-2</v>
      </c>
      <c r="K67" s="49">
        <v>87419816152.279999</v>
      </c>
      <c r="L67" s="13">
        <f t="shared" si="15"/>
        <v>3.1548874428166902E-2</v>
      </c>
      <c r="M67" s="13">
        <f t="shared" si="22"/>
        <v>5.2541741449896769E-2</v>
      </c>
      <c r="N67" s="20">
        <f t="shared" si="23"/>
        <v>1.1425912404803759E-3</v>
      </c>
      <c r="O67" s="21">
        <f t="shared" si="24"/>
        <v>1.6369541075529674E-2</v>
      </c>
      <c r="P67" s="24">
        <f t="shared" si="25"/>
        <v>1.0162860627808676</v>
      </c>
      <c r="Q67" s="24">
        <f t="shared" si="26"/>
        <v>1.6636136449179741E-2</v>
      </c>
      <c r="R67" s="10">
        <v>1</v>
      </c>
      <c r="S67" s="10">
        <v>1</v>
      </c>
      <c r="T67" s="10">
        <v>5221</v>
      </c>
      <c r="U67" s="18">
        <v>79549263809.419998</v>
      </c>
      <c r="V67" s="18">
        <v>86018906835.220001</v>
      </c>
    </row>
    <row r="68" spans="1:24" ht="15" customHeight="1">
      <c r="A68" s="124" t="s">
        <v>51</v>
      </c>
      <c r="B68" s="124"/>
      <c r="C68" s="124"/>
      <c r="D68" s="124"/>
      <c r="E68" s="124"/>
      <c r="F68" s="124"/>
      <c r="G68" s="124"/>
      <c r="H68" s="124"/>
      <c r="I68" s="26">
        <f>SUM(I27:I67)</f>
        <v>2499491095299.7886</v>
      </c>
      <c r="J68" s="35">
        <f>(I68/$I$218)</f>
        <v>0.52050042609311575</v>
      </c>
      <c r="K68" s="37">
        <f>SUM(K27:K67)</f>
        <v>2770932964702.8989</v>
      </c>
      <c r="L68" s="35">
        <f>(K68/$K$218)</f>
        <v>0.50890911163738062</v>
      </c>
      <c r="M68" s="35">
        <f t="shared" si="16"/>
        <v>0.10859885434821029</v>
      </c>
      <c r="N68" s="20"/>
      <c r="O68" s="20"/>
      <c r="P68" s="38"/>
      <c r="Q68" s="38"/>
      <c r="R68" s="37"/>
      <c r="S68" s="37"/>
      <c r="T68" s="37">
        <f>SUM(T27:T67)</f>
        <v>395538</v>
      </c>
      <c r="U68" s="37"/>
      <c r="V68" s="37"/>
    </row>
    <row r="69" spans="1:24" ht="6.9" customHeight="1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5"/>
    </row>
    <row r="70" spans="1:24">
      <c r="A70" s="123" t="s">
        <v>95</v>
      </c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</row>
    <row r="71" spans="1:24">
      <c r="A71" s="94">
        <v>61</v>
      </c>
      <c r="B71" s="95" t="s">
        <v>96</v>
      </c>
      <c r="C71" s="95" t="s">
        <v>24</v>
      </c>
      <c r="D71" s="84">
        <v>515920199.45999998</v>
      </c>
      <c r="E71" s="84">
        <v>7977798.2999999998</v>
      </c>
      <c r="F71" s="84">
        <v>0</v>
      </c>
      <c r="G71" s="84">
        <v>743164.61</v>
      </c>
      <c r="H71" s="85">
        <f>(E71+F71)-G71</f>
        <v>7234633.6899999995</v>
      </c>
      <c r="I71" s="10">
        <v>549174732.63</v>
      </c>
      <c r="J71" s="86">
        <f t="shared" ref="J71:J107" si="28">(I71/$I$108)</f>
        <v>2.7916201413318311E-3</v>
      </c>
      <c r="K71" s="84">
        <v>520886370.52999997</v>
      </c>
      <c r="L71" s="86">
        <f t="shared" ref="L71:L107" si="29">(K71/$K$108)</f>
        <v>2.5411006411593037E-3</v>
      </c>
      <c r="M71" s="86">
        <f t="shared" ref="M71:M108" si="30">((K71-I71)/I71)</f>
        <v>-5.1510676692146679E-2</v>
      </c>
      <c r="N71" s="87">
        <f t="shared" ref="N71" si="31">(G71/K71)</f>
        <v>1.426730765183648E-3</v>
      </c>
      <c r="O71" s="88">
        <f t="shared" ref="O71" si="32">H71/K71</f>
        <v>1.388908233985617E-2</v>
      </c>
      <c r="P71" s="96">
        <f t="shared" ref="P71" si="33">K71/V71</f>
        <v>1.4784226585585596</v>
      </c>
      <c r="Q71" s="96">
        <f t="shared" ref="Q71" si="34">H71/V71</f>
        <v>2.0533934037828896E-2</v>
      </c>
      <c r="R71" s="84">
        <v>1.43</v>
      </c>
      <c r="S71" s="84">
        <v>1.43</v>
      </c>
      <c r="T71" s="89">
        <v>365</v>
      </c>
      <c r="U71" s="84">
        <v>369755765.56</v>
      </c>
      <c r="V71" s="84">
        <v>352325749.00999999</v>
      </c>
    </row>
    <row r="72" spans="1:24" ht="12.9" customHeight="1">
      <c r="A72" s="106">
        <v>62</v>
      </c>
      <c r="B72" s="19" t="s">
        <v>97</v>
      </c>
      <c r="C72" s="97" t="s">
        <v>26</v>
      </c>
      <c r="D72" s="10">
        <v>931617555.04999995</v>
      </c>
      <c r="E72" s="10">
        <v>16623440.050000001</v>
      </c>
      <c r="F72" s="10">
        <v>-1305117.82</v>
      </c>
      <c r="G72" s="10">
        <v>2958606.93</v>
      </c>
      <c r="H72" s="12">
        <f t="shared" ref="H72:H107" si="35">(E72+F72)-G72</f>
        <v>12359715.300000001</v>
      </c>
      <c r="I72" s="10">
        <v>1297235739</v>
      </c>
      <c r="J72" s="13">
        <f t="shared" si="28"/>
        <v>6.5942389587099791E-3</v>
      </c>
      <c r="K72" s="10">
        <v>1278634427</v>
      </c>
      <c r="L72" s="86">
        <f t="shared" si="29"/>
        <v>6.2377112285584898E-3</v>
      </c>
      <c r="M72" s="86">
        <f t="shared" ref="M72:M107" si="36">((K72-I72)/I72)</f>
        <v>-1.4339191745009425E-2</v>
      </c>
      <c r="N72" s="87">
        <f t="shared" ref="N72:N107" si="37">(G72/K72)</f>
        <v>2.3138802362311179E-3</v>
      </c>
      <c r="O72" s="88">
        <f t="shared" ref="O72:O107" si="38">H72/K72</f>
        <v>9.6663401508741021E-3</v>
      </c>
      <c r="P72" s="96">
        <f t="shared" ref="P72:P107" si="39">K72/V72</f>
        <v>1.2420110183304516</v>
      </c>
      <c r="Q72" s="96">
        <f t="shared" ref="Q72:Q107" si="40">H72/V72</f>
        <v>1.2005700974315674E-2</v>
      </c>
      <c r="R72" s="10">
        <v>1.242</v>
      </c>
      <c r="S72" s="10">
        <v>1.242</v>
      </c>
      <c r="T72" s="17">
        <v>953</v>
      </c>
      <c r="U72" s="10">
        <v>1054421651</v>
      </c>
      <c r="V72" s="10">
        <v>1029487185</v>
      </c>
    </row>
    <row r="73" spans="1:24" ht="15" customHeight="1">
      <c r="A73" s="94">
        <v>63</v>
      </c>
      <c r="B73" s="19" t="s">
        <v>98</v>
      </c>
      <c r="C73" s="19" t="s">
        <v>99</v>
      </c>
      <c r="D73" s="10">
        <v>616468404.13999999</v>
      </c>
      <c r="E73" s="10">
        <v>10031954.16</v>
      </c>
      <c r="F73" s="10">
        <v>0</v>
      </c>
      <c r="G73" s="10">
        <v>2272137.91</v>
      </c>
      <c r="H73" s="12">
        <f t="shared" si="35"/>
        <v>7759816.25</v>
      </c>
      <c r="I73" s="10">
        <v>792842850</v>
      </c>
      <c r="J73" s="13">
        <f t="shared" si="28"/>
        <v>4.0302583812830434E-3</v>
      </c>
      <c r="K73" s="10">
        <v>779109476</v>
      </c>
      <c r="L73" s="86">
        <f t="shared" si="29"/>
        <v>3.8008204879356978E-3</v>
      </c>
      <c r="M73" s="86">
        <f t="shared" si="36"/>
        <v>-1.7321684871093937E-2</v>
      </c>
      <c r="N73" s="87">
        <f t="shared" si="37"/>
        <v>2.9163268834378805E-3</v>
      </c>
      <c r="O73" s="88">
        <f t="shared" si="38"/>
        <v>9.9598535110103064E-3</v>
      </c>
      <c r="P73" s="96">
        <f t="shared" si="39"/>
        <v>1.1158621434986449</v>
      </c>
      <c r="Q73" s="96">
        <f t="shared" si="40"/>
        <v>1.1113823487728464E-2</v>
      </c>
      <c r="R73" s="10">
        <v>1.1158999999999999</v>
      </c>
      <c r="S73" s="10">
        <v>1.1158999999999999</v>
      </c>
      <c r="T73" s="17">
        <v>284</v>
      </c>
      <c r="U73" s="10">
        <v>717561896</v>
      </c>
      <c r="V73" s="10">
        <v>698213019</v>
      </c>
    </row>
    <row r="74" spans="1:24">
      <c r="A74" s="119">
        <v>64</v>
      </c>
      <c r="B74" s="19" t="s">
        <v>100</v>
      </c>
      <c r="C74" s="97" t="s">
        <v>101</v>
      </c>
      <c r="D74" s="10">
        <v>229994974.88</v>
      </c>
      <c r="E74" s="10">
        <v>3897875.87</v>
      </c>
      <c r="F74" s="10">
        <v>0</v>
      </c>
      <c r="G74" s="10">
        <v>441803.63</v>
      </c>
      <c r="H74" s="12">
        <f t="shared" si="35"/>
        <v>3456072.24</v>
      </c>
      <c r="I74" s="10">
        <v>278485521.95999998</v>
      </c>
      <c r="J74" s="13">
        <f t="shared" si="28"/>
        <v>1.4156255668387157E-3</v>
      </c>
      <c r="K74" s="10">
        <v>275278756.79000002</v>
      </c>
      <c r="L74" s="86">
        <f t="shared" si="29"/>
        <v>1.3429244168259868E-3</v>
      </c>
      <c r="M74" s="86">
        <f t="shared" si="36"/>
        <v>-1.1515015744554786E-2</v>
      </c>
      <c r="N74" s="87">
        <f t="shared" si="37"/>
        <v>1.6049317976869375E-3</v>
      </c>
      <c r="O74" s="88">
        <f t="shared" si="38"/>
        <v>1.2554809097152781E-2</v>
      </c>
      <c r="P74" s="96">
        <f t="shared" si="39"/>
        <v>1081.3479859763524</v>
      </c>
      <c r="Q74" s="96">
        <f t="shared" si="40"/>
        <v>13.576117531523748</v>
      </c>
      <c r="R74" s="10">
        <v>1081.3499999999999</v>
      </c>
      <c r="S74" s="10">
        <v>1081.3499999999999</v>
      </c>
      <c r="T74" s="17">
        <v>109</v>
      </c>
      <c r="U74" s="10">
        <v>250570</v>
      </c>
      <c r="V74" s="10">
        <v>254570</v>
      </c>
    </row>
    <row r="75" spans="1:24">
      <c r="A75" s="94">
        <v>65</v>
      </c>
      <c r="B75" s="19" t="s">
        <v>102</v>
      </c>
      <c r="C75" s="97" t="s">
        <v>103</v>
      </c>
      <c r="D75" s="10">
        <v>1588735781.78</v>
      </c>
      <c r="E75" s="10">
        <v>28448407.329999998</v>
      </c>
      <c r="F75" s="10">
        <v>0</v>
      </c>
      <c r="G75" s="10">
        <v>2264774.27</v>
      </c>
      <c r="H75" s="12">
        <f t="shared" si="35"/>
        <v>26183633.059999999</v>
      </c>
      <c r="I75" s="10">
        <v>1618942596.27</v>
      </c>
      <c r="J75" s="13">
        <f t="shared" si="28"/>
        <v>8.2295715568769991E-3</v>
      </c>
      <c r="K75" s="10">
        <v>1589159372.26</v>
      </c>
      <c r="L75" s="86">
        <f t="shared" si="29"/>
        <v>7.7525812311912377E-3</v>
      </c>
      <c r="M75" s="86">
        <f t="shared" si="36"/>
        <v>-1.8396714051887777E-2</v>
      </c>
      <c r="N75" s="87">
        <f t="shared" si="37"/>
        <v>1.4251398000309963E-3</v>
      </c>
      <c r="O75" s="88">
        <f t="shared" si="38"/>
        <v>1.6476404769122259E-2</v>
      </c>
      <c r="P75" s="96">
        <f t="shared" si="39"/>
        <v>1.0782094463677718</v>
      </c>
      <c r="Q75" s="96">
        <f t="shared" si="40"/>
        <v>1.7765015264246627E-2</v>
      </c>
      <c r="R75" s="10">
        <v>1.0943000000000001</v>
      </c>
      <c r="S75" s="10">
        <v>1.0943000000000001</v>
      </c>
      <c r="T75" s="17">
        <v>890</v>
      </c>
      <c r="U75" s="10">
        <v>1507360862.7</v>
      </c>
      <c r="V75" s="10">
        <v>1473887450.73</v>
      </c>
    </row>
    <row r="76" spans="1:24">
      <c r="A76" s="119">
        <v>66</v>
      </c>
      <c r="B76" s="19" t="s">
        <v>104</v>
      </c>
      <c r="C76" s="19" t="s">
        <v>105</v>
      </c>
      <c r="D76" s="10">
        <v>455913432.63999999</v>
      </c>
      <c r="E76" s="10">
        <v>6084045.9500000002</v>
      </c>
      <c r="F76" s="10">
        <v>0</v>
      </c>
      <c r="G76" s="10">
        <v>843426.3</v>
      </c>
      <c r="H76" s="12">
        <f t="shared" si="35"/>
        <v>5240619.6500000004</v>
      </c>
      <c r="I76" s="10">
        <v>443614164.31999999</v>
      </c>
      <c r="J76" s="13">
        <f t="shared" si="28"/>
        <v>2.2550240615861685E-3</v>
      </c>
      <c r="K76" s="10">
        <v>449462783.95999998</v>
      </c>
      <c r="L76" s="86">
        <f t="shared" si="29"/>
        <v>2.192666641163769E-3</v>
      </c>
      <c r="M76" s="86">
        <f t="shared" si="36"/>
        <v>1.3184023663818585E-2</v>
      </c>
      <c r="N76" s="87">
        <f t="shared" si="37"/>
        <v>1.8765208824832558E-3</v>
      </c>
      <c r="O76" s="88">
        <f t="shared" si="38"/>
        <v>1.1659740999749582E-2</v>
      </c>
      <c r="P76" s="96">
        <f t="shared" si="39"/>
        <v>2.5765351883355505</v>
      </c>
      <c r="Q76" s="96">
        <f t="shared" si="40"/>
        <v>3.0041732972733527E-2</v>
      </c>
      <c r="R76" s="10">
        <v>2.5769000000000002</v>
      </c>
      <c r="S76" s="10">
        <v>2.5769000000000002</v>
      </c>
      <c r="T76" s="17">
        <v>1391</v>
      </c>
      <c r="U76" s="10">
        <v>174206521.88999999</v>
      </c>
      <c r="V76" s="10">
        <v>174444651.87</v>
      </c>
    </row>
    <row r="77" spans="1:24">
      <c r="A77" s="94">
        <v>67</v>
      </c>
      <c r="B77" s="98" t="s">
        <v>247</v>
      </c>
      <c r="C77" s="99" t="s">
        <v>216</v>
      </c>
      <c r="D77" s="10">
        <v>155436053.91</v>
      </c>
      <c r="E77" s="10">
        <v>5680195.1100000003</v>
      </c>
      <c r="F77" s="10">
        <v>0</v>
      </c>
      <c r="G77" s="10">
        <v>358336.21</v>
      </c>
      <c r="H77" s="12">
        <f t="shared" si="35"/>
        <v>5321858.9000000004</v>
      </c>
      <c r="I77" s="10">
        <v>153943187.21000001</v>
      </c>
      <c r="J77" s="13">
        <f t="shared" si="28"/>
        <v>7.8253946604239051E-4</v>
      </c>
      <c r="K77" s="10">
        <v>154038504.84999999</v>
      </c>
      <c r="L77" s="86">
        <f t="shared" si="29"/>
        <v>7.5146397675807791E-4</v>
      </c>
      <c r="M77" s="86">
        <f t="shared" si="36"/>
        <v>6.1917413642968895E-4</v>
      </c>
      <c r="N77" s="87">
        <f t="shared" si="37"/>
        <v>2.3262768640148874E-3</v>
      </c>
      <c r="O77" s="88">
        <f t="shared" si="38"/>
        <v>3.454888701485602E-2</v>
      </c>
      <c r="P77" s="96">
        <f t="shared" si="39"/>
        <v>11.873508282101</v>
      </c>
      <c r="Q77" s="96">
        <f t="shared" si="40"/>
        <v>0.41021649610826461</v>
      </c>
      <c r="R77" s="10">
        <v>11.87</v>
      </c>
      <c r="S77" s="10">
        <v>11.97</v>
      </c>
      <c r="T77" s="17">
        <v>29</v>
      </c>
      <c r="U77" s="10">
        <v>12993525.18</v>
      </c>
      <c r="V77" s="10">
        <v>12973293.25</v>
      </c>
    </row>
    <row r="78" spans="1:24">
      <c r="A78" s="119">
        <v>68</v>
      </c>
      <c r="B78" s="97" t="s">
        <v>106</v>
      </c>
      <c r="C78" s="19" t="s">
        <v>60</v>
      </c>
      <c r="D78" s="10">
        <v>2083870277.3099999</v>
      </c>
      <c r="E78" s="10">
        <v>21445304.579999998</v>
      </c>
      <c r="F78" s="10">
        <v>0</v>
      </c>
      <c r="G78" s="10">
        <v>3700545.02</v>
      </c>
      <c r="H78" s="12">
        <f t="shared" si="35"/>
        <v>17744759.559999999</v>
      </c>
      <c r="I78" s="10">
        <v>2046162947.45</v>
      </c>
      <c r="J78" s="13">
        <f t="shared" si="28"/>
        <v>1.0401260941473053E-2</v>
      </c>
      <c r="K78" s="10">
        <v>2017460553.1700001</v>
      </c>
      <c r="L78" s="86">
        <f t="shared" si="29"/>
        <v>9.8420127598225007E-3</v>
      </c>
      <c r="M78" s="86">
        <f t="shared" si="36"/>
        <v>-1.4027423532309536E-2</v>
      </c>
      <c r="N78" s="87">
        <f t="shared" si="37"/>
        <v>1.8342589222799916E-3</v>
      </c>
      <c r="O78" s="88">
        <f t="shared" si="38"/>
        <v>8.7955918305901801E-3</v>
      </c>
      <c r="P78" s="96">
        <f t="shared" si="39"/>
        <v>4557.6238670496941</v>
      </c>
      <c r="Q78" s="96">
        <f t="shared" si="40"/>
        <v>40.086999251925114</v>
      </c>
      <c r="R78" s="10">
        <v>4557.62</v>
      </c>
      <c r="S78" s="10">
        <v>4557.62</v>
      </c>
      <c r="T78" s="17">
        <v>1098</v>
      </c>
      <c r="U78" s="10">
        <v>452853.23</v>
      </c>
      <c r="V78" s="10">
        <v>442656.22</v>
      </c>
    </row>
    <row r="79" spans="1:24">
      <c r="A79" s="94">
        <v>69</v>
      </c>
      <c r="B79" s="19" t="s">
        <v>107</v>
      </c>
      <c r="C79" s="19" t="s">
        <v>62</v>
      </c>
      <c r="D79" s="10">
        <v>309786719.06999999</v>
      </c>
      <c r="E79" s="10">
        <v>4051722.61</v>
      </c>
      <c r="F79" s="10">
        <v>0</v>
      </c>
      <c r="G79" s="10">
        <v>672727.93</v>
      </c>
      <c r="H79" s="12">
        <f t="shared" si="35"/>
        <v>3378994.6799999997</v>
      </c>
      <c r="I79" s="10">
        <v>335738368.06999999</v>
      </c>
      <c r="J79" s="13">
        <f t="shared" si="28"/>
        <v>1.7066589827131678E-3</v>
      </c>
      <c r="K79" s="10">
        <v>335073715.37</v>
      </c>
      <c r="L79" s="86">
        <f t="shared" si="29"/>
        <v>1.6346291266864665E-3</v>
      </c>
      <c r="M79" s="86">
        <f t="shared" si="36"/>
        <v>-1.9796745418784274E-3</v>
      </c>
      <c r="N79" s="87">
        <f t="shared" si="37"/>
        <v>2.0077012882289218E-3</v>
      </c>
      <c r="O79" s="88">
        <f t="shared" si="38"/>
        <v>1.0084332267807986E-2</v>
      </c>
      <c r="P79" s="96">
        <f t="shared" si="39"/>
        <v>114.98888983948338</v>
      </c>
      <c r="Q79" s="96">
        <f t="shared" si="40"/>
        <v>1.1595861722477201</v>
      </c>
      <c r="R79" s="10">
        <v>114.72</v>
      </c>
      <c r="S79" s="10">
        <v>114.72</v>
      </c>
      <c r="T79" s="17">
        <v>90</v>
      </c>
      <c r="U79" s="10">
        <v>2951807</v>
      </c>
      <c r="V79" s="10">
        <v>2913966</v>
      </c>
      <c r="W79" s="15"/>
      <c r="X79" s="15"/>
    </row>
    <row r="80" spans="1:24">
      <c r="A80" s="119">
        <v>70</v>
      </c>
      <c r="B80" s="97" t="s">
        <v>108</v>
      </c>
      <c r="C80" s="97" t="s">
        <v>64</v>
      </c>
      <c r="D80" s="10">
        <v>343385543.10000002</v>
      </c>
      <c r="E80" s="10">
        <v>6250859.1500000004</v>
      </c>
      <c r="F80" s="10">
        <v>-2005195.76</v>
      </c>
      <c r="G80" s="10">
        <v>729864.18</v>
      </c>
      <c r="H80" s="12">
        <f t="shared" si="35"/>
        <v>3515799.2100000004</v>
      </c>
      <c r="I80" s="10">
        <v>328642337.44999999</v>
      </c>
      <c r="J80" s="13">
        <f t="shared" si="28"/>
        <v>1.670587727381678E-3</v>
      </c>
      <c r="K80" s="10">
        <v>364144101.72000003</v>
      </c>
      <c r="L80" s="86">
        <f t="shared" si="29"/>
        <v>1.7764465778084271E-3</v>
      </c>
      <c r="M80" s="86">
        <f t="shared" si="36"/>
        <v>0.10802553482751236</v>
      </c>
      <c r="N80" s="87">
        <f t="shared" si="37"/>
        <v>2.004327892591301E-3</v>
      </c>
      <c r="O80" s="88">
        <f t="shared" si="38"/>
        <v>9.6549667930730092E-3</v>
      </c>
      <c r="P80" s="96">
        <f t="shared" si="39"/>
        <v>1.4118019075033847</v>
      </c>
      <c r="Q80" s="96">
        <f t="shared" si="40"/>
        <v>1.3630900535342312E-2</v>
      </c>
      <c r="R80" s="10">
        <v>1.4005000000000001</v>
      </c>
      <c r="S80" s="10">
        <v>1.4005000000000001</v>
      </c>
      <c r="T80" s="17">
        <v>262</v>
      </c>
      <c r="U80" s="10">
        <v>257888396.88999999</v>
      </c>
      <c r="V80" s="10">
        <v>257928608.66999999</v>
      </c>
    </row>
    <row r="81" spans="1:22">
      <c r="A81" s="94">
        <v>71</v>
      </c>
      <c r="B81" s="98" t="s">
        <v>259</v>
      </c>
      <c r="C81" s="99" t="s">
        <v>64</v>
      </c>
      <c r="D81" s="16">
        <v>20673306.32</v>
      </c>
      <c r="E81" s="10">
        <v>301071.90999999997</v>
      </c>
      <c r="F81" s="10">
        <v>0</v>
      </c>
      <c r="G81" s="10">
        <v>363901.81</v>
      </c>
      <c r="H81" s="12">
        <f t="shared" si="35"/>
        <v>-62829.900000000023</v>
      </c>
      <c r="I81" s="10">
        <v>22261252.260000002</v>
      </c>
      <c r="J81" s="13">
        <f t="shared" si="28"/>
        <v>1.1316063265087286E-4</v>
      </c>
      <c r="K81" s="10">
        <v>22201901.949999999</v>
      </c>
      <c r="L81" s="86">
        <f t="shared" si="29"/>
        <v>1.0831012380434648E-4</v>
      </c>
      <c r="M81" s="86">
        <f t="shared" si="36"/>
        <v>-2.6660813734475141E-3</v>
      </c>
      <c r="N81" s="87">
        <f t="shared" si="37"/>
        <v>1.6390569187249293E-2</v>
      </c>
      <c r="O81" s="88">
        <f t="shared" si="38"/>
        <v>-2.8299332256081795E-3</v>
      </c>
      <c r="P81" s="96">
        <f t="shared" si="39"/>
        <v>0.88609721132709252</v>
      </c>
      <c r="Q81" s="96">
        <f t="shared" si="40"/>
        <v>-2.5075959394532917E-3</v>
      </c>
      <c r="R81" s="17">
        <v>0.89559999999999995</v>
      </c>
      <c r="S81" s="18">
        <v>0.89559999999999995</v>
      </c>
      <c r="T81" s="17">
        <v>1</v>
      </c>
      <c r="U81" s="10">
        <v>25055830.969999999</v>
      </c>
      <c r="V81" s="10">
        <v>25055830.969999999</v>
      </c>
    </row>
    <row r="82" spans="1:22">
      <c r="A82" s="119">
        <v>72</v>
      </c>
      <c r="B82" s="19" t="s">
        <v>241</v>
      </c>
      <c r="C82" s="19" t="s">
        <v>48</v>
      </c>
      <c r="D82" s="10">
        <v>111716450</v>
      </c>
      <c r="E82" s="10">
        <v>635440.19999999995</v>
      </c>
      <c r="F82" s="10">
        <v>0</v>
      </c>
      <c r="G82" s="10">
        <v>146708.09</v>
      </c>
      <c r="H82" s="12">
        <f t="shared" si="35"/>
        <v>488732.11</v>
      </c>
      <c r="I82" s="10">
        <v>133469504.06</v>
      </c>
      <c r="J82" s="13">
        <f t="shared" si="28"/>
        <v>6.7846558417409728E-4</v>
      </c>
      <c r="K82" s="10">
        <v>140055251.77000001</v>
      </c>
      <c r="L82" s="86">
        <f t="shared" si="29"/>
        <v>6.8324784483869943E-4</v>
      </c>
      <c r="M82" s="86">
        <f t="shared" si="36"/>
        <v>4.9342715074744303E-2</v>
      </c>
      <c r="N82" s="87">
        <f t="shared" si="37"/>
        <v>1.0475015263328028E-3</v>
      </c>
      <c r="O82" s="88">
        <f t="shared" si="38"/>
        <v>3.489566466258618E-3</v>
      </c>
      <c r="P82" s="96">
        <f t="shared" si="39"/>
        <v>131.10406656178611</v>
      </c>
      <c r="Q82" s="96">
        <f t="shared" si="40"/>
        <v>0.45749635426414664</v>
      </c>
      <c r="R82" s="10">
        <v>131.10409999999999</v>
      </c>
      <c r="S82" s="10">
        <v>131.10409999999999</v>
      </c>
      <c r="T82" s="17">
        <v>36</v>
      </c>
      <c r="U82" s="10">
        <v>985820.8</v>
      </c>
      <c r="V82" s="10">
        <v>1068275.42</v>
      </c>
    </row>
    <row r="83" spans="1:22">
      <c r="A83" s="94">
        <v>73</v>
      </c>
      <c r="B83" s="19" t="s">
        <v>109</v>
      </c>
      <c r="C83" s="19" t="s">
        <v>110</v>
      </c>
      <c r="D83" s="10">
        <v>1345751068.49</v>
      </c>
      <c r="E83" s="10">
        <v>21267526</v>
      </c>
      <c r="F83" s="10">
        <v>0</v>
      </c>
      <c r="G83" s="10">
        <v>2553682.19</v>
      </c>
      <c r="H83" s="12">
        <f t="shared" si="35"/>
        <v>18713843.809999999</v>
      </c>
      <c r="I83" s="10">
        <v>1618641578.4200001</v>
      </c>
      <c r="J83" s="13">
        <f t="shared" si="28"/>
        <v>8.2280413927178879E-3</v>
      </c>
      <c r="K83" s="10">
        <v>1632530812.3</v>
      </c>
      <c r="L83" s="86">
        <f t="shared" si="29"/>
        <v>7.9641651779577983E-3</v>
      </c>
      <c r="M83" s="86">
        <f t="shared" si="36"/>
        <v>8.580796431509892E-3</v>
      </c>
      <c r="N83" s="87">
        <f t="shared" si="37"/>
        <v>1.5642474682620114E-3</v>
      </c>
      <c r="O83" s="88">
        <f t="shared" si="38"/>
        <v>1.1463087660584426E-2</v>
      </c>
      <c r="P83" s="96">
        <f t="shared" si="39"/>
        <v>1059.9665640588621</v>
      </c>
      <c r="Q83" s="96">
        <f t="shared" si="40"/>
        <v>12.150489641095213</v>
      </c>
      <c r="R83" s="10">
        <v>1000</v>
      </c>
      <c r="S83" s="10">
        <v>1000</v>
      </c>
      <c r="T83" s="17">
        <v>357</v>
      </c>
      <c r="U83" s="10">
        <v>1526336.99</v>
      </c>
      <c r="V83" s="10">
        <v>1540171.99</v>
      </c>
    </row>
    <row r="84" spans="1:22">
      <c r="A84" s="119">
        <v>74</v>
      </c>
      <c r="B84" s="19" t="s">
        <v>111</v>
      </c>
      <c r="C84" s="19" t="s">
        <v>66</v>
      </c>
      <c r="D84" s="10">
        <v>160970804.58000001</v>
      </c>
      <c r="E84" s="10">
        <v>1959430.8</v>
      </c>
      <c r="F84" s="10">
        <v>0</v>
      </c>
      <c r="G84" s="10">
        <v>562826.13</v>
      </c>
      <c r="H84" s="12">
        <f t="shared" si="35"/>
        <v>1396604.67</v>
      </c>
      <c r="I84" s="10">
        <v>174570001.56</v>
      </c>
      <c r="J84" s="13">
        <f t="shared" si="28"/>
        <v>8.8739175980181181E-4</v>
      </c>
      <c r="K84" s="10">
        <v>176466265.91</v>
      </c>
      <c r="L84" s="86">
        <f t="shared" si="29"/>
        <v>8.6087593536115169E-4</v>
      </c>
      <c r="M84" s="86">
        <f t="shared" si="36"/>
        <v>1.0862486870908602E-2</v>
      </c>
      <c r="N84" s="87">
        <f t="shared" si="37"/>
        <v>3.1894261891791168E-3</v>
      </c>
      <c r="O84" s="88">
        <f t="shared" si="38"/>
        <v>7.9142869760290939E-3</v>
      </c>
      <c r="P84" s="96">
        <f t="shared" si="39"/>
        <v>1061.3299286698061</v>
      </c>
      <c r="Q84" s="96">
        <f t="shared" si="40"/>
        <v>8.3996696317413342</v>
      </c>
      <c r="R84" s="10">
        <v>1051.42</v>
      </c>
      <c r="S84" s="10">
        <v>1061.33</v>
      </c>
      <c r="T84" s="17">
        <v>281</v>
      </c>
      <c r="U84" s="10">
        <v>166033</v>
      </c>
      <c r="V84" s="10">
        <v>166269</v>
      </c>
    </row>
    <row r="85" spans="1:22">
      <c r="A85" s="94">
        <v>75</v>
      </c>
      <c r="B85" s="19" t="s">
        <v>112</v>
      </c>
      <c r="C85" s="97" t="s">
        <v>69</v>
      </c>
      <c r="D85" s="10">
        <v>674066839.98000002</v>
      </c>
      <c r="E85" s="10">
        <v>6862913.3399999999</v>
      </c>
      <c r="F85" s="10">
        <v>0</v>
      </c>
      <c r="G85" s="10">
        <v>1118543.6599999999</v>
      </c>
      <c r="H85" s="12">
        <f t="shared" si="35"/>
        <v>5744369.6799999997</v>
      </c>
      <c r="I85" s="10">
        <v>661198783.96000004</v>
      </c>
      <c r="J85" s="13">
        <f t="shared" si="28"/>
        <v>3.3610720469371027E-3</v>
      </c>
      <c r="K85" s="10">
        <v>665041265.34000003</v>
      </c>
      <c r="L85" s="86">
        <f t="shared" si="29"/>
        <v>3.2443482520638123E-3</v>
      </c>
      <c r="M85" s="86">
        <f t="shared" si="36"/>
        <v>5.8113860358104509E-3</v>
      </c>
      <c r="N85" s="87">
        <f t="shared" si="37"/>
        <v>1.681916173168816E-3</v>
      </c>
      <c r="O85" s="88">
        <f t="shared" si="38"/>
        <v>8.6376139036473329E-3</v>
      </c>
      <c r="P85" s="96">
        <f t="shared" si="39"/>
        <v>1.1971472086627433</v>
      </c>
      <c r="Q85" s="96">
        <f t="shared" si="40"/>
        <v>1.0340495374257908E-2</v>
      </c>
      <c r="R85" s="10">
        <v>1.1884999999999999</v>
      </c>
      <c r="S85" s="10">
        <v>1.1884999999999999</v>
      </c>
      <c r="T85" s="17">
        <v>48</v>
      </c>
      <c r="U85" s="10">
        <v>555606277.88</v>
      </c>
      <c r="V85" s="10">
        <v>555521710.72000003</v>
      </c>
    </row>
    <row r="86" spans="1:22">
      <c r="A86" s="119">
        <v>76</v>
      </c>
      <c r="B86" s="19" t="s">
        <v>248</v>
      </c>
      <c r="C86" s="19" t="s">
        <v>30</v>
      </c>
      <c r="D86" s="10">
        <v>12625558925.4</v>
      </c>
      <c r="E86" s="10">
        <v>119780064.67</v>
      </c>
      <c r="F86" s="10">
        <v>0</v>
      </c>
      <c r="G86" s="10">
        <v>14396232.890000001</v>
      </c>
      <c r="H86" s="12">
        <f t="shared" si="35"/>
        <v>105383831.78</v>
      </c>
      <c r="I86" s="10">
        <v>12403953866</v>
      </c>
      <c r="J86" s="13">
        <f t="shared" si="28"/>
        <v>6.3053023722790341E-2</v>
      </c>
      <c r="K86" s="10">
        <v>12306314002.860001</v>
      </c>
      <c r="L86" s="86">
        <f t="shared" si="29"/>
        <v>6.0035324731489023E-2</v>
      </c>
      <c r="M86" s="86">
        <f t="shared" si="36"/>
        <v>-7.8716725485118311E-3</v>
      </c>
      <c r="N86" s="87">
        <f t="shared" si="37"/>
        <v>1.1698249278097651E-3</v>
      </c>
      <c r="O86" s="88">
        <f t="shared" si="38"/>
        <v>8.5633953233688557E-3</v>
      </c>
      <c r="P86" s="96">
        <f t="shared" si="39"/>
        <v>1710.5902065429789</v>
      </c>
      <c r="Q86" s="96">
        <f t="shared" si="40"/>
        <v>14.64846017491071</v>
      </c>
      <c r="R86" s="10">
        <v>1710.59</v>
      </c>
      <c r="S86" s="10">
        <v>1710.59</v>
      </c>
      <c r="T86" s="17">
        <v>2103</v>
      </c>
      <c r="U86" s="10">
        <v>7279516.7000000002</v>
      </c>
      <c r="V86" s="10">
        <v>7194191.7800000003</v>
      </c>
    </row>
    <row r="87" spans="1:22" ht="14.4" customHeight="1">
      <c r="A87" s="94">
        <v>77</v>
      </c>
      <c r="B87" s="19" t="s">
        <v>113</v>
      </c>
      <c r="C87" s="19" t="s">
        <v>75</v>
      </c>
      <c r="D87" s="10">
        <v>23448172.890000001</v>
      </c>
      <c r="E87" s="10">
        <v>291443.20000000001</v>
      </c>
      <c r="F87" s="10">
        <v>0</v>
      </c>
      <c r="G87" s="10">
        <v>249601.49</v>
      </c>
      <c r="H87" s="12">
        <f t="shared" si="35"/>
        <v>41841.710000000021</v>
      </c>
      <c r="I87" s="10">
        <v>23293182.989999998</v>
      </c>
      <c r="J87" s="13">
        <f t="shared" si="28"/>
        <v>1.184062465496247E-4</v>
      </c>
      <c r="K87" s="10">
        <v>23343477.219999999</v>
      </c>
      <c r="L87" s="86">
        <f t="shared" si="29"/>
        <v>1.1387920338609286E-4</v>
      </c>
      <c r="M87" s="86">
        <f t="shared" si="36"/>
        <v>2.1591823677164375E-3</v>
      </c>
      <c r="N87" s="87">
        <f t="shared" si="37"/>
        <v>1.0692558252895968E-2</v>
      </c>
      <c r="O87" s="88">
        <f t="shared" si="38"/>
        <v>1.7924369024230583E-3</v>
      </c>
      <c r="P87" s="96">
        <f t="shared" si="39"/>
        <v>0.71199470033981682</v>
      </c>
      <c r="Q87" s="96">
        <f t="shared" si="40"/>
        <v>1.2762055752187349E-3</v>
      </c>
      <c r="R87" s="10">
        <v>0.71199999999999997</v>
      </c>
      <c r="S87" s="10">
        <v>0.71199999999999997</v>
      </c>
      <c r="T87" s="17">
        <v>730</v>
      </c>
      <c r="U87" s="10">
        <v>32786026.649999999</v>
      </c>
      <c r="V87" s="10">
        <v>32786026.649999999</v>
      </c>
    </row>
    <row r="88" spans="1:22" ht="14.4" customHeight="1">
      <c r="A88" s="119">
        <v>78</v>
      </c>
      <c r="B88" s="19" t="s">
        <v>242</v>
      </c>
      <c r="C88" s="97" t="s">
        <v>36</v>
      </c>
      <c r="D88" s="10">
        <v>11076722967.85</v>
      </c>
      <c r="E88" s="10">
        <v>94671931.180000007</v>
      </c>
      <c r="F88" s="10">
        <v>0</v>
      </c>
      <c r="G88" s="10">
        <v>3152527.35</v>
      </c>
      <c r="H88" s="12">
        <f t="shared" si="35"/>
        <v>91519403.830000013</v>
      </c>
      <c r="I88" s="10">
        <v>9758644393.0400009</v>
      </c>
      <c r="J88" s="13">
        <f t="shared" si="28"/>
        <v>4.9606121004951036E-2</v>
      </c>
      <c r="K88" s="10">
        <v>9750002617.8299999</v>
      </c>
      <c r="L88" s="86">
        <f t="shared" si="29"/>
        <v>4.7564573206750407E-2</v>
      </c>
      <c r="M88" s="86">
        <f t="shared" si="36"/>
        <v>-8.8555078573868563E-4</v>
      </c>
      <c r="N88" s="87">
        <f t="shared" si="37"/>
        <v>3.2333605164730093E-4</v>
      </c>
      <c r="O88" s="88">
        <f t="shared" si="38"/>
        <v>9.3866030007660594E-3</v>
      </c>
      <c r="P88" s="96">
        <f t="shared" si="39"/>
        <v>1</v>
      </c>
      <c r="Q88" s="96">
        <f t="shared" si="40"/>
        <v>9.3866030007660594E-3</v>
      </c>
      <c r="R88" s="10">
        <v>1</v>
      </c>
      <c r="S88" s="10">
        <v>1</v>
      </c>
      <c r="T88" s="17">
        <v>4274</v>
      </c>
      <c r="U88" s="10">
        <v>9758644393.0400009</v>
      </c>
      <c r="V88" s="10">
        <v>9750002617.8299999</v>
      </c>
    </row>
    <row r="89" spans="1:22">
      <c r="A89" s="94">
        <v>79</v>
      </c>
      <c r="B89" s="97" t="s">
        <v>114</v>
      </c>
      <c r="C89" s="97" t="s">
        <v>115</v>
      </c>
      <c r="D89" s="10">
        <v>1617698030.55</v>
      </c>
      <c r="E89" s="10">
        <v>34222455.939999998</v>
      </c>
      <c r="F89" s="10">
        <v>0</v>
      </c>
      <c r="G89" s="10">
        <v>2471022.15</v>
      </c>
      <c r="H89" s="12">
        <f t="shared" si="35"/>
        <v>31751433.789999999</v>
      </c>
      <c r="I89" s="10">
        <v>1586027595.2</v>
      </c>
      <c r="J89" s="13">
        <f t="shared" si="28"/>
        <v>8.0622547185750498E-3</v>
      </c>
      <c r="K89" s="10">
        <v>1608637436.0699999</v>
      </c>
      <c r="L89" s="86">
        <f t="shared" si="29"/>
        <v>7.8476033381927532E-3</v>
      </c>
      <c r="M89" s="86">
        <f t="shared" si="36"/>
        <v>1.4255641540176832E-2</v>
      </c>
      <c r="N89" s="87">
        <f t="shared" si="37"/>
        <v>1.5360963847993361E-3</v>
      </c>
      <c r="O89" s="88">
        <f t="shared" si="38"/>
        <v>1.9738092051103013E-2</v>
      </c>
      <c r="P89" s="96">
        <f t="shared" si="39"/>
        <v>352.93897254975593</v>
      </c>
      <c r="Q89" s="96">
        <f t="shared" si="40"/>
        <v>6.9663419286088031</v>
      </c>
      <c r="R89" s="10">
        <v>253.3021</v>
      </c>
      <c r="S89" s="10">
        <v>254.72880000000001</v>
      </c>
      <c r="T89" s="17">
        <v>520</v>
      </c>
      <c r="U89" s="10">
        <v>4576308.43</v>
      </c>
      <c r="V89" s="10">
        <v>4557834.53</v>
      </c>
    </row>
    <row r="90" spans="1:22">
      <c r="A90" s="119">
        <v>80</v>
      </c>
      <c r="B90" s="19" t="s">
        <v>116</v>
      </c>
      <c r="C90" s="97" t="s">
        <v>38</v>
      </c>
      <c r="D90" s="10">
        <v>1130032153.27</v>
      </c>
      <c r="E90" s="10">
        <v>13461134.99</v>
      </c>
      <c r="F90" s="10">
        <v>0</v>
      </c>
      <c r="G90" s="10">
        <v>1638774.49</v>
      </c>
      <c r="H90" s="12">
        <f t="shared" si="35"/>
        <v>11822360.5</v>
      </c>
      <c r="I90" s="10">
        <v>1114749388.1400001</v>
      </c>
      <c r="J90" s="13">
        <f t="shared" si="28"/>
        <v>5.666606017297602E-3</v>
      </c>
      <c r="K90" s="10">
        <v>1121268012.21</v>
      </c>
      <c r="L90" s="86">
        <f t="shared" si="29"/>
        <v>5.4700123211884819E-3</v>
      </c>
      <c r="M90" s="86">
        <f t="shared" si="36"/>
        <v>5.8476139474510002E-3</v>
      </c>
      <c r="N90" s="87">
        <f t="shared" si="37"/>
        <v>1.4615368245188799E-3</v>
      </c>
      <c r="O90" s="88">
        <f t="shared" si="38"/>
        <v>1.0543741880853561E-2</v>
      </c>
      <c r="P90" s="96">
        <f t="shared" si="39"/>
        <v>3.738517848972907</v>
      </c>
      <c r="Q90" s="96">
        <f t="shared" si="40"/>
        <v>3.9417967216534212E-2</v>
      </c>
      <c r="R90" s="10">
        <v>3.74</v>
      </c>
      <c r="S90" s="10">
        <v>3.74</v>
      </c>
      <c r="T90" s="17">
        <v>771</v>
      </c>
      <c r="U90" s="10">
        <v>300643853</v>
      </c>
      <c r="V90" s="10">
        <v>299923140</v>
      </c>
    </row>
    <row r="91" spans="1:22">
      <c r="A91" s="94">
        <v>81</v>
      </c>
      <c r="B91" s="98" t="s">
        <v>246</v>
      </c>
      <c r="C91" s="99" t="s">
        <v>40</v>
      </c>
      <c r="D91" s="10">
        <v>604210115.85000002</v>
      </c>
      <c r="E91" s="10">
        <v>8077318.8499999996</v>
      </c>
      <c r="F91" s="10">
        <v>0</v>
      </c>
      <c r="G91" s="10">
        <v>1207163.69</v>
      </c>
      <c r="H91" s="12">
        <f t="shared" si="35"/>
        <v>6870155.1600000001</v>
      </c>
      <c r="I91" s="10">
        <v>603131484.53999996</v>
      </c>
      <c r="J91" s="13">
        <f t="shared" si="28"/>
        <v>3.0658985202212758E-3</v>
      </c>
      <c r="K91" s="10">
        <v>606460239.28999996</v>
      </c>
      <c r="L91" s="86">
        <f t="shared" si="29"/>
        <v>2.9585656106328987E-3</v>
      </c>
      <c r="M91" s="86">
        <f t="shared" si="36"/>
        <v>5.5191195209097653E-3</v>
      </c>
      <c r="N91" s="87">
        <f t="shared" si="37"/>
        <v>1.9905075581100919E-3</v>
      </c>
      <c r="O91" s="88">
        <f t="shared" si="38"/>
        <v>1.1328286200663515E-2</v>
      </c>
      <c r="P91" s="96">
        <f t="shared" si="39"/>
        <v>112.40802380375661</v>
      </c>
      <c r="Q91" s="96">
        <f t="shared" si="40"/>
        <v>1.273390264899952</v>
      </c>
      <c r="R91" s="10">
        <v>109.5</v>
      </c>
      <c r="S91" s="10">
        <v>109.5</v>
      </c>
      <c r="T91" s="17">
        <v>57</v>
      </c>
      <c r="U91" s="10">
        <v>5347761.91</v>
      </c>
      <c r="V91" s="10">
        <v>5395168.5899999999</v>
      </c>
    </row>
    <row r="92" spans="1:22">
      <c r="A92" s="119">
        <v>82</v>
      </c>
      <c r="B92" s="19" t="s">
        <v>245</v>
      </c>
      <c r="C92" s="19" t="s">
        <v>44</v>
      </c>
      <c r="D92" s="10">
        <v>1371275384.95</v>
      </c>
      <c r="E92" s="10">
        <v>15281457.689999999</v>
      </c>
      <c r="F92" s="10">
        <v>0</v>
      </c>
      <c r="G92" s="10">
        <v>2830549.37</v>
      </c>
      <c r="H92" s="12">
        <f t="shared" si="35"/>
        <v>12450908.32</v>
      </c>
      <c r="I92" s="10">
        <v>1437538201.97</v>
      </c>
      <c r="J92" s="13">
        <f t="shared" si="28"/>
        <v>7.307438525685322E-3</v>
      </c>
      <c r="K92" s="10">
        <v>1422481928.22</v>
      </c>
      <c r="L92" s="86">
        <f t="shared" si="29"/>
        <v>6.9394592455153921E-3</v>
      </c>
      <c r="M92" s="86">
        <f t="shared" si="36"/>
        <v>-1.0473651224967035E-2</v>
      </c>
      <c r="N92" s="87">
        <f t="shared" si="37"/>
        <v>1.9898666646274814E-3</v>
      </c>
      <c r="O92" s="88">
        <f t="shared" si="38"/>
        <v>8.7529465738663166E-3</v>
      </c>
      <c r="P92" s="96">
        <f t="shared" si="39"/>
        <v>100.45244981180021</v>
      </c>
      <c r="Q92" s="96">
        <f t="shared" si="40"/>
        <v>0.87925492641667469</v>
      </c>
      <c r="R92" s="10">
        <v>100.45</v>
      </c>
      <c r="S92" s="10">
        <v>100.45</v>
      </c>
      <c r="T92" s="17">
        <v>405</v>
      </c>
      <c r="U92" s="10">
        <v>14431690</v>
      </c>
      <c r="V92" s="10">
        <v>14160749</v>
      </c>
    </row>
    <row r="93" spans="1:22">
      <c r="A93" s="94">
        <v>83</v>
      </c>
      <c r="B93" s="19" t="s">
        <v>119</v>
      </c>
      <c r="C93" s="19" t="s">
        <v>22</v>
      </c>
      <c r="D93" s="10">
        <v>1397550158.46</v>
      </c>
      <c r="E93" s="10">
        <v>17439986.239999998</v>
      </c>
      <c r="F93" s="10">
        <v>72481461.879999995</v>
      </c>
      <c r="G93" s="10">
        <v>2097421.5099999998</v>
      </c>
      <c r="H93" s="12">
        <f t="shared" si="35"/>
        <v>87824026.609999985</v>
      </c>
      <c r="I93" s="10">
        <v>1406125809.4000001</v>
      </c>
      <c r="J93" s="13">
        <f t="shared" si="28"/>
        <v>7.1477598977814499E-3</v>
      </c>
      <c r="K93" s="10">
        <v>1431149922.47</v>
      </c>
      <c r="L93" s="86">
        <f t="shared" si="29"/>
        <v>6.9817453312961131E-3</v>
      </c>
      <c r="M93" s="86">
        <f t="shared" si="36"/>
        <v>1.7796496517390452E-2</v>
      </c>
      <c r="N93" s="87">
        <f t="shared" si="37"/>
        <v>1.4655498191133544E-3</v>
      </c>
      <c r="O93" s="88">
        <f t="shared" si="38"/>
        <v>6.136605622590946E-2</v>
      </c>
      <c r="P93" s="96">
        <f t="shared" si="39"/>
        <v>358.19885678106164</v>
      </c>
      <c r="Q93" s="96">
        <f t="shared" si="40"/>
        <v>21.981251185283117</v>
      </c>
      <c r="R93" s="10">
        <v>358.2</v>
      </c>
      <c r="S93" s="10">
        <v>358.2</v>
      </c>
      <c r="T93" s="17">
        <v>90</v>
      </c>
      <c r="U93" s="10">
        <v>3969047.17</v>
      </c>
      <c r="V93" s="10">
        <v>3995406.17</v>
      </c>
    </row>
    <row r="94" spans="1:22">
      <c r="A94" s="119">
        <v>84</v>
      </c>
      <c r="B94" s="98" t="s">
        <v>249</v>
      </c>
      <c r="C94" s="99" t="s">
        <v>250</v>
      </c>
      <c r="D94" s="10">
        <v>1345132796.79</v>
      </c>
      <c r="E94" s="10">
        <v>24579110.620000001</v>
      </c>
      <c r="F94" s="10">
        <v>0</v>
      </c>
      <c r="G94" s="10">
        <v>3060521.8</v>
      </c>
      <c r="H94" s="12">
        <f t="shared" si="35"/>
        <v>21518588.82</v>
      </c>
      <c r="I94" s="10">
        <v>1523789854.21</v>
      </c>
      <c r="J94" s="13">
        <f t="shared" si="28"/>
        <v>7.7458815845333276E-3</v>
      </c>
      <c r="K94" s="10">
        <v>1517632193.6800001</v>
      </c>
      <c r="L94" s="86">
        <f t="shared" si="29"/>
        <v>7.4036418662295168E-3</v>
      </c>
      <c r="M94" s="86">
        <f t="shared" si="36"/>
        <v>-4.0410168849643472E-3</v>
      </c>
      <c r="N94" s="87">
        <f t="shared" si="37"/>
        <v>2.0166426442093026E-3</v>
      </c>
      <c r="O94" s="88">
        <f t="shared" si="38"/>
        <v>1.4179053995830887E-2</v>
      </c>
      <c r="P94" s="96">
        <f t="shared" si="39"/>
        <v>102.57216370294418</v>
      </c>
      <c r="Q94" s="96">
        <f t="shared" si="40"/>
        <v>1.4543762476132507</v>
      </c>
      <c r="R94" s="10">
        <v>102.57</v>
      </c>
      <c r="S94" s="10">
        <v>102.57</v>
      </c>
      <c r="T94" s="17">
        <f>366+16+10</f>
        <v>392</v>
      </c>
      <c r="U94" s="10">
        <v>14608065</v>
      </c>
      <c r="V94" s="10">
        <v>14795751</v>
      </c>
    </row>
    <row r="95" spans="1:22">
      <c r="A95" s="94">
        <v>85</v>
      </c>
      <c r="B95" s="97" t="s">
        <v>120</v>
      </c>
      <c r="C95" s="97" t="s">
        <v>42</v>
      </c>
      <c r="D95" s="10">
        <v>63061604.109999999</v>
      </c>
      <c r="E95" s="10">
        <v>3516489.85</v>
      </c>
      <c r="F95" s="10">
        <v>0</v>
      </c>
      <c r="G95" s="10">
        <v>157526.29999999999</v>
      </c>
      <c r="H95" s="12">
        <f t="shared" si="35"/>
        <v>3358963.5500000003</v>
      </c>
      <c r="I95" s="10">
        <v>59423775.020000003</v>
      </c>
      <c r="J95" s="13">
        <f t="shared" si="28"/>
        <v>3.0206889968400797E-4</v>
      </c>
      <c r="K95" s="10">
        <v>63362227.049999997</v>
      </c>
      <c r="L95" s="86">
        <f t="shared" si="29"/>
        <v>3.0910733106379707E-4</v>
      </c>
      <c r="M95" s="86">
        <f t="shared" si="36"/>
        <v>6.6277378518521349E-2</v>
      </c>
      <c r="N95" s="87">
        <f t="shared" si="37"/>
        <v>2.4861231578191503E-3</v>
      </c>
      <c r="O95" s="88">
        <f t="shared" si="38"/>
        <v>5.3012081588442214E-2</v>
      </c>
      <c r="P95" s="96">
        <f t="shared" si="39"/>
        <v>12.962030257605464</v>
      </c>
      <c r="Q95" s="96">
        <f t="shared" si="40"/>
        <v>0.68714420556803757</v>
      </c>
      <c r="R95" s="10">
        <v>12.58</v>
      </c>
      <c r="S95" s="10">
        <v>12.99</v>
      </c>
      <c r="T95" s="17">
        <v>58</v>
      </c>
      <c r="U95" s="10">
        <v>4811884.95</v>
      </c>
      <c r="V95" s="10">
        <v>4888294.95</v>
      </c>
    </row>
    <row r="96" spans="1:22">
      <c r="A96" s="119">
        <v>86</v>
      </c>
      <c r="B96" s="98" t="s">
        <v>264</v>
      </c>
      <c r="C96" s="99" t="s">
        <v>265</v>
      </c>
      <c r="D96" s="10">
        <v>540900814.96000004</v>
      </c>
      <c r="E96" s="10">
        <v>8204908.9500000002</v>
      </c>
      <c r="F96" s="10">
        <v>0</v>
      </c>
      <c r="G96" s="10">
        <v>803530.91</v>
      </c>
      <c r="H96" s="12">
        <f t="shared" si="35"/>
        <v>7401378.04</v>
      </c>
      <c r="I96" s="10">
        <v>509997661.80000001</v>
      </c>
      <c r="J96" s="13">
        <f t="shared" si="28"/>
        <v>2.5924713212765998E-3</v>
      </c>
      <c r="K96" s="10">
        <v>526081158.23000002</v>
      </c>
      <c r="L96" s="86">
        <f t="shared" si="29"/>
        <v>2.5664429789550212E-3</v>
      </c>
      <c r="M96" s="86">
        <f t="shared" si="36"/>
        <v>3.1536412094977977E-2</v>
      </c>
      <c r="N96" s="87">
        <f t="shared" si="37"/>
        <v>1.5273896383278193E-3</v>
      </c>
      <c r="O96" s="88">
        <f t="shared" si="38"/>
        <v>1.4068890178279593E-2</v>
      </c>
      <c r="P96" s="96">
        <f t="shared" si="39"/>
        <v>139.07888444535195</v>
      </c>
      <c r="Q96" s="96">
        <f t="shared" si="40"/>
        <v>1.9566855513792942</v>
      </c>
      <c r="R96" s="10">
        <v>139.08000000000001</v>
      </c>
      <c r="S96" s="10">
        <v>139.08000000000001</v>
      </c>
      <c r="T96" s="17">
        <v>131</v>
      </c>
      <c r="U96" s="10">
        <v>3721474.09</v>
      </c>
      <c r="V96" s="10">
        <v>3782609.85</v>
      </c>
    </row>
    <row r="97" spans="1:23">
      <c r="A97" s="94">
        <v>87</v>
      </c>
      <c r="B97" s="19" t="s">
        <v>121</v>
      </c>
      <c r="C97" s="19" t="s">
        <v>122</v>
      </c>
      <c r="D97" s="10">
        <v>8608641509.0699997</v>
      </c>
      <c r="E97" s="10">
        <v>139543013.08000001</v>
      </c>
      <c r="F97" s="10">
        <v>0</v>
      </c>
      <c r="G97" s="10">
        <v>12071265.109999999</v>
      </c>
      <c r="H97" s="12">
        <f t="shared" si="35"/>
        <v>127471747.97000001</v>
      </c>
      <c r="I97" s="10">
        <v>8358858641</v>
      </c>
      <c r="J97" s="13">
        <f t="shared" si="28"/>
        <v>4.2490589523321604E-2</v>
      </c>
      <c r="K97" s="10">
        <v>8483806623</v>
      </c>
      <c r="L97" s="86">
        <f t="shared" si="29"/>
        <v>4.1387541830363979E-2</v>
      </c>
      <c r="M97" s="86">
        <f t="shared" si="36"/>
        <v>1.4947971650954014E-2</v>
      </c>
      <c r="N97" s="87">
        <f t="shared" si="37"/>
        <v>1.4228595306821621E-3</v>
      </c>
      <c r="O97" s="88">
        <f t="shared" si="38"/>
        <v>1.5025300980389875E-2</v>
      </c>
      <c r="P97" s="96">
        <f t="shared" si="39"/>
        <v>1.0599999999700134</v>
      </c>
      <c r="Q97" s="96">
        <f t="shared" si="40"/>
        <v>1.592681903876271E-2</v>
      </c>
      <c r="R97" s="10">
        <v>1.06</v>
      </c>
      <c r="S97" s="10">
        <v>1.06</v>
      </c>
      <c r="T97" s="17">
        <v>4695</v>
      </c>
      <c r="U97" s="10">
        <v>8037364078</v>
      </c>
      <c r="V97" s="10">
        <v>8003591154</v>
      </c>
    </row>
    <row r="98" spans="1:23">
      <c r="A98" s="119">
        <v>88</v>
      </c>
      <c r="B98" s="97" t="s">
        <v>123</v>
      </c>
      <c r="C98" s="19" t="s">
        <v>46</v>
      </c>
      <c r="D98" s="10">
        <v>8415208398.3100004</v>
      </c>
      <c r="E98" s="10">
        <v>101184598.59999999</v>
      </c>
      <c r="F98" s="10">
        <v>0</v>
      </c>
      <c r="G98" s="10">
        <v>9834239.5700000003</v>
      </c>
      <c r="H98" s="12">
        <f t="shared" si="35"/>
        <v>91350359.030000001</v>
      </c>
      <c r="I98" s="10">
        <v>4595337522.9399996</v>
      </c>
      <c r="J98" s="13">
        <f t="shared" si="28"/>
        <v>2.3359481095974306E-2</v>
      </c>
      <c r="K98" s="10">
        <v>8525197528.5900002</v>
      </c>
      <c r="L98" s="86">
        <f t="shared" si="29"/>
        <v>4.1589463905280045E-2</v>
      </c>
      <c r="M98" s="86">
        <f t="shared" si="36"/>
        <v>0.85518419181008476</v>
      </c>
      <c r="N98" s="87">
        <f t="shared" si="37"/>
        <v>1.1535497608143404E-3</v>
      </c>
      <c r="O98" s="88">
        <f t="shared" si="38"/>
        <v>1.0715336357151672E-2</v>
      </c>
      <c r="P98" s="96">
        <f t="shared" si="39"/>
        <v>5172.5196958403185</v>
      </c>
      <c r="Q98" s="96">
        <f t="shared" si="40"/>
        <v>55.425288354920866</v>
      </c>
      <c r="R98" s="10">
        <v>5172.5200000000004</v>
      </c>
      <c r="S98" s="10">
        <v>5172.5200000000004</v>
      </c>
      <c r="T98" s="17">
        <v>252</v>
      </c>
      <c r="U98" s="10">
        <v>888643.37</v>
      </c>
      <c r="V98" s="10">
        <v>1648171.11</v>
      </c>
    </row>
    <row r="99" spans="1:23">
      <c r="A99" s="94">
        <v>89</v>
      </c>
      <c r="B99" s="19" t="s">
        <v>124</v>
      </c>
      <c r="C99" s="19" t="s">
        <v>46</v>
      </c>
      <c r="D99" s="10">
        <v>18119234664.709999</v>
      </c>
      <c r="E99" s="10">
        <v>187034359.69999999</v>
      </c>
      <c r="F99" s="10">
        <v>0</v>
      </c>
      <c r="G99" s="10">
        <v>33129048.420000002</v>
      </c>
      <c r="H99" s="12">
        <f t="shared" si="35"/>
        <v>153905311.27999997</v>
      </c>
      <c r="I99" s="10">
        <v>20130895879.959999</v>
      </c>
      <c r="J99" s="13">
        <f t="shared" si="28"/>
        <v>0.10233139119933424</v>
      </c>
      <c r="K99" s="10">
        <v>18146751776.779999</v>
      </c>
      <c r="L99" s="86">
        <f t="shared" si="29"/>
        <v>8.852741247196555E-2</v>
      </c>
      <c r="M99" s="86">
        <f t="shared" si="36"/>
        <v>-9.8562136281037827E-2</v>
      </c>
      <c r="N99" s="87">
        <f t="shared" si="37"/>
        <v>1.8256186466599972E-3</v>
      </c>
      <c r="O99" s="88">
        <f t="shared" si="38"/>
        <v>8.4811493083259276E-3</v>
      </c>
      <c r="P99" s="96">
        <f t="shared" si="39"/>
        <v>259.0693190621642</v>
      </c>
      <c r="Q99" s="96">
        <f t="shared" si="40"/>
        <v>2.1972055761725429</v>
      </c>
      <c r="R99" s="10">
        <v>259.07</v>
      </c>
      <c r="S99" s="10">
        <v>259.07</v>
      </c>
      <c r="T99" s="17">
        <v>6226</v>
      </c>
      <c r="U99" s="10">
        <v>77718458.890000001</v>
      </c>
      <c r="V99" s="10">
        <v>70045931.5</v>
      </c>
    </row>
    <row r="100" spans="1:23">
      <c r="A100" s="119">
        <v>90</v>
      </c>
      <c r="B100" s="97" t="s">
        <v>125</v>
      </c>
      <c r="C100" s="19" t="s">
        <v>46</v>
      </c>
      <c r="D100" s="10">
        <v>446896692.14999998</v>
      </c>
      <c r="E100" s="10">
        <v>6212714.2699999996</v>
      </c>
      <c r="F100" s="10">
        <v>4616214.0199999996</v>
      </c>
      <c r="G100" s="10">
        <v>714965.53</v>
      </c>
      <c r="H100" s="12">
        <f t="shared" si="35"/>
        <v>10113962.76</v>
      </c>
      <c r="I100" s="10">
        <v>445259978.33999997</v>
      </c>
      <c r="J100" s="13">
        <f t="shared" si="28"/>
        <v>2.2633902286622013E-3</v>
      </c>
      <c r="K100" s="10">
        <v>454041985.69</v>
      </c>
      <c r="L100" s="86">
        <f t="shared" si="29"/>
        <v>2.2150058942339945E-3</v>
      </c>
      <c r="M100" s="86">
        <f t="shared" si="36"/>
        <v>1.9723325196979849E-2</v>
      </c>
      <c r="N100" s="87">
        <f t="shared" si="37"/>
        <v>1.5746683182029497E-3</v>
      </c>
      <c r="O100" s="88">
        <f t="shared" si="38"/>
        <v>2.2275390996341408E-2</v>
      </c>
      <c r="P100" s="96">
        <f t="shared" si="39"/>
        <v>7518.3169285249696</v>
      </c>
      <c r="Q100" s="96">
        <f t="shared" si="40"/>
        <v>167.4734492173063</v>
      </c>
      <c r="R100" s="10">
        <v>7498.55</v>
      </c>
      <c r="S100" s="10">
        <v>7531.86</v>
      </c>
      <c r="T100" s="17">
        <v>15</v>
      </c>
      <c r="U100" s="10">
        <v>60391.44</v>
      </c>
      <c r="V100" s="10">
        <v>60391.44</v>
      </c>
    </row>
    <row r="101" spans="1:23">
      <c r="A101" s="94">
        <v>91</v>
      </c>
      <c r="B101" s="19" t="s">
        <v>126</v>
      </c>
      <c r="C101" s="19" t="s">
        <v>46</v>
      </c>
      <c r="D101" s="10">
        <v>6047218219.1899996</v>
      </c>
      <c r="E101" s="10">
        <v>90960579.260000005</v>
      </c>
      <c r="F101" s="10">
        <v>0</v>
      </c>
      <c r="G101" s="10">
        <v>8711735.0600000005</v>
      </c>
      <c r="H101" s="12">
        <f t="shared" si="35"/>
        <v>82248844.200000003</v>
      </c>
      <c r="I101" s="10">
        <v>6133261215.1499996</v>
      </c>
      <c r="J101" s="13">
        <f t="shared" si="28"/>
        <v>3.1177209224951083E-2</v>
      </c>
      <c r="K101" s="10">
        <v>6076871030.9099998</v>
      </c>
      <c r="L101" s="86">
        <f t="shared" si="29"/>
        <v>2.9645507631876952E-2</v>
      </c>
      <c r="M101" s="86">
        <f t="shared" si="36"/>
        <v>-9.1941598868654495E-3</v>
      </c>
      <c r="N101" s="87">
        <f t="shared" si="37"/>
        <v>1.4335889334639105E-3</v>
      </c>
      <c r="O101" s="88">
        <f t="shared" si="38"/>
        <v>1.3534735850348201E-2</v>
      </c>
      <c r="P101" s="96">
        <f t="shared" si="39"/>
        <v>145.51487002027903</v>
      </c>
      <c r="Q101" s="96">
        <f t="shared" si="40"/>
        <v>1.9695053280222294</v>
      </c>
      <c r="R101" s="10">
        <v>145.51</v>
      </c>
      <c r="S101" s="10">
        <v>145.51</v>
      </c>
      <c r="T101" s="17">
        <v>4564</v>
      </c>
      <c r="U101" s="10">
        <v>41761168.670000002</v>
      </c>
      <c r="V101" s="10">
        <v>41761168.670000002</v>
      </c>
    </row>
    <row r="102" spans="1:23">
      <c r="A102" s="119">
        <v>92</v>
      </c>
      <c r="B102" s="19" t="s">
        <v>127</v>
      </c>
      <c r="C102" s="19" t="s">
        <v>46</v>
      </c>
      <c r="D102" s="10">
        <v>7474439407.8800001</v>
      </c>
      <c r="E102" s="10">
        <v>73182637.659999996</v>
      </c>
      <c r="F102" s="10">
        <v>5157270.1500000004</v>
      </c>
      <c r="G102" s="10">
        <v>13208844</v>
      </c>
      <c r="H102" s="12">
        <f t="shared" si="35"/>
        <v>65131063.810000002</v>
      </c>
      <c r="I102" s="10">
        <v>7464512856.5500002</v>
      </c>
      <c r="J102" s="13">
        <f t="shared" si="28"/>
        <v>3.7944361234140751E-2</v>
      </c>
      <c r="K102" s="10">
        <v>7533231386.8500004</v>
      </c>
      <c r="L102" s="86">
        <f t="shared" si="29"/>
        <v>3.6750239956649854E-2</v>
      </c>
      <c r="M102" s="86">
        <f t="shared" si="36"/>
        <v>9.2060301349338146E-3</v>
      </c>
      <c r="N102" s="87">
        <f t="shared" si="37"/>
        <v>1.7534101000876386E-3</v>
      </c>
      <c r="O102" s="88">
        <f t="shared" si="38"/>
        <v>8.6458334365903996E-3</v>
      </c>
      <c r="P102" s="96">
        <f t="shared" si="39"/>
        <v>363.19553343992027</v>
      </c>
      <c r="Q102" s="96">
        <f t="shared" si="40"/>
        <v>3.1401280870351491</v>
      </c>
      <c r="R102" s="10">
        <v>362.82</v>
      </c>
      <c r="S102" s="10">
        <v>363.46</v>
      </c>
      <c r="T102" s="17">
        <v>10202</v>
      </c>
      <c r="U102" s="10">
        <v>20785895.510000002</v>
      </c>
      <c r="V102" s="10">
        <v>20741530.920000002</v>
      </c>
    </row>
    <row r="103" spans="1:23">
      <c r="A103" s="94">
        <v>93</v>
      </c>
      <c r="B103" s="19" t="s">
        <v>128</v>
      </c>
      <c r="C103" s="19" t="s">
        <v>50</v>
      </c>
      <c r="D103" s="10">
        <v>79502279110</v>
      </c>
      <c r="E103" s="10">
        <v>728192297</v>
      </c>
      <c r="F103" s="10">
        <v>0</v>
      </c>
      <c r="G103" s="10">
        <v>131793853</v>
      </c>
      <c r="H103" s="12">
        <f t="shared" si="35"/>
        <v>596398444</v>
      </c>
      <c r="I103" s="10">
        <v>88030616160</v>
      </c>
      <c r="J103" s="13">
        <f t="shared" si="28"/>
        <v>0.44748606686476455</v>
      </c>
      <c r="K103" s="10">
        <v>87574341300</v>
      </c>
      <c r="L103" s="86">
        <f t="shared" si="29"/>
        <v>0.42722410763043178</v>
      </c>
      <c r="M103" s="86">
        <f t="shared" si="36"/>
        <v>-5.1831383205440465E-3</v>
      </c>
      <c r="N103" s="87">
        <f t="shared" si="37"/>
        <v>1.5049368461535892E-3</v>
      </c>
      <c r="O103" s="88">
        <f t="shared" si="38"/>
        <v>6.8101961732939696E-3</v>
      </c>
      <c r="P103" s="96">
        <f t="shared" si="39"/>
        <v>1.9961941411619513</v>
      </c>
      <c r="Q103" s="96">
        <f t="shared" si="40"/>
        <v>1.3594473701292962E-2</v>
      </c>
      <c r="R103" s="10">
        <v>2</v>
      </c>
      <c r="S103" s="10">
        <v>2</v>
      </c>
      <c r="T103" s="17">
        <v>1382</v>
      </c>
      <c r="U103" s="10">
        <v>44158930295</v>
      </c>
      <c r="V103" s="10">
        <v>43870653407</v>
      </c>
    </row>
    <row r="104" spans="1:23">
      <c r="A104" s="119">
        <v>94</v>
      </c>
      <c r="B104" s="109" t="s">
        <v>263</v>
      </c>
      <c r="C104" s="19" t="s">
        <v>50</v>
      </c>
      <c r="D104" s="10">
        <v>13563402773</v>
      </c>
      <c r="E104" s="25">
        <v>410356032</v>
      </c>
      <c r="F104" s="10"/>
      <c r="G104" s="10">
        <v>43435274</v>
      </c>
      <c r="H104" s="12">
        <f t="shared" si="35"/>
        <v>366920758</v>
      </c>
      <c r="I104" s="10">
        <v>18315882234</v>
      </c>
      <c r="J104" s="13">
        <f t="shared" si="28"/>
        <v>9.3105131595967214E-2</v>
      </c>
      <c r="K104" s="10">
        <v>25033206785</v>
      </c>
      <c r="L104" s="86">
        <f t="shared" si="29"/>
        <v>0.12212240790042568</v>
      </c>
      <c r="M104" s="86">
        <f t="shared" si="36"/>
        <v>0.36674862096080457</v>
      </c>
      <c r="N104" s="87">
        <f t="shared" si="37"/>
        <v>1.735106267968297E-3</v>
      </c>
      <c r="O104" s="88">
        <f t="shared" si="38"/>
        <v>1.4657361366097948E-2</v>
      </c>
      <c r="P104" s="96">
        <f t="shared" si="39"/>
        <v>110.28545998822771</v>
      </c>
      <c r="Q104" s="96">
        <f t="shared" si="40"/>
        <v>1.6164938404737899</v>
      </c>
      <c r="R104" s="10">
        <v>110.29</v>
      </c>
      <c r="S104" s="10">
        <v>110.29</v>
      </c>
      <c r="T104" s="17">
        <v>125</v>
      </c>
      <c r="U104" s="10">
        <v>162182421</v>
      </c>
      <c r="V104" s="10">
        <v>226985559</v>
      </c>
    </row>
    <row r="105" spans="1:23">
      <c r="A105" s="94">
        <v>95</v>
      </c>
      <c r="B105" s="98" t="s">
        <v>243</v>
      </c>
      <c r="C105" s="98" t="s">
        <v>244</v>
      </c>
      <c r="D105" s="10">
        <v>105614741.59</v>
      </c>
      <c r="E105" s="10">
        <v>2495730.4900000002</v>
      </c>
      <c r="F105" s="10">
        <v>61954.73</v>
      </c>
      <c r="G105" s="10">
        <v>441366.04</v>
      </c>
      <c r="H105" s="12">
        <f t="shared" si="35"/>
        <v>2116319.1800000002</v>
      </c>
      <c r="I105" s="10">
        <v>105127178.62</v>
      </c>
      <c r="J105" s="13">
        <f t="shared" si="28"/>
        <v>5.343930297585386E-4</v>
      </c>
      <c r="K105" s="10">
        <v>104043158.08</v>
      </c>
      <c r="L105" s="86">
        <f t="shared" si="29"/>
        <v>5.0756585440374813E-4</v>
      </c>
      <c r="M105" s="86">
        <f t="shared" si="36"/>
        <v>-1.0311515577892397E-2</v>
      </c>
      <c r="N105" s="87">
        <f t="shared" si="37"/>
        <v>4.2421438194006804E-3</v>
      </c>
      <c r="O105" s="88">
        <f t="shared" si="38"/>
        <v>2.0340781835675708E-2</v>
      </c>
      <c r="P105" s="96">
        <f t="shared" si="39"/>
        <v>114.59174686828521</v>
      </c>
      <c r="Q105" s="96">
        <f t="shared" si="40"/>
        <v>2.3308857232167646</v>
      </c>
      <c r="R105" s="10">
        <v>114.5917</v>
      </c>
      <c r="S105" s="10">
        <v>114.5917</v>
      </c>
      <c r="T105" s="17">
        <v>73</v>
      </c>
      <c r="U105" s="10">
        <v>926281.66</v>
      </c>
      <c r="V105" s="10">
        <v>907946.348</v>
      </c>
    </row>
    <row r="106" spans="1:23">
      <c r="A106" s="119">
        <v>96</v>
      </c>
      <c r="B106" s="98" t="s">
        <v>289</v>
      </c>
      <c r="C106" s="98" t="s">
        <v>287</v>
      </c>
      <c r="D106" s="10">
        <v>253900330.75</v>
      </c>
      <c r="E106" s="10">
        <v>4374883.46</v>
      </c>
      <c r="F106" s="10">
        <v>0</v>
      </c>
      <c r="G106" s="10">
        <v>422383.8</v>
      </c>
      <c r="H106" s="12">
        <f t="shared" si="35"/>
        <v>3952499.66</v>
      </c>
      <c r="I106" s="10">
        <v>283645360.39999998</v>
      </c>
      <c r="J106" s="13">
        <f t="shared" si="28"/>
        <v>1.4418545756755571E-3</v>
      </c>
      <c r="K106" s="10">
        <v>285070974.00999999</v>
      </c>
      <c r="L106" s="86">
        <f t="shared" si="29"/>
        <v>1.3906949304426028E-3</v>
      </c>
      <c r="M106" s="86">
        <f t="shared" si="36"/>
        <v>5.026042407284919E-3</v>
      </c>
      <c r="N106" s="87">
        <f t="shared" si="37"/>
        <v>1.4816794360311941E-3</v>
      </c>
      <c r="O106" s="88">
        <f t="shared" si="38"/>
        <v>1.3864967044527481E-2</v>
      </c>
      <c r="P106" s="96">
        <f t="shared" si="39"/>
        <v>1.1884351898305281</v>
      </c>
      <c r="Q106" s="96">
        <f t="shared" si="40"/>
        <v>1.6477614741557033E-2</v>
      </c>
      <c r="R106" s="10">
        <v>1.1883999999999999</v>
      </c>
      <c r="S106" s="10">
        <v>1.1883999999999999</v>
      </c>
      <c r="T106" s="17">
        <v>357</v>
      </c>
      <c r="U106" s="10">
        <v>240119942.5</v>
      </c>
      <c r="V106" s="10">
        <v>239870862.5</v>
      </c>
    </row>
    <row r="107" spans="1:23">
      <c r="A107" s="94">
        <v>97</v>
      </c>
      <c r="B107" s="97" t="s">
        <v>129</v>
      </c>
      <c r="C107" s="97" t="s">
        <v>94</v>
      </c>
      <c r="D107" s="10">
        <v>1941535177.0599999</v>
      </c>
      <c r="E107" s="10">
        <v>18647213.239999998</v>
      </c>
      <c r="F107" s="10">
        <v>0</v>
      </c>
      <c r="G107" s="10">
        <v>3332055.71</v>
      </c>
      <c r="H107" s="12">
        <f t="shared" si="35"/>
        <v>15315157.529999997</v>
      </c>
      <c r="I107" s="10">
        <v>1977589944.47</v>
      </c>
      <c r="J107" s="13">
        <f t="shared" si="28"/>
        <v>1.0052683767585576E-2</v>
      </c>
      <c r="K107" s="10">
        <v>1991710321.78</v>
      </c>
      <c r="L107" s="86">
        <f t="shared" si="29"/>
        <v>9.7163924072904296E-3</v>
      </c>
      <c r="M107" s="86">
        <f t="shared" si="36"/>
        <v>7.1401947352560217E-3</v>
      </c>
      <c r="N107" s="87">
        <f t="shared" si="37"/>
        <v>1.6729620133826126E-3</v>
      </c>
      <c r="O107" s="88">
        <f t="shared" si="38"/>
        <v>7.6894502993350841E-3</v>
      </c>
      <c r="P107" s="96">
        <f t="shared" si="39"/>
        <v>28.579413285217765</v>
      </c>
      <c r="Q107" s="96">
        <f t="shared" si="40"/>
        <v>0.21975997804083883</v>
      </c>
      <c r="R107" s="10">
        <v>28.5823</v>
      </c>
      <c r="S107" s="10">
        <v>28.5823</v>
      </c>
      <c r="T107" s="16">
        <v>1298</v>
      </c>
      <c r="U107" s="10">
        <v>69723802.079999998</v>
      </c>
      <c r="V107" s="10">
        <v>69690385.239999995</v>
      </c>
    </row>
    <row r="108" spans="1:23">
      <c r="A108" s="124" t="s">
        <v>51</v>
      </c>
      <c r="B108" s="124"/>
      <c r="C108" s="124"/>
      <c r="D108" s="124"/>
      <c r="E108" s="124"/>
      <c r="F108" s="124"/>
      <c r="G108" s="124"/>
      <c r="H108" s="124"/>
      <c r="I108" s="37">
        <f>SUM(I71:I107)</f>
        <v>196722585748.35999</v>
      </c>
      <c r="J108" s="35">
        <f>(I108/$I$218)</f>
        <v>4.0966015000697464E-2</v>
      </c>
      <c r="K108" s="37">
        <f>SUM(K71:K107)</f>
        <v>204984549644.74002</v>
      </c>
      <c r="L108" s="35">
        <f>(K108/$K$218)</f>
        <v>3.7647430085079051E-2</v>
      </c>
      <c r="M108" s="35">
        <f t="shared" si="30"/>
        <v>4.1998044428657642E-2</v>
      </c>
      <c r="N108" s="20"/>
      <c r="O108" s="20"/>
      <c r="P108" s="38"/>
      <c r="Q108" s="38"/>
      <c r="R108" s="37"/>
      <c r="S108" s="37"/>
      <c r="T108" s="37">
        <f>SUM(T71:T107)</f>
        <v>44914</v>
      </c>
      <c r="U108" s="37"/>
      <c r="V108" s="10"/>
    </row>
    <row r="109" spans="1:23" ht="6.9" customHeight="1">
      <c r="A109" s="126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5"/>
    </row>
    <row r="110" spans="1:23">
      <c r="A110" s="123" t="s">
        <v>130</v>
      </c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</row>
    <row r="111" spans="1:23">
      <c r="A111" s="127" t="s">
        <v>131</v>
      </c>
      <c r="B111" s="127"/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</row>
    <row r="112" spans="1:23">
      <c r="A112" s="102">
        <v>98</v>
      </c>
      <c r="B112" s="19" t="s">
        <v>132</v>
      </c>
      <c r="C112" s="19" t="s">
        <v>22</v>
      </c>
      <c r="D112" s="17">
        <v>3134843053.1100001</v>
      </c>
      <c r="E112" s="17">
        <v>20549392.579999998</v>
      </c>
      <c r="F112" s="17">
        <v>162054375.33000001</v>
      </c>
      <c r="G112" s="17">
        <v>5812570.4900000002</v>
      </c>
      <c r="H112" s="12">
        <f>(E112+F112)-G112</f>
        <v>176791197.42000002</v>
      </c>
      <c r="I112" s="29">
        <v>2956832948.8099999</v>
      </c>
      <c r="J112" s="13">
        <f t="shared" ref="J112:J128" si="41">(I112/$I$147)</f>
        <v>1.6037463679682443E-3</v>
      </c>
      <c r="K112" s="29">
        <v>3122058169.0100002</v>
      </c>
      <c r="L112" s="13">
        <f t="shared" ref="L112:L128" si="42">(K112/$K$147)</f>
        <v>1.6000382756972088E-3</v>
      </c>
      <c r="M112" s="13">
        <f t="shared" ref="M112" si="43">((K112-I112)/I112)</f>
        <v>5.5879118996728053E-2</v>
      </c>
      <c r="N112" s="20">
        <f t="shared" ref="N112" si="44">(G112/K112)</f>
        <v>1.8617752057589489E-3</v>
      </c>
      <c r="O112" s="21">
        <f t="shared" ref="O112" si="45">H112/K112</f>
        <v>5.6626490555126405E-2</v>
      </c>
      <c r="P112" s="24">
        <f t="shared" ref="P112" si="46">K112/V112</f>
        <v>179835.01619809825</v>
      </c>
      <c r="Q112" s="24">
        <f t="shared" ref="Q112" si="47">H112/V112</f>
        <v>10183.425846222613</v>
      </c>
      <c r="R112" s="10">
        <f>112.6652*FX_RATE</f>
        <v>179891.29678932001</v>
      </c>
      <c r="S112" s="10">
        <f>112.6652*FX_RATE</f>
        <v>179891.29678932001</v>
      </c>
      <c r="T112" s="10">
        <v>196</v>
      </c>
      <c r="U112" s="10">
        <v>17322.04</v>
      </c>
      <c r="V112" s="10">
        <v>17360.68</v>
      </c>
    </row>
    <row r="113" spans="1:24">
      <c r="A113" s="102">
        <v>99</v>
      </c>
      <c r="B113" s="98" t="s">
        <v>232</v>
      </c>
      <c r="C113" s="99" t="s">
        <v>55</v>
      </c>
      <c r="D113" s="17">
        <f>1968807.7*FX_RATE</f>
        <v>3143573794.5860701</v>
      </c>
      <c r="E113" s="17">
        <f>14468.75*FX_RATE</f>
        <v>23102095.415625002</v>
      </c>
      <c r="F113" s="17">
        <v>0</v>
      </c>
      <c r="G113" s="17">
        <f>3300.14*FX_RATE</f>
        <v>5269297.566474</v>
      </c>
      <c r="H113" s="12">
        <f t="shared" ref="H113:H128" si="48">(E113+F113)-G113</f>
        <v>17832797.849151</v>
      </c>
      <c r="I113" s="29">
        <v>2944897304.5629802</v>
      </c>
      <c r="J113" s="13">
        <f t="shared" si="41"/>
        <v>1.597272635281309E-3</v>
      </c>
      <c r="K113" s="29">
        <f>2184627.28*FX_RATE</f>
        <v>3488170565.5386477</v>
      </c>
      <c r="L113" s="13">
        <f t="shared" si="42"/>
        <v>1.7876689398109477E-3</v>
      </c>
      <c r="M113" s="13">
        <f t="shared" ref="M113:M128" si="49">((K113-I113)/I113)</f>
        <v>0.18447952671690487</v>
      </c>
      <c r="N113" s="20">
        <f t="shared" ref="N113:N128" si="50">(G113/K113)</f>
        <v>1.5106192393605925E-3</v>
      </c>
      <c r="O113" s="21">
        <f t="shared" ref="O113:O128" si="51">H113/K113</f>
        <v>5.1123640642260961E-3</v>
      </c>
      <c r="P113" s="24">
        <f t="shared" ref="P113:P128" si="52">K113/V113</f>
        <v>170993.11186062821</v>
      </c>
      <c r="Q113" s="24">
        <f t="shared" ref="Q113:Q128" si="53">H113/V113</f>
        <v>874.17904030646866</v>
      </c>
      <c r="R113" s="10">
        <f>100*FX_RATE</f>
        <v>159668.91</v>
      </c>
      <c r="S113" s="10">
        <f>100*FX_RATE</f>
        <v>159668.91</v>
      </c>
      <c r="T113" s="10">
        <v>63</v>
      </c>
      <c r="U113" s="10">
        <v>18852.48</v>
      </c>
      <c r="V113" s="10">
        <v>20399.48</v>
      </c>
    </row>
    <row r="114" spans="1:24" ht="12.9" customHeight="1">
      <c r="A114" s="102">
        <v>100</v>
      </c>
      <c r="B114" s="19" t="s">
        <v>133</v>
      </c>
      <c r="C114" s="97" t="s">
        <v>26</v>
      </c>
      <c r="D114" s="17">
        <f>8617314.44*FX_RATE</f>
        <v>13759172037.620604</v>
      </c>
      <c r="E114" s="17">
        <f>69044.5*FX_RATE</f>
        <v>110242600.56495</v>
      </c>
      <c r="F114" s="17">
        <f>-19448*FX_RATE</f>
        <v>-31052409.616800003</v>
      </c>
      <c r="G114" s="17">
        <f>16880.64*FX_RATE</f>
        <v>26953133.889024001</v>
      </c>
      <c r="H114" s="12">
        <f t="shared" si="48"/>
        <v>52237057.059126005</v>
      </c>
      <c r="I114" s="29">
        <v>15847082055.0172</v>
      </c>
      <c r="J114" s="13">
        <f t="shared" si="41"/>
        <v>8.5952438736374738E-3</v>
      </c>
      <c r="K114" s="29">
        <f>10473561*FX_RATE</f>
        <v>16723020686.885101</v>
      </c>
      <c r="L114" s="13">
        <f t="shared" si="42"/>
        <v>8.5704595288745508E-3</v>
      </c>
      <c r="M114" s="13">
        <f t="shared" si="49"/>
        <v>5.5274442880200642E-2</v>
      </c>
      <c r="N114" s="20">
        <f t="shared" si="50"/>
        <v>1.6117383571833876E-3</v>
      </c>
      <c r="O114" s="21">
        <f t="shared" si="51"/>
        <v>3.1236615703102316E-3</v>
      </c>
      <c r="P114" s="24">
        <f t="shared" si="52"/>
        <v>1854.0898287156062</v>
      </c>
      <c r="Q114" s="24">
        <f t="shared" si="53"/>
        <v>5.7915491458620192</v>
      </c>
      <c r="R114" s="10">
        <f>1.1612*FX_RATE</f>
        <v>1854.07538292</v>
      </c>
      <c r="S114" s="10">
        <f>1.1612*FX_RATE</f>
        <v>1854.07538292</v>
      </c>
      <c r="T114" s="10">
        <v>303</v>
      </c>
      <c r="U114" s="10">
        <v>8907484</v>
      </c>
      <c r="V114" s="10">
        <v>9019531</v>
      </c>
    </row>
    <row r="115" spans="1:24" ht="12.9" customHeight="1">
      <c r="A115" s="102">
        <v>101</v>
      </c>
      <c r="B115" s="19" t="s">
        <v>272</v>
      </c>
      <c r="C115" s="97" t="s">
        <v>26</v>
      </c>
      <c r="D115" s="17">
        <f>1670343.15*FX_RATE</f>
        <v>2667018700.864665</v>
      </c>
      <c r="E115" s="17">
        <f>11409.11*FX_RATE</f>
        <v>18216801.577701002</v>
      </c>
      <c r="F115" s="17">
        <v>0</v>
      </c>
      <c r="G115" s="17">
        <f>3422.14*FX_RATE</f>
        <v>5464093.636674</v>
      </c>
      <c r="H115" s="12">
        <f t="shared" si="48"/>
        <v>12752707.941027002</v>
      </c>
      <c r="I115" s="29">
        <v>2694260935.691</v>
      </c>
      <c r="J115" s="13">
        <f t="shared" si="41"/>
        <v>1.4613308444469777E-3</v>
      </c>
      <c r="K115" s="29">
        <f>2008013*FX_RATE</f>
        <v>3206172469.7583003</v>
      </c>
      <c r="L115" s="13">
        <f t="shared" si="42"/>
        <v>1.6431464093209535E-3</v>
      </c>
      <c r="M115" s="13">
        <f t="shared" si="49"/>
        <v>0.19000072609374408</v>
      </c>
      <c r="N115" s="20">
        <f t="shared" si="50"/>
        <v>1.7042419546088594E-3</v>
      </c>
      <c r="O115" s="21">
        <f t="shared" si="51"/>
        <v>3.9775489501312992E-3</v>
      </c>
      <c r="P115" s="24">
        <f t="shared" si="52"/>
        <v>1620.6098896155631</v>
      </c>
      <c r="Q115" s="24">
        <f t="shared" si="53"/>
        <v>6.4460551650127842</v>
      </c>
      <c r="R115" s="10">
        <f>1.015*FX_RATE</f>
        <v>1620.6394364999999</v>
      </c>
      <c r="S115" s="10">
        <f>1.015*FX_RATE</f>
        <v>1620.6394364999999</v>
      </c>
      <c r="T115" s="10">
        <v>66</v>
      </c>
      <c r="U115" s="10">
        <v>1734593</v>
      </c>
      <c r="V115" s="10">
        <v>1978374</v>
      </c>
    </row>
    <row r="116" spans="1:24" ht="12.9" customHeight="1">
      <c r="A116" s="102">
        <v>102</v>
      </c>
      <c r="B116" s="98" t="s">
        <v>237</v>
      </c>
      <c r="C116" s="99" t="s">
        <v>103</v>
      </c>
      <c r="D116" s="17">
        <f>7463914.73*FX_RATE</f>
        <v>11917551292.720444</v>
      </c>
      <c r="E116" s="17">
        <f>56529.09*FX_RATE</f>
        <v>90259381.835918993</v>
      </c>
      <c r="F116" s="17">
        <v>0</v>
      </c>
      <c r="G116" s="17">
        <f>10354.6*FX_RATE</f>
        <v>16533076.954860002</v>
      </c>
      <c r="H116" s="12">
        <f t="shared" si="48"/>
        <v>73726304.881058991</v>
      </c>
      <c r="I116" s="29">
        <v>8995855711.9336109</v>
      </c>
      <c r="J116" s="13">
        <f t="shared" si="41"/>
        <v>4.8792309794120081E-3</v>
      </c>
      <c r="K116" s="29">
        <f>7473111.7*FX_RATE</f>
        <v>11932235994.472471</v>
      </c>
      <c r="L116" s="13">
        <f t="shared" si="42"/>
        <v>6.1152077483110946E-3</v>
      </c>
      <c r="M116" s="13">
        <f t="shared" si="49"/>
        <v>0.32641478215836134</v>
      </c>
      <c r="N116" s="20">
        <f t="shared" si="50"/>
        <v>1.3855807882545098E-3</v>
      </c>
      <c r="O116" s="21">
        <f t="shared" si="51"/>
        <v>6.1787501450031842E-3</v>
      </c>
      <c r="P116" s="24">
        <f t="shared" si="52"/>
        <v>1705.1622770461133</v>
      </c>
      <c r="Q116" s="24">
        <f t="shared" si="53"/>
        <v>10.535771666552632</v>
      </c>
      <c r="R116" s="10">
        <f>1.0679*FX_RATE</f>
        <v>1705.1042898900002</v>
      </c>
      <c r="S116" s="10">
        <f>1.0679*FX_RATE</f>
        <v>1705.1042898900002</v>
      </c>
      <c r="T116" s="10">
        <v>404</v>
      </c>
      <c r="U116" s="10">
        <v>5331807.1100000003</v>
      </c>
      <c r="V116" s="10">
        <v>6997712.8600000003</v>
      </c>
    </row>
    <row r="117" spans="1:24" ht="12.9" customHeight="1">
      <c r="A117" s="102">
        <v>103</v>
      </c>
      <c r="B117" s="98" t="s">
        <v>238</v>
      </c>
      <c r="C117" s="99" t="s">
        <v>216</v>
      </c>
      <c r="D117" s="17">
        <f>460581.54*FX_RATE</f>
        <v>735405524.57921398</v>
      </c>
      <c r="E117" s="17">
        <f>7015.63*FX_RATE</f>
        <v>11201779.950633001</v>
      </c>
      <c r="F117" s="17">
        <v>0</v>
      </c>
      <c r="G117" s="17">
        <f>936.6*FX_RATE</f>
        <v>1495459.0110600002</v>
      </c>
      <c r="H117" s="12">
        <f t="shared" si="48"/>
        <v>9706320.9395730011</v>
      </c>
      <c r="I117" s="29">
        <v>699002055.79066205</v>
      </c>
      <c r="J117" s="13">
        <f t="shared" si="41"/>
        <v>3.7912930070255549E-4</v>
      </c>
      <c r="K117" s="29">
        <f>453597.3*FX_RATE</f>
        <v>724253864.69942999</v>
      </c>
      <c r="L117" s="13">
        <f t="shared" si="42"/>
        <v>3.7117626966193907E-4</v>
      </c>
      <c r="M117" s="13">
        <f t="shared" si="49"/>
        <v>3.6125514509688907E-2</v>
      </c>
      <c r="N117" s="20">
        <f t="shared" si="50"/>
        <v>2.0648271054523474E-3</v>
      </c>
      <c r="O117" s="21">
        <f t="shared" si="51"/>
        <v>1.3401821395321359E-2</v>
      </c>
      <c r="P117" s="24">
        <f t="shared" si="52"/>
        <v>1717.1541221340424</v>
      </c>
      <c r="Q117" s="24">
        <f t="shared" si="53"/>
        <v>23.012992853080274</v>
      </c>
      <c r="R117" s="10">
        <f>1*FX_RATE</f>
        <v>1596.6891000000001</v>
      </c>
      <c r="S117" s="10">
        <f>1*FX_RATE</f>
        <v>1596.6891000000001</v>
      </c>
      <c r="T117" s="10">
        <v>21</v>
      </c>
      <c r="U117" s="10">
        <v>414114.25</v>
      </c>
      <c r="V117" s="10">
        <v>421775.69</v>
      </c>
    </row>
    <row r="118" spans="1:24" ht="12.9" customHeight="1">
      <c r="A118" s="102">
        <v>104</v>
      </c>
      <c r="B118" s="98" t="s">
        <v>239</v>
      </c>
      <c r="C118" s="99" t="s">
        <v>48</v>
      </c>
      <c r="D118" s="17">
        <f>283095.84*FX_RATE</f>
        <v>452016041.98334408</v>
      </c>
      <c r="E118" s="17">
        <f>2116.04*FX_RATE</f>
        <v>3378658.0031639999</v>
      </c>
      <c r="F118" s="17">
        <v>0</v>
      </c>
      <c r="G118" s="17">
        <f>249.3*FX_RATE</f>
        <v>398054.59263000003</v>
      </c>
      <c r="H118" s="12">
        <f t="shared" si="48"/>
        <v>2980603.410534</v>
      </c>
      <c r="I118" s="29">
        <v>338286414.27391201</v>
      </c>
      <c r="J118" s="13">
        <f t="shared" si="41"/>
        <v>1.834819949646228E-4</v>
      </c>
      <c r="K118" s="29">
        <f>296174.66*FX_RATE</f>
        <v>472898851.31820595</v>
      </c>
      <c r="L118" s="13">
        <f t="shared" si="42"/>
        <v>2.4235815660100514E-4</v>
      </c>
      <c r="M118" s="13">
        <f t="shared" si="49"/>
        <v>0.39792445503087115</v>
      </c>
      <c r="N118" s="20">
        <f t="shared" si="50"/>
        <v>8.4173305035616498E-4</v>
      </c>
      <c r="O118" s="21">
        <f t="shared" si="51"/>
        <v>6.3028349555630456E-3</v>
      </c>
      <c r="P118" s="24">
        <f t="shared" si="52"/>
        <v>2062.7092677643732</v>
      </c>
      <c r="Q118" s="24">
        <f t="shared" si="53"/>
        <v>13.000916076029144</v>
      </c>
      <c r="R118" s="10">
        <f>1.2919*FX_RATE</f>
        <v>2062.76264829</v>
      </c>
      <c r="S118" s="10">
        <f>1.2919*FX_RATE</f>
        <v>2062.76264829</v>
      </c>
      <c r="T118" s="10">
        <v>36</v>
      </c>
      <c r="U118" s="10">
        <v>220121.64</v>
      </c>
      <c r="V118" s="10">
        <v>229261.03</v>
      </c>
    </row>
    <row r="119" spans="1:24" ht="12.9" customHeight="1">
      <c r="A119" s="102">
        <v>105</v>
      </c>
      <c r="B119" s="98" t="s">
        <v>240</v>
      </c>
      <c r="C119" s="99" t="s">
        <v>169</v>
      </c>
      <c r="D119" s="17">
        <f>327527.29*FX_RATE</f>
        <v>522959253.89553899</v>
      </c>
      <c r="E119" s="17">
        <f>2592.58*FX_RATE</f>
        <v>4139544.226878</v>
      </c>
      <c r="F119" s="17">
        <v>0</v>
      </c>
      <c r="G119" s="17">
        <f>1232.38*FX_RATE</f>
        <v>1967727.7130580002</v>
      </c>
      <c r="H119" s="12">
        <f t="shared" si="48"/>
        <v>2171816.51382</v>
      </c>
      <c r="I119" s="29">
        <v>730234855.50301003</v>
      </c>
      <c r="J119" s="13">
        <f t="shared" si="41"/>
        <v>3.960695506143121E-4</v>
      </c>
      <c r="K119" s="29">
        <f>522441.92*FX_RATE</f>
        <v>834177319.04707205</v>
      </c>
      <c r="L119" s="13">
        <f t="shared" si="42"/>
        <v>4.2751145780766601E-4</v>
      </c>
      <c r="M119" s="13">
        <f t="shared" si="49"/>
        <v>0.1423411423883115</v>
      </c>
      <c r="N119" s="20">
        <f t="shared" si="50"/>
        <v>2.3588842181729982E-3</v>
      </c>
      <c r="O119" s="21">
        <f t="shared" si="51"/>
        <v>2.6035429928746912E-3</v>
      </c>
      <c r="P119" s="24">
        <f t="shared" si="52"/>
        <v>169341.7212844239</v>
      </c>
      <c r="Q119" s="24">
        <f t="shared" si="53"/>
        <v>440.8884518514007</v>
      </c>
      <c r="R119" s="10">
        <f>107.69*FX_RATE</f>
        <v>171947.44917899999</v>
      </c>
      <c r="S119" s="10">
        <f>106.06*FX_RATE</f>
        <v>169344.84594600002</v>
      </c>
      <c r="T119" s="10">
        <v>52</v>
      </c>
      <c r="U119" s="10">
        <v>4412.4799999999996</v>
      </c>
      <c r="V119" s="10">
        <v>4926</v>
      </c>
    </row>
    <row r="120" spans="1:24" ht="15" customHeight="1">
      <c r="A120" s="102">
        <v>106</v>
      </c>
      <c r="B120" s="19" t="s">
        <v>134</v>
      </c>
      <c r="C120" s="97" t="s">
        <v>69</v>
      </c>
      <c r="D120" s="17">
        <f>622035.33*FX_RATE</f>
        <v>993197031.22590292</v>
      </c>
      <c r="E120" s="17">
        <f>22521.16*FX_RATE</f>
        <v>35959290.691356003</v>
      </c>
      <c r="F120" s="17">
        <v>0</v>
      </c>
      <c r="G120" s="17">
        <f>5393.21*FX_RATE</f>
        <v>8611279.6210110001</v>
      </c>
      <c r="H120" s="12">
        <f t="shared" si="48"/>
        <v>27348011.070345003</v>
      </c>
      <c r="I120" s="29">
        <v>4958028168.8691521</v>
      </c>
      <c r="J120" s="13">
        <f t="shared" si="41"/>
        <v>2.6891677026624912E-3</v>
      </c>
      <c r="K120" s="29">
        <f>3290081.7*FX_RATE</f>
        <v>5253237588.4994707</v>
      </c>
      <c r="L120" s="13">
        <f t="shared" si="42"/>
        <v>2.6922564404351858E-3</v>
      </c>
      <c r="M120" s="13">
        <f t="shared" si="49"/>
        <v>5.9541698751108797E-2</v>
      </c>
      <c r="N120" s="20">
        <f t="shared" si="50"/>
        <v>1.6392328494456534E-3</v>
      </c>
      <c r="O120" s="21">
        <f t="shared" si="51"/>
        <v>5.2059345517164509E-3</v>
      </c>
      <c r="P120" s="24">
        <f t="shared" si="52"/>
        <v>181894.27370576185</v>
      </c>
      <c r="Q120" s="24">
        <f t="shared" si="53"/>
        <v>946.92968424419485</v>
      </c>
      <c r="R120" s="10">
        <f>113.79*FX_RATE</f>
        <v>181687.25268900002</v>
      </c>
      <c r="S120" s="10">
        <f>113.79*FX_RATE</f>
        <v>181687.25268900002</v>
      </c>
      <c r="T120" s="10">
        <v>60</v>
      </c>
      <c r="U120" s="10">
        <v>28469.14</v>
      </c>
      <c r="V120" s="10">
        <v>28880.720000000001</v>
      </c>
    </row>
    <row r="121" spans="1:24" ht="15" customHeight="1">
      <c r="A121" s="102">
        <v>107</v>
      </c>
      <c r="B121" s="19" t="s">
        <v>135</v>
      </c>
      <c r="C121" s="19" t="s">
        <v>136</v>
      </c>
      <c r="D121" s="17">
        <v>55419888202.239998</v>
      </c>
      <c r="E121" s="17">
        <v>418836798.94</v>
      </c>
      <c r="F121" s="17">
        <v>0</v>
      </c>
      <c r="G121" s="17">
        <v>86769175.159999996</v>
      </c>
      <c r="H121" s="12">
        <f t="shared" si="48"/>
        <v>332067623.77999997</v>
      </c>
      <c r="I121" s="29">
        <v>50877469460.730003</v>
      </c>
      <c r="J121" s="13">
        <f t="shared" si="41"/>
        <v>2.7595254203285093E-2</v>
      </c>
      <c r="K121" s="29">
        <v>54881764272.93</v>
      </c>
      <c r="L121" s="13">
        <f t="shared" si="42"/>
        <v>2.8126613509678759E-2</v>
      </c>
      <c r="M121" s="13">
        <f t="shared" si="49"/>
        <v>7.8704677230276354E-2</v>
      </c>
      <c r="N121" s="20">
        <f t="shared" si="50"/>
        <v>1.581020149579962E-3</v>
      </c>
      <c r="O121" s="21">
        <f t="shared" si="51"/>
        <v>6.0506003802758531E-3</v>
      </c>
      <c r="P121" s="24">
        <f t="shared" si="52"/>
        <v>207706.87428964488</v>
      </c>
      <c r="Q121" s="24">
        <f t="shared" si="53"/>
        <v>1256.7512925628341</v>
      </c>
      <c r="R121" s="10">
        <f>129.6*FX_RATE</f>
        <v>206930.90736000001</v>
      </c>
      <c r="S121" s="10">
        <f>129.6*FX_RATE</f>
        <v>206930.90736000001</v>
      </c>
      <c r="T121" s="10">
        <v>2391</v>
      </c>
      <c r="U121" s="10">
        <v>257666</v>
      </c>
      <c r="V121" s="10">
        <v>264227</v>
      </c>
    </row>
    <row r="122" spans="1:24">
      <c r="A122" s="102">
        <v>108</v>
      </c>
      <c r="B122" s="19" t="s">
        <v>137</v>
      </c>
      <c r="C122" s="19" t="s">
        <v>136</v>
      </c>
      <c r="D122" s="17">
        <v>146963257503.51001</v>
      </c>
      <c r="E122" s="17">
        <v>1162199150.5999999</v>
      </c>
      <c r="F122" s="17">
        <v>0</v>
      </c>
      <c r="G122" s="17">
        <v>222823366.91</v>
      </c>
      <c r="H122" s="12">
        <f t="shared" si="48"/>
        <v>939375783.68999994</v>
      </c>
      <c r="I122" s="29">
        <v>131730859256.97</v>
      </c>
      <c r="J122" s="13">
        <f t="shared" si="41"/>
        <v>7.1449043872338469E-2</v>
      </c>
      <c r="K122" s="29">
        <v>145171325031.10001</v>
      </c>
      <c r="L122" s="13">
        <f t="shared" si="42"/>
        <v>7.4399535181337073E-2</v>
      </c>
      <c r="M122" s="13">
        <f t="shared" si="49"/>
        <v>0.10202974344767175</v>
      </c>
      <c r="N122" s="20">
        <f t="shared" si="50"/>
        <v>1.5348993119837172E-3</v>
      </c>
      <c r="O122" s="21">
        <f t="shared" si="51"/>
        <v>6.4708080847836703E-3</v>
      </c>
      <c r="P122" s="24">
        <f t="shared" si="52"/>
        <v>195418.23998801952</v>
      </c>
      <c r="Q122" s="24">
        <f t="shared" si="53"/>
        <v>1264.5139272286724</v>
      </c>
      <c r="R122" s="10">
        <f>121.93*FX_RATE</f>
        <v>194684.30196300001</v>
      </c>
      <c r="S122" s="10">
        <f>121.93*FX_RATE</f>
        <v>194684.30196300001</v>
      </c>
      <c r="T122" s="10">
        <v>818</v>
      </c>
      <c r="U122" s="10">
        <v>709470</v>
      </c>
      <c r="V122" s="10">
        <v>742875</v>
      </c>
    </row>
    <row r="123" spans="1:24">
      <c r="A123" s="102">
        <v>109</v>
      </c>
      <c r="B123" s="98" t="s">
        <v>274</v>
      </c>
      <c r="C123" s="99" t="s">
        <v>275</v>
      </c>
      <c r="D123" s="17">
        <f>380574.79*FX_RATE</f>
        <v>607659618.92778897</v>
      </c>
      <c r="E123" s="17">
        <f>3170.5*FX_RATE</f>
        <v>5062302.7915500002</v>
      </c>
      <c r="F123" s="17">
        <v>0</v>
      </c>
      <c r="G123" s="17">
        <f>442.44*FX_RATE</f>
        <v>706439.12540400005</v>
      </c>
      <c r="H123" s="12">
        <f t="shared" si="48"/>
        <v>4355863.6661459999</v>
      </c>
      <c r="I123" s="50">
        <v>555975957.40364599</v>
      </c>
      <c r="J123" s="13">
        <f t="shared" si="41"/>
        <v>3.0155387125357003E-4</v>
      </c>
      <c r="K123" s="29">
        <f>361771.37*FX_RATE</f>
        <v>577636403.171067</v>
      </c>
      <c r="L123" s="13">
        <f t="shared" si="42"/>
        <v>2.9603559718518856E-4</v>
      </c>
      <c r="M123" s="13">
        <f t="shared" si="49"/>
        <v>3.8959320954404568E-2</v>
      </c>
      <c r="N123" s="20">
        <f t="shared" si="50"/>
        <v>1.2229823493218937E-3</v>
      </c>
      <c r="O123" s="21">
        <f t="shared" si="51"/>
        <v>7.5408399509336518E-3</v>
      </c>
      <c r="P123" s="24">
        <f t="shared" si="52"/>
        <v>155028.55694338889</v>
      </c>
      <c r="Q123" s="24">
        <f t="shared" si="53"/>
        <v>1169.0455357342994</v>
      </c>
      <c r="R123" s="10">
        <f>1*FX_RATE</f>
        <v>1596.6891000000001</v>
      </c>
      <c r="S123" s="10">
        <f>1*FX_RATE</f>
        <v>1596.6891000000001</v>
      </c>
      <c r="T123" s="10">
        <v>6</v>
      </c>
      <c r="U123" s="10">
        <v>3609.87</v>
      </c>
      <c r="V123" s="10">
        <v>3726</v>
      </c>
    </row>
    <row r="124" spans="1:24" s="3" customFormat="1">
      <c r="A124" s="102">
        <v>110</v>
      </c>
      <c r="B124" s="98" t="s">
        <v>138</v>
      </c>
      <c r="C124" s="99" t="s">
        <v>139</v>
      </c>
      <c r="D124" s="17">
        <f>158222.46*FX_RATE</f>
        <v>252632077.257186</v>
      </c>
      <c r="E124" s="17">
        <v>0</v>
      </c>
      <c r="F124" s="17">
        <v>0</v>
      </c>
      <c r="G124" s="17">
        <f>3232.53*FX_RATE</f>
        <v>5161345.4164230004</v>
      </c>
      <c r="H124" s="12">
        <f t="shared" si="48"/>
        <v>-5161345.4164230004</v>
      </c>
      <c r="I124" s="29">
        <v>232328758.65947801</v>
      </c>
      <c r="J124" s="13">
        <f t="shared" si="41"/>
        <v>1.2601198962716609E-4</v>
      </c>
      <c r="K124" s="29">
        <f>162172.31*FX_RATE</f>
        <v>258938759.69882101</v>
      </c>
      <c r="L124" s="13">
        <f t="shared" si="42"/>
        <v>1.3270474288153738E-4</v>
      </c>
      <c r="M124" s="13">
        <f t="shared" si="49"/>
        <v>0.1145359756273007</v>
      </c>
      <c r="N124" s="20">
        <f t="shared" si="50"/>
        <v>1.9932687645628284E-2</v>
      </c>
      <c r="O124" s="21">
        <f t="shared" si="51"/>
        <v>-1.9932687645628284E-2</v>
      </c>
      <c r="P124" s="24">
        <f t="shared" si="52"/>
        <v>201211.25161148573</v>
      </c>
      <c r="Q124" s="24">
        <f t="shared" si="53"/>
        <v>-4010.6810291576658</v>
      </c>
      <c r="R124" s="10">
        <f>126.0167*FX_RATE</f>
        <v>201209.49130797002</v>
      </c>
      <c r="S124" s="10">
        <f>126.0167*FX_RATE</f>
        <v>201209.49130797002</v>
      </c>
      <c r="T124" s="10">
        <v>8</v>
      </c>
      <c r="U124" s="10">
        <v>1210.1300000000001</v>
      </c>
      <c r="V124" s="10">
        <v>1286.9000000000001</v>
      </c>
      <c r="W124" s="6"/>
      <c r="X124" s="6"/>
    </row>
    <row r="125" spans="1:24">
      <c r="A125" s="102">
        <v>111</v>
      </c>
      <c r="B125" s="19" t="s">
        <v>140</v>
      </c>
      <c r="C125" s="19" t="s">
        <v>141</v>
      </c>
      <c r="D125" s="17">
        <f>10791048.26*FX_RATE</f>
        <v>17229949134.315968</v>
      </c>
      <c r="E125" s="17">
        <f>61825.67*FX_RATE</f>
        <v>98716373.389197007</v>
      </c>
      <c r="F125" s="17">
        <v>0</v>
      </c>
      <c r="G125" s="17">
        <f>17244.9*FX_RATE</f>
        <v>27534743.860590003</v>
      </c>
      <c r="H125" s="12">
        <f t="shared" si="48"/>
        <v>71181629.528607011</v>
      </c>
      <c r="I125" s="29">
        <v>16320978309.567595</v>
      </c>
      <c r="J125" s="13">
        <f t="shared" si="41"/>
        <v>8.8522788195361992E-3</v>
      </c>
      <c r="K125" s="29">
        <f>10751030.05*FX_RATE</f>
        <v>17166052494.607456</v>
      </c>
      <c r="L125" s="13">
        <f t="shared" si="42"/>
        <v>8.7975109838228996E-3</v>
      </c>
      <c r="M125" s="13">
        <f t="shared" si="49"/>
        <v>5.177840255718414E-2</v>
      </c>
      <c r="N125" s="20">
        <f t="shared" si="50"/>
        <v>1.6040230489356693E-3</v>
      </c>
      <c r="O125" s="21">
        <f t="shared" si="51"/>
        <v>4.1466510457758418E-3</v>
      </c>
      <c r="P125" s="24">
        <f t="shared" si="52"/>
        <v>2248.9269279953151</v>
      </c>
      <c r="Q125" s="24">
        <f t="shared" si="53"/>
        <v>9.3255151978452258</v>
      </c>
      <c r="R125" s="10">
        <f>1.41*FX_RATE</f>
        <v>2251.331631</v>
      </c>
      <c r="S125" s="10">
        <f>1.41*FX_RATE</f>
        <v>2251.331631</v>
      </c>
      <c r="T125" s="10">
        <v>114</v>
      </c>
      <c r="U125" s="10">
        <v>7569884</v>
      </c>
      <c r="V125" s="10">
        <v>7632997</v>
      </c>
    </row>
    <row r="126" spans="1:24">
      <c r="A126" s="102">
        <v>112</v>
      </c>
      <c r="B126" s="19" t="s">
        <v>142</v>
      </c>
      <c r="C126" s="19" t="s">
        <v>50</v>
      </c>
      <c r="D126" s="17">
        <f xml:space="preserve"> 110191853*FX_RATE</f>
        <v>175942130593.90231</v>
      </c>
      <c r="E126" s="17">
        <f>707318*FX_RATE</f>
        <v>1129366940.8338001</v>
      </c>
      <c r="F126" s="17">
        <v>0</v>
      </c>
      <c r="G126" s="17">
        <f>153373*FX_RATE</f>
        <v>244888997.33430001</v>
      </c>
      <c r="H126" s="12">
        <f t="shared" si="48"/>
        <v>884477943.49950004</v>
      </c>
      <c r="I126" s="29">
        <v>170913846387.2944</v>
      </c>
      <c r="J126" s="13">
        <f t="shared" si="41"/>
        <v>9.2701368364222422E-2</v>
      </c>
      <c r="K126" s="29">
        <f>111543170*FX_RATE</f>
        <v>178099763718.44699</v>
      </c>
      <c r="L126" s="13">
        <f t="shared" si="42"/>
        <v>9.1275185603766851E-2</v>
      </c>
      <c r="M126" s="13">
        <f t="shared" si="49"/>
        <v>4.2044091119856651E-2</v>
      </c>
      <c r="N126" s="20">
        <f t="shared" si="50"/>
        <v>1.3750102314646429E-3</v>
      </c>
      <c r="O126" s="21">
        <f t="shared" si="51"/>
        <v>4.9661938063980072E-3</v>
      </c>
      <c r="P126" s="24">
        <f t="shared" si="52"/>
        <v>203314.87444741547</v>
      </c>
      <c r="Q126" s="24">
        <f t="shared" si="53"/>
        <v>1009.7010702293431</v>
      </c>
      <c r="R126" s="10">
        <f>127*FX_RATE</f>
        <v>202779.51570000002</v>
      </c>
      <c r="S126" s="10">
        <f>127*FX_RATE</f>
        <v>202779.51570000002</v>
      </c>
      <c r="T126" s="10">
        <v>1160</v>
      </c>
      <c r="U126" s="10">
        <v>880413</v>
      </c>
      <c r="V126" s="10">
        <v>875980</v>
      </c>
    </row>
    <row r="127" spans="1:24" ht="13.95" customHeight="1">
      <c r="A127" s="102">
        <v>113</v>
      </c>
      <c r="B127" s="19" t="s">
        <v>143</v>
      </c>
      <c r="C127" s="19" t="s">
        <v>144</v>
      </c>
      <c r="D127" s="17">
        <v>30010654063.060001</v>
      </c>
      <c r="E127" s="17">
        <v>259183779.11000001</v>
      </c>
      <c r="F127" s="17">
        <v>0</v>
      </c>
      <c r="G127" s="17">
        <v>54488302.359999999</v>
      </c>
      <c r="H127" s="12">
        <f t="shared" si="48"/>
        <v>204695476.75</v>
      </c>
      <c r="I127" s="29">
        <v>28881904048.360001</v>
      </c>
      <c r="J127" s="13">
        <f t="shared" si="41"/>
        <v>1.5665155766140328E-2</v>
      </c>
      <c r="K127" s="29">
        <v>30300728256.040001</v>
      </c>
      <c r="L127" s="13">
        <f t="shared" si="42"/>
        <v>1.5528962744002174E-2</v>
      </c>
      <c r="M127" s="13">
        <f t="shared" si="49"/>
        <v>4.9125023243076847E-2</v>
      </c>
      <c r="N127" s="20">
        <f t="shared" si="50"/>
        <v>1.7982505865725706E-3</v>
      </c>
      <c r="O127" s="21">
        <f t="shared" si="51"/>
        <v>6.7554639287983774E-3</v>
      </c>
      <c r="P127" s="24">
        <f t="shared" si="52"/>
        <v>166113.30659525245</v>
      </c>
      <c r="Q127" s="24">
        <f t="shared" si="53"/>
        <v>1122.1724507976537</v>
      </c>
      <c r="R127" s="10">
        <v>166113.31</v>
      </c>
      <c r="S127" s="10">
        <v>166113.31</v>
      </c>
      <c r="T127" s="10">
        <f>549+34+31</f>
        <v>614</v>
      </c>
      <c r="U127" s="10">
        <v>178091</v>
      </c>
      <c r="V127" s="10">
        <v>182410</v>
      </c>
    </row>
    <row r="128" spans="1:24">
      <c r="A128" s="102">
        <v>114</v>
      </c>
      <c r="B128" s="19" t="s">
        <v>145</v>
      </c>
      <c r="C128" s="19" t="s">
        <v>42</v>
      </c>
      <c r="D128" s="17">
        <f>1774562.52*FX_RATE</f>
        <v>2833424632.9525323</v>
      </c>
      <c r="E128" s="17">
        <f>36808.63*FX_RATE</f>
        <v>58771938.306933001</v>
      </c>
      <c r="F128" s="17">
        <v>0</v>
      </c>
      <c r="G128" s="17">
        <f>3754.87*FX_RATE</f>
        <v>5995360.0009169998</v>
      </c>
      <c r="H128" s="12">
        <f t="shared" si="48"/>
        <v>52776578.306015998</v>
      </c>
      <c r="I128" s="29">
        <v>2610788201.5239964</v>
      </c>
      <c r="J128" s="13">
        <f t="shared" si="41"/>
        <v>1.4160563576692965E-3</v>
      </c>
      <c r="K128" s="29">
        <f>1770807.65*FX_RATE</f>
        <v>2827429272.9516149</v>
      </c>
      <c r="L128" s="13">
        <f t="shared" si="42"/>
        <v>1.4490425269635084E-3</v>
      </c>
      <c r="M128" s="13">
        <f t="shared" si="49"/>
        <v>8.2979182800488577E-2</v>
      </c>
      <c r="N128" s="20">
        <f t="shared" si="50"/>
        <v>2.1204279301594389E-3</v>
      </c>
      <c r="O128" s="21">
        <f t="shared" si="51"/>
        <v>1.8665923427651783E-2</v>
      </c>
      <c r="P128" s="24">
        <f t="shared" si="52"/>
        <v>228047.17956062334</v>
      </c>
      <c r="Q128" s="24">
        <f t="shared" si="53"/>
        <v>4256.7111915705518</v>
      </c>
      <c r="R128" s="10">
        <f>138.25*FX_RATE</f>
        <v>220742.268075</v>
      </c>
      <c r="S128" s="10">
        <f>142.92*FX_RATE</f>
        <v>228198.80617199998</v>
      </c>
      <c r="T128" s="10">
        <v>51</v>
      </c>
      <c r="U128" s="10">
        <v>12574.44</v>
      </c>
      <c r="V128" s="10">
        <v>12398.44</v>
      </c>
    </row>
    <row r="129" spans="1:22" ht="8.1" customHeight="1">
      <c r="A129" s="128"/>
      <c r="B129" s="128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</row>
    <row r="130" spans="1:22">
      <c r="A130" s="127" t="s">
        <v>146</v>
      </c>
      <c r="B130" s="127"/>
      <c r="C130" s="127"/>
      <c r="D130" s="127"/>
      <c r="E130" s="127"/>
      <c r="F130" s="127"/>
      <c r="G130" s="127"/>
      <c r="H130" s="127"/>
      <c r="I130" s="127"/>
      <c r="J130" s="127"/>
      <c r="K130" s="127"/>
      <c r="L130" s="127"/>
      <c r="M130" s="127"/>
      <c r="N130" s="127"/>
      <c r="O130" s="127"/>
      <c r="P130" s="127"/>
      <c r="Q130" s="127"/>
      <c r="R130" s="127"/>
      <c r="S130" s="127"/>
      <c r="T130" s="127"/>
      <c r="U130" s="127"/>
      <c r="V130" s="127"/>
    </row>
    <row r="131" spans="1:22">
      <c r="A131" s="93">
        <v>115</v>
      </c>
      <c r="B131" s="19" t="s">
        <v>147</v>
      </c>
      <c r="C131" s="97" t="s">
        <v>101</v>
      </c>
      <c r="D131" s="48">
        <f>981601.7*FX_RATE</f>
        <v>1567312734.9314699</v>
      </c>
      <c r="E131" s="10">
        <f>8495.7*FX_RATE</f>
        <v>13564991.586870002</v>
      </c>
      <c r="F131" s="10">
        <v>0</v>
      </c>
      <c r="G131" s="10">
        <f>1854.77*FX_RATE</f>
        <v>2961491.0420070002</v>
      </c>
      <c r="H131" s="12">
        <f>(E131+F131)-G131</f>
        <v>10603500.544863001</v>
      </c>
      <c r="I131" s="10">
        <v>1856991669.9514439</v>
      </c>
      <c r="J131" s="13">
        <f t="shared" ref="J131:J146" si="54">(I131/$I$147)</f>
        <v>1.0072072712902125E-3</v>
      </c>
      <c r="K131" s="10">
        <f>1152018.93*FX_RATE</f>
        <v>1839416068.524663</v>
      </c>
      <c r="L131" s="13">
        <f t="shared" ref="L131:L146" si="55">(K131/$K$147)</f>
        <v>9.4269099268743111E-4</v>
      </c>
      <c r="M131" s="13">
        <f t="shared" ref="M131:M147" si="56">((K131-I131)/I131)</f>
        <v>-9.464555878831972E-3</v>
      </c>
      <c r="N131" s="20">
        <f t="shared" ref="N131" si="57">(G131/K131)</f>
        <v>1.6100169465097247E-3</v>
      </c>
      <c r="O131" s="21">
        <f t="shared" ref="O131" si="58">H131/K131</f>
        <v>5.764601454943106E-3</v>
      </c>
      <c r="P131" s="22">
        <f t="shared" ref="P131" si="59">K131/V131</f>
        <v>160116.30122951453</v>
      </c>
      <c r="Q131" s="22">
        <f t="shared" ref="Q131" si="60">H131/V131</f>
        <v>923.00666302776813</v>
      </c>
      <c r="R131" s="10">
        <f>100.28*FX_RATE</f>
        <v>160115.98294800002</v>
      </c>
      <c r="S131" s="10">
        <f>100.28*FX_RATE</f>
        <v>160115.98294800002</v>
      </c>
      <c r="T131" s="10">
        <v>23</v>
      </c>
      <c r="U131" s="17">
        <v>11030</v>
      </c>
      <c r="V131" s="17">
        <v>11488</v>
      </c>
    </row>
    <row r="132" spans="1:22">
      <c r="A132" s="106">
        <v>116</v>
      </c>
      <c r="B132" s="19" t="s">
        <v>148</v>
      </c>
      <c r="C132" s="97" t="s">
        <v>28</v>
      </c>
      <c r="D132" s="48">
        <f>9005449.04*FX_RATE</f>
        <v>14378902322.773462</v>
      </c>
      <c r="E132" s="10">
        <f>70620.37*FX_RATE</f>
        <v>112758775.016967</v>
      </c>
      <c r="F132" s="10">
        <v>0</v>
      </c>
      <c r="G132" s="10">
        <f>13362.46*FX_RATE</f>
        <v>21335694.231185999</v>
      </c>
      <c r="H132" s="12">
        <f t="shared" ref="H132:H146" si="61">(E132+F132)-G132</f>
        <v>91423080.785780996</v>
      </c>
      <c r="I132" s="10">
        <v>17936535418.194824</v>
      </c>
      <c r="J132" s="13">
        <f t="shared" si="54"/>
        <v>9.7285352364734311E-3</v>
      </c>
      <c r="K132" s="10">
        <f>11791564.53*FX_RATE</f>
        <v>18827462556.997623</v>
      </c>
      <c r="L132" s="13">
        <f t="shared" si="55"/>
        <v>9.6489748411717532E-3</v>
      </c>
      <c r="M132" s="13">
        <f t="shared" ref="M132:M146" si="62">((K132-I132)/I132)</f>
        <v>4.9671082961709682E-2</v>
      </c>
      <c r="N132" s="20">
        <f t="shared" ref="N132:N146" si="63">(G132/K132)</f>
        <v>1.133221971181461E-3</v>
      </c>
      <c r="O132" s="21">
        <f t="shared" ref="O132:O146" si="64">H132/K132</f>
        <v>4.8558365477562289E-3</v>
      </c>
      <c r="P132" s="22">
        <f t="shared" ref="P132:P146" si="65">K132/V132</f>
        <v>218558.60913676777</v>
      </c>
      <c r="Q132" s="22">
        <f t="shared" ref="Q132:Q146" si="66">H132/V132</f>
        <v>1061.2848820730853</v>
      </c>
      <c r="R132" s="10">
        <f>136.24*FX_RATE</f>
        <v>217532.92298400003</v>
      </c>
      <c r="S132" s="10">
        <f>136.24*FX_RATE</f>
        <v>217532.92298400003</v>
      </c>
      <c r="T132" s="10">
        <v>559</v>
      </c>
      <c r="U132" s="17">
        <v>85859.33</v>
      </c>
      <c r="V132" s="17">
        <v>86143.77</v>
      </c>
    </row>
    <row r="133" spans="1:22" ht="14.1" customHeight="1">
      <c r="A133" s="119">
        <v>117</v>
      </c>
      <c r="B133" s="19" t="s">
        <v>149</v>
      </c>
      <c r="C133" s="19" t="s">
        <v>62</v>
      </c>
      <c r="D133" s="48">
        <f>10859612.7*FX_RATE</f>
        <v>17339425228.311569</v>
      </c>
      <c r="E133" s="10">
        <f>74127.02*FX_RATE</f>
        <v>118357804.84948201</v>
      </c>
      <c r="F133" s="10">
        <v>0</v>
      </c>
      <c r="G133" s="10">
        <f>18740.05*FX_RATE</f>
        <v>29922033.568454999</v>
      </c>
      <c r="H133" s="12">
        <f t="shared" si="61"/>
        <v>88435771.281027019</v>
      </c>
      <c r="I133" s="10">
        <v>17170944901.12833</v>
      </c>
      <c r="J133" s="13">
        <f t="shared" si="54"/>
        <v>9.3132892512071807E-3</v>
      </c>
      <c r="K133" s="10">
        <f>11317483.16*FX_RATE</f>
        <v>18070502001.005558</v>
      </c>
      <c r="L133" s="13">
        <f t="shared" si="55"/>
        <v>9.2610365654526936E-3</v>
      </c>
      <c r="M133" s="13">
        <f t="shared" si="62"/>
        <v>5.2388328368470648E-2</v>
      </c>
      <c r="N133" s="20">
        <f t="shared" si="63"/>
        <v>1.6558496032257402E-3</v>
      </c>
      <c r="O133" s="21">
        <f t="shared" si="64"/>
        <v>4.8939299680831163E-3</v>
      </c>
      <c r="P133" s="22">
        <f t="shared" si="65"/>
        <v>190699.58527428063</v>
      </c>
      <c r="Q133" s="22">
        <f t="shared" si="66"/>
        <v>933.27041527482368</v>
      </c>
      <c r="R133" s="10">
        <f>119.31*FX_RATE</f>
        <v>190500.976521</v>
      </c>
      <c r="S133" s="10">
        <f>119.31*FX_RATE</f>
        <v>190500.976521</v>
      </c>
      <c r="T133" s="10">
        <f>373+36+16</f>
        <v>425</v>
      </c>
      <c r="U133" s="17">
        <v>94960</v>
      </c>
      <c r="V133" s="17">
        <v>94759</v>
      </c>
    </row>
    <row r="134" spans="1:22" ht="14.1" customHeight="1">
      <c r="A134" s="119">
        <v>118</v>
      </c>
      <c r="B134" s="98" t="s">
        <v>258</v>
      </c>
      <c r="C134" s="99" t="s">
        <v>64</v>
      </c>
      <c r="D134" s="48">
        <v>88316316.329999998</v>
      </c>
      <c r="E134" s="10">
        <v>603754.44999999995</v>
      </c>
      <c r="F134" s="10">
        <v>0</v>
      </c>
      <c r="G134" s="10">
        <v>292433.67</v>
      </c>
      <c r="H134" s="12">
        <f t="shared" si="61"/>
        <v>311320.77999999997</v>
      </c>
      <c r="I134" s="10">
        <v>89202760.219999999</v>
      </c>
      <c r="J134" s="13">
        <f t="shared" si="54"/>
        <v>4.8382375735207567E-5</v>
      </c>
      <c r="K134" s="10">
        <v>195992181.08000001</v>
      </c>
      <c r="L134" s="13">
        <f t="shared" si="55"/>
        <v>1.0044495473472195E-4</v>
      </c>
      <c r="M134" s="13">
        <f t="shared" si="62"/>
        <v>1.1971537718858272</v>
      </c>
      <c r="N134" s="20">
        <f t="shared" si="63"/>
        <v>1.4920680426564288E-3</v>
      </c>
      <c r="O134" s="21">
        <f t="shared" si="64"/>
        <v>1.5884346930805631E-3</v>
      </c>
      <c r="P134" s="22">
        <f t="shared" si="65"/>
        <v>1550.8136128570111</v>
      </c>
      <c r="Q134" s="22">
        <f t="shared" si="66"/>
        <v>2.4633661451636857</v>
      </c>
      <c r="R134" s="10">
        <f>0.9874*FX_RATE</f>
        <v>1576.5708173400001</v>
      </c>
      <c r="S134" s="10">
        <f>0.9874*FX_RATE</f>
        <v>1576.5708173400001</v>
      </c>
      <c r="T134" s="10">
        <v>3</v>
      </c>
      <c r="U134" s="17">
        <v>60215.79</v>
      </c>
      <c r="V134" s="17">
        <v>126380.23</v>
      </c>
    </row>
    <row r="135" spans="1:22" ht="15" customHeight="1">
      <c r="A135" s="119">
        <v>119</v>
      </c>
      <c r="B135" s="19" t="s">
        <v>150</v>
      </c>
      <c r="C135" s="97" t="s">
        <v>60</v>
      </c>
      <c r="D135" s="48">
        <f>5949583.17*FX_RATE</f>
        <v>9499634597.0824471</v>
      </c>
      <c r="E135" s="10">
        <f>33533.82*FX_RATE</f>
        <v>53543084.875362001</v>
      </c>
      <c r="F135" s="10">
        <v>0</v>
      </c>
      <c r="G135" s="10">
        <f>6858.33*FX_RATE</f>
        <v>10950620.755202999</v>
      </c>
      <c r="H135" s="12">
        <f t="shared" si="61"/>
        <v>42592464.120159</v>
      </c>
      <c r="I135" s="10">
        <v>6995949885.2580223</v>
      </c>
      <c r="J135" s="13">
        <f t="shared" si="54"/>
        <v>3.7945089943230898E-3</v>
      </c>
      <c r="K135" s="10">
        <f>6046959.22*FX_RATE</f>
        <v>9655113874.718502</v>
      </c>
      <c r="L135" s="13">
        <f t="shared" si="55"/>
        <v>4.9481947226702383E-3</v>
      </c>
      <c r="M135" s="13">
        <f t="shared" si="62"/>
        <v>0.38010049143775498</v>
      </c>
      <c r="N135" s="20">
        <f t="shared" si="63"/>
        <v>1.1341783118557231E-3</v>
      </c>
      <c r="O135" s="21">
        <f t="shared" si="64"/>
        <v>4.4113891014465941E-3</v>
      </c>
      <c r="P135" s="22">
        <f t="shared" si="65"/>
        <v>2057.5769944367912</v>
      </c>
      <c r="Q135" s="22">
        <f t="shared" si="66"/>
        <v>9.0767727286457021</v>
      </c>
      <c r="R135" s="10">
        <f>1.29*FX_RATE</f>
        <v>2059.7289390000001</v>
      </c>
      <c r="S135" s="10">
        <f>1.29*FX_RATE</f>
        <v>2059.7289390000001</v>
      </c>
      <c r="T135" s="10">
        <v>249</v>
      </c>
      <c r="U135" s="17">
        <v>3549667.7</v>
      </c>
      <c r="V135" s="17">
        <v>4692467.84</v>
      </c>
    </row>
    <row r="136" spans="1:22" ht="15" customHeight="1">
      <c r="A136" s="119">
        <v>120</v>
      </c>
      <c r="B136" s="97" t="s">
        <v>270</v>
      </c>
      <c r="C136" s="97" t="s">
        <v>36</v>
      </c>
      <c r="D136" s="48">
        <f>62242997.7*FX_RATE</f>
        <v>99382715978.915085</v>
      </c>
      <c r="E136" s="10">
        <f>304487.01*FX_RATE</f>
        <v>486171089.95859104</v>
      </c>
      <c r="F136" s="10">
        <v>0</v>
      </c>
      <c r="G136" s="10">
        <f>74764.43*FX_RATE</f>
        <v>119375550.44871299</v>
      </c>
      <c r="H136" s="12">
        <f t="shared" ref="H136" si="67">(E136+F136)-G136</f>
        <v>366795539.50987804</v>
      </c>
      <c r="I136" s="10">
        <v>94894545905.026398</v>
      </c>
      <c r="J136" s="13">
        <f t="shared" si="54"/>
        <v>5.1469523632179034E-2</v>
      </c>
      <c r="K136" s="10">
        <f>61265207*FX_RATE</f>
        <v>97821488226.143707</v>
      </c>
      <c r="L136" s="13">
        <f t="shared" si="55"/>
        <v>5.0132994606287382E-2</v>
      </c>
      <c r="M136" s="13">
        <f t="shared" si="62"/>
        <v>3.0844157514033424E-2</v>
      </c>
      <c r="N136" s="20">
        <f t="shared" si="63"/>
        <v>1.220340771883787E-3</v>
      </c>
      <c r="O136" s="21">
        <f t="shared" si="64"/>
        <v>3.7496417828148366E-3</v>
      </c>
      <c r="P136" s="22">
        <f t="shared" si="65"/>
        <v>159668.91000000003</v>
      </c>
      <c r="Q136" s="22">
        <f t="shared" si="66"/>
        <v>598.70121635250177</v>
      </c>
      <c r="R136" s="10">
        <f>100*FX_RATE</f>
        <v>159668.91</v>
      </c>
      <c r="S136" s="10">
        <f>100*FX_RATE</f>
        <v>159668.91</v>
      </c>
      <c r="T136" s="10">
        <v>1819</v>
      </c>
      <c r="U136" s="17">
        <v>617475.07999999996</v>
      </c>
      <c r="V136" s="17">
        <v>612652.06999999995</v>
      </c>
    </row>
    <row r="137" spans="1:22" ht="15" customHeight="1">
      <c r="A137" s="119">
        <v>121</v>
      </c>
      <c r="B137" s="98" t="s">
        <v>234</v>
      </c>
      <c r="C137" s="99" t="s">
        <v>235</v>
      </c>
      <c r="D137" s="48">
        <f>1043281.86*FX_RATE</f>
        <v>1665796774.089726</v>
      </c>
      <c r="E137" s="10">
        <f>5891.7*FX_RATE</f>
        <v>9407213.1704699993</v>
      </c>
      <c r="F137" s="10">
        <v>0</v>
      </c>
      <c r="G137" s="10">
        <f>1531.56*FX_RATE</f>
        <v>2445425.1579959998</v>
      </c>
      <c r="H137" s="12">
        <f t="shared" si="61"/>
        <v>6961788.0124739995</v>
      </c>
      <c r="I137" s="10">
        <v>1608090366.1176641</v>
      </c>
      <c r="J137" s="13">
        <f t="shared" si="54"/>
        <v>8.7220655636425246E-4</v>
      </c>
      <c r="K137" s="10">
        <f>1004875.38*FX_RATE</f>
        <v>1604473566.104358</v>
      </c>
      <c r="L137" s="13">
        <f t="shared" si="55"/>
        <v>8.2228420456542293E-4</v>
      </c>
      <c r="M137" s="13">
        <f t="shared" si="62"/>
        <v>-2.249127343532322E-3</v>
      </c>
      <c r="N137" s="20">
        <f t="shared" si="63"/>
        <v>1.5241292905394895E-3</v>
      </c>
      <c r="O137" s="21">
        <f t="shared" si="64"/>
        <v>4.3389857954326634E-3</v>
      </c>
      <c r="P137" s="22">
        <f t="shared" si="65"/>
        <v>1714.6835479920505</v>
      </c>
      <c r="Q137" s="22">
        <f t="shared" si="66"/>
        <v>7.4399875583995883</v>
      </c>
      <c r="R137" s="10">
        <f>1.0739*FX_RATE</f>
        <v>1714.6844244900001</v>
      </c>
      <c r="S137" s="10">
        <f>1.1149*FX_RATE</f>
        <v>1780.14867759</v>
      </c>
      <c r="T137" s="10">
        <v>36</v>
      </c>
      <c r="U137" s="17">
        <v>986339.33</v>
      </c>
      <c r="V137" s="17">
        <v>935725.76</v>
      </c>
    </row>
    <row r="138" spans="1:22" ht="15" customHeight="1">
      <c r="A138" s="119">
        <v>122</v>
      </c>
      <c r="B138" s="98" t="s">
        <v>236</v>
      </c>
      <c r="C138" s="99" t="s">
        <v>40</v>
      </c>
      <c r="D138" s="48">
        <f>2581822.75*FX_RATE</f>
        <v>4122368243.057025</v>
      </c>
      <c r="E138" s="10">
        <f>24306.51*FX_RATE</f>
        <v>38809939.576040998</v>
      </c>
      <c r="F138" s="10">
        <f>310.47*FX_RATE</f>
        <v>495724.06487700006</v>
      </c>
      <c r="G138" s="10">
        <f>5435.33*FX_RATE</f>
        <v>8678532.1659030002</v>
      </c>
      <c r="H138" s="12">
        <f t="shared" si="61"/>
        <v>30627131.475015</v>
      </c>
      <c r="I138" s="10">
        <v>4665660950.0823927</v>
      </c>
      <c r="J138" s="13">
        <f t="shared" si="54"/>
        <v>2.5305916608773281E-3</v>
      </c>
      <c r="K138" s="10">
        <f>3214122.21*FX_RATE</f>
        <v>5131953898.7749109</v>
      </c>
      <c r="L138" s="13">
        <f t="shared" si="55"/>
        <v>2.6300991918280546E-3</v>
      </c>
      <c r="M138" s="13">
        <f t="shared" si="62"/>
        <v>9.9941456029779399E-2</v>
      </c>
      <c r="N138" s="20">
        <f t="shared" si="63"/>
        <v>1.6910775772897573E-3</v>
      </c>
      <c r="O138" s="21">
        <f t="shared" si="64"/>
        <v>5.9679280210070173E-3</v>
      </c>
      <c r="P138" s="22">
        <f t="shared" si="65"/>
        <v>16923.700363968059</v>
      </c>
      <c r="Q138" s="22">
        <f t="shared" si="66"/>
        <v>100.99942562125163</v>
      </c>
      <c r="R138" s="10">
        <f>10.6*FX_RATE</f>
        <v>16924.904460000002</v>
      </c>
      <c r="S138" s="10">
        <f>10.6*FX_RATE</f>
        <v>16924.904460000002</v>
      </c>
      <c r="T138" s="10">
        <v>125</v>
      </c>
      <c r="U138" s="17">
        <v>288116.67</v>
      </c>
      <c r="V138" s="17">
        <v>303240.65000000002</v>
      </c>
    </row>
    <row r="139" spans="1:22">
      <c r="A139" s="119">
        <v>123</v>
      </c>
      <c r="B139" s="97" t="s">
        <v>151</v>
      </c>
      <c r="C139" s="97" t="s">
        <v>44</v>
      </c>
      <c r="D139" s="48">
        <f>15743184.51*FX_RATE</f>
        <v>25136971106.405842</v>
      </c>
      <c r="E139" s="10">
        <f>119518.22*FX_RATE</f>
        <v>190833439.125402</v>
      </c>
      <c r="F139" s="10">
        <f>-266791.95*FX_RATE</f>
        <v>-425983798.532745</v>
      </c>
      <c r="G139" s="10">
        <f>25995.35*FX_RATE</f>
        <v>41506491.995684996</v>
      </c>
      <c r="H139" s="12">
        <f t="shared" si="61"/>
        <v>-276656851.40302801</v>
      </c>
      <c r="I139" s="10">
        <v>25002872911.699696</v>
      </c>
      <c r="J139" s="13">
        <f t="shared" si="54"/>
        <v>1.3561221521509303E-2</v>
      </c>
      <c r="K139" s="10">
        <f>15714659.32*FX_RATE</f>
        <v>25091425246.457413</v>
      </c>
      <c r="L139" s="13">
        <f t="shared" si="55"/>
        <v>1.2859222542563248E-2</v>
      </c>
      <c r="M139" s="13">
        <f t="shared" si="62"/>
        <v>3.5416863922177709E-3</v>
      </c>
      <c r="N139" s="20">
        <f t="shared" si="63"/>
        <v>1.6542102167570246E-3</v>
      </c>
      <c r="O139" s="21">
        <f t="shared" si="64"/>
        <v>-1.1025952040810772E-2</v>
      </c>
      <c r="P139" s="22">
        <f t="shared" si="65"/>
        <v>1623.2939639380993</v>
      </c>
      <c r="Q139" s="22">
        <f t="shared" si="66"/>
        <v>-17.898361394519092</v>
      </c>
      <c r="R139" s="10">
        <f>1.02*FX_RATE</f>
        <v>1628.6228820000001</v>
      </c>
      <c r="S139" s="10">
        <f>1.02*FX_RATE</f>
        <v>1628.6228820000001</v>
      </c>
      <c r="T139" s="10">
        <v>513</v>
      </c>
      <c r="U139" s="17">
        <v>15389476</v>
      </c>
      <c r="V139" s="17">
        <v>15457105</v>
      </c>
    </row>
    <row r="140" spans="1:22">
      <c r="A140" s="119">
        <v>124</v>
      </c>
      <c r="B140" s="19" t="s">
        <v>152</v>
      </c>
      <c r="C140" s="97" t="s">
        <v>83</v>
      </c>
      <c r="D140" s="48">
        <f>246710.36*FX_RATE</f>
        <v>393919742.66907597</v>
      </c>
      <c r="E140" s="10">
        <f>1602.84*FX_RATE</f>
        <v>2559237.157044</v>
      </c>
      <c r="F140" s="10">
        <f>4891.23*FX_RATE</f>
        <v>7809773.6265929993</v>
      </c>
      <c r="G140" s="10">
        <f>96.72*FX_RATE</f>
        <v>154431.76975199999</v>
      </c>
      <c r="H140" s="12">
        <f t="shared" si="61"/>
        <v>10214579.013884999</v>
      </c>
      <c r="I140" s="10">
        <v>412457263.44825602</v>
      </c>
      <c r="J140" s="13">
        <f t="shared" si="54"/>
        <v>2.2371126460271566E-4</v>
      </c>
      <c r="K140" s="10">
        <f>260389.11*FX_RATE</f>
        <v>415760453.695701</v>
      </c>
      <c r="L140" s="13">
        <f t="shared" si="55"/>
        <v>2.130750304518839E-4</v>
      </c>
      <c r="M140" s="13">
        <f t="shared" si="62"/>
        <v>8.0085636505208072E-3</v>
      </c>
      <c r="N140" s="20">
        <f t="shared" si="63"/>
        <v>3.714441053237595E-4</v>
      </c>
      <c r="O140" s="21">
        <f t="shared" si="64"/>
        <v>2.4568423771639297E-2</v>
      </c>
      <c r="P140" s="22" t="e">
        <f t="shared" si="65"/>
        <v>#DIV/0!</v>
      </c>
      <c r="Q140" s="22" t="e">
        <f t="shared" si="66"/>
        <v>#DIV/0!</v>
      </c>
      <c r="R140" s="10">
        <f>1.0083*FX_RATE</f>
        <v>1609.94161953</v>
      </c>
      <c r="S140" s="10">
        <f>1.0083*FX_RATE</f>
        <v>1609.94161953</v>
      </c>
      <c r="T140" s="10">
        <v>2</v>
      </c>
      <c r="U140" s="17">
        <v>261485</v>
      </c>
      <c r="V140" s="17">
        <v>0</v>
      </c>
    </row>
    <row r="141" spans="1:22">
      <c r="A141" s="119">
        <v>125</v>
      </c>
      <c r="B141" s="19" t="s">
        <v>282</v>
      </c>
      <c r="C141" s="97" t="s">
        <v>283</v>
      </c>
      <c r="D141" s="48">
        <f>339946.63*FX_RATE</f>
        <v>542789078.70273304</v>
      </c>
      <c r="E141" s="10">
        <f>2001.76*FX_RATE</f>
        <v>3196188.3728160001</v>
      </c>
      <c r="F141" s="10"/>
      <c r="G141" s="10">
        <f>601.83*FX_RATE</f>
        <v>960935.40105300013</v>
      </c>
      <c r="H141" s="12">
        <f t="shared" si="61"/>
        <v>2235252.9717629999</v>
      </c>
      <c r="I141" s="10">
        <v>0</v>
      </c>
      <c r="J141" s="13">
        <f t="shared" si="54"/>
        <v>0</v>
      </c>
      <c r="K141" s="10">
        <f>415498.31*FX_RATE</f>
        <v>663421622.64542103</v>
      </c>
      <c r="L141" s="13">
        <f t="shared" si="55"/>
        <v>3.4000006780604726E-4</v>
      </c>
      <c r="M141" s="13" t="e">
        <f t="shared" si="62"/>
        <v>#DIV/0!</v>
      </c>
      <c r="N141" s="20">
        <f t="shared" si="63"/>
        <v>1.4484535448531669E-3</v>
      </c>
      <c r="O141" s="21">
        <f t="shared" si="64"/>
        <v>3.3692796488149373E-3</v>
      </c>
      <c r="P141" s="22">
        <f t="shared" si="65"/>
        <v>1602.6807202064108</v>
      </c>
      <c r="Q141" s="22">
        <f t="shared" si="66"/>
        <v>5.3998795341395258</v>
      </c>
      <c r="R141" s="10">
        <f>1.0045*FX_RATE</f>
        <v>1603.8742009499999</v>
      </c>
      <c r="S141" s="10">
        <f>1.0045*FX_RATE</f>
        <v>1603.8742009499999</v>
      </c>
      <c r="T141" s="10">
        <v>5</v>
      </c>
      <c r="U141" s="17">
        <v>314000</v>
      </c>
      <c r="V141" s="17">
        <v>413944.97</v>
      </c>
    </row>
    <row r="142" spans="1:22">
      <c r="A142" s="119">
        <v>126</v>
      </c>
      <c r="B142" s="19" t="s">
        <v>153</v>
      </c>
      <c r="C142" s="19" t="s">
        <v>46</v>
      </c>
      <c r="D142" s="48">
        <f>671719032.21*FX_RATE</f>
        <v>1072526456992.256</v>
      </c>
      <c r="E142" s="10">
        <f>4796738.59*FX_RATE</f>
        <v>7658900222.2023687</v>
      </c>
      <c r="F142" s="10">
        <v>0</v>
      </c>
      <c r="G142" s="10">
        <f>1073466.58*FX_RATE</f>
        <v>1713992387.5002782</v>
      </c>
      <c r="H142" s="12">
        <f t="shared" si="61"/>
        <v>5944907834.7020903</v>
      </c>
      <c r="I142" s="10">
        <v>1016707743983.9647</v>
      </c>
      <c r="J142" s="13">
        <f t="shared" si="54"/>
        <v>0.55144858702812238</v>
      </c>
      <c r="K142" s="10">
        <f>674286156.59*FX_RATE</f>
        <v>1076625356508.1462</v>
      </c>
      <c r="L142" s="13">
        <f t="shared" si="55"/>
        <v>0.55176479288514801</v>
      </c>
      <c r="M142" s="13">
        <f t="shared" si="62"/>
        <v>5.8932975458015714E-2</v>
      </c>
      <c r="N142" s="20">
        <f t="shared" si="63"/>
        <v>1.5920044768955889E-3</v>
      </c>
      <c r="O142" s="21">
        <f t="shared" si="64"/>
        <v>5.5217980876684919E-3</v>
      </c>
      <c r="P142" s="22">
        <f t="shared" si="65"/>
        <v>2570.470061514678</v>
      </c>
      <c r="Q142" s="22">
        <f t="shared" si="66"/>
        <v>14.193616670080861</v>
      </c>
      <c r="R142" s="10">
        <f>1.6099*FX_RATE</f>
        <v>2570.50978209</v>
      </c>
      <c r="S142" s="10">
        <f>1.6099*FX_RATE</f>
        <v>2570.50978209</v>
      </c>
      <c r="T142" s="10">
        <v>10695</v>
      </c>
      <c r="U142" s="17">
        <v>413254651.33999997</v>
      </c>
      <c r="V142" s="17">
        <v>418843764.26999998</v>
      </c>
    </row>
    <row r="143" spans="1:22">
      <c r="A143" s="119">
        <v>127</v>
      </c>
      <c r="B143" s="19" t="s">
        <v>290</v>
      </c>
      <c r="C143" s="19" t="s">
        <v>291</v>
      </c>
      <c r="D143" s="48">
        <v>457965729.26999998</v>
      </c>
      <c r="E143" s="10">
        <v>2886649.45</v>
      </c>
      <c r="F143" s="10"/>
      <c r="G143" s="10">
        <v>2059843.15</v>
      </c>
      <c r="H143" s="12">
        <f t="shared" si="61"/>
        <v>826806.30000000028</v>
      </c>
      <c r="I143" s="10">
        <v>438654809.54000002</v>
      </c>
      <c r="J143" s="13">
        <f t="shared" si="54"/>
        <v>2.3792046076688314E-4</v>
      </c>
      <c r="K143" s="10">
        <v>480005429.44</v>
      </c>
      <c r="L143" s="13">
        <f t="shared" si="55"/>
        <v>2.460002402485717E-4</v>
      </c>
      <c r="M143" s="13">
        <f t="shared" si="62"/>
        <v>9.4266879105606383E-2</v>
      </c>
      <c r="N143" s="20">
        <f t="shared" si="63"/>
        <v>4.2912913556063794E-3</v>
      </c>
      <c r="O143" s="21">
        <f t="shared" si="64"/>
        <v>1.7224936413002593E-3</v>
      </c>
      <c r="P143" s="22">
        <f t="shared" si="65"/>
        <v>160282.83905781471</v>
      </c>
      <c r="Q143" s="22">
        <f t="shared" si="66"/>
        <v>276.08617108663867</v>
      </c>
      <c r="R143" s="10">
        <v>163004.26999999999</v>
      </c>
      <c r="S143" s="10">
        <v>163004.26999999999</v>
      </c>
      <c r="T143" s="10">
        <v>21</v>
      </c>
      <c r="U143" s="17">
        <v>2806.48</v>
      </c>
      <c r="V143" s="17">
        <v>2994.74</v>
      </c>
    </row>
    <row r="144" spans="1:22">
      <c r="A144" s="119">
        <v>128</v>
      </c>
      <c r="B144" s="19" t="s">
        <v>154</v>
      </c>
      <c r="C144" s="19" t="s">
        <v>50</v>
      </c>
      <c r="D144" s="48">
        <f>74327159*FX_RATE</f>
        <v>118677364609.26691</v>
      </c>
      <c r="E144" s="10">
        <f xml:space="preserve"> 974250*FX_RATE</f>
        <v>1555574355.675</v>
      </c>
      <c r="F144" s="10">
        <v>0</v>
      </c>
      <c r="G144" s="10">
        <f>254041*FX_RATE</f>
        <v>405624495.65310001</v>
      </c>
      <c r="H144" s="12">
        <f t="shared" si="61"/>
        <v>1149949860.0218999</v>
      </c>
      <c r="I144" s="10">
        <v>210827299431.021</v>
      </c>
      <c r="J144" s="13">
        <f t="shared" si="54"/>
        <v>0.11434988772941325</v>
      </c>
      <c r="K144" s="10">
        <f>135797611*FX_RATE</f>
        <v>216826565289.74011</v>
      </c>
      <c r="L144" s="13">
        <f t="shared" si="55"/>
        <v>0.11112246629330269</v>
      </c>
      <c r="M144" s="13">
        <f t="shared" si="62"/>
        <v>2.8455830316614056E-2</v>
      </c>
      <c r="N144" s="20">
        <f t="shared" si="63"/>
        <v>1.8707324681875295E-3</v>
      </c>
      <c r="O144" s="21">
        <f t="shared" si="64"/>
        <v>5.3035469084945826E-3</v>
      </c>
      <c r="P144" s="22">
        <f t="shared" si="65"/>
        <v>1933.7701485420857</v>
      </c>
      <c r="Q144" s="22">
        <f t="shared" si="66"/>
        <v>10.255840693039488</v>
      </c>
      <c r="R144" s="10">
        <f>1.21*FX_RATE</f>
        <v>1931.9938110000001</v>
      </c>
      <c r="S144" s="10">
        <f>1.21*FX_RATE</f>
        <v>1931.9938110000001</v>
      </c>
      <c r="T144" s="10">
        <v>306</v>
      </c>
      <c r="U144" s="17">
        <v>115622489</v>
      </c>
      <c r="V144" s="17">
        <v>112126338</v>
      </c>
    </row>
    <row r="145" spans="1:22">
      <c r="A145" s="119">
        <v>129</v>
      </c>
      <c r="B145" s="19" t="s">
        <v>233</v>
      </c>
      <c r="C145" s="97" t="s">
        <v>213</v>
      </c>
      <c r="D145" s="48">
        <f>656494.56*FX_RATE</f>
        <v>1048217708.1612961</v>
      </c>
      <c r="E145" s="10">
        <f>4401.65*FX_RATE</f>
        <v>7028066.5770149995</v>
      </c>
      <c r="F145" s="10">
        <v>0</v>
      </c>
      <c r="G145" s="10">
        <f>1623.03*FX_RATE</f>
        <v>2591474.3099730001</v>
      </c>
      <c r="H145" s="12">
        <f t="shared" si="61"/>
        <v>4436592.2670419998</v>
      </c>
      <c r="I145" s="10">
        <v>829505303.05427194</v>
      </c>
      <c r="J145" s="13">
        <f t="shared" si="54"/>
        <v>4.4991250436352258E-4</v>
      </c>
      <c r="K145" s="10">
        <f>668908.44*FX_RATE</f>
        <v>1068038815.0460039</v>
      </c>
      <c r="L145" s="13">
        <f t="shared" si="55"/>
        <v>5.4736423586425006E-4</v>
      </c>
      <c r="M145" s="13">
        <f t="shared" si="62"/>
        <v>0.28756116580984115</v>
      </c>
      <c r="N145" s="20">
        <f t="shared" si="63"/>
        <v>2.4263858892257365E-3</v>
      </c>
      <c r="O145" s="21">
        <f t="shared" si="64"/>
        <v>4.1539616393538106E-3</v>
      </c>
      <c r="P145" s="22">
        <f t="shared" si="65"/>
        <v>57477.404884325755</v>
      </c>
      <c r="Q145" s="22">
        <f t="shared" si="66"/>
        <v>238.75893501909655</v>
      </c>
      <c r="R145" s="10">
        <f>105.04*FX_RATE</f>
        <v>167716.22306400002</v>
      </c>
      <c r="S145" s="10">
        <f>105.04*FX_RATE</f>
        <v>167716.22306400002</v>
      </c>
      <c r="T145" s="10">
        <v>23</v>
      </c>
      <c r="U145" s="17">
        <v>25000</v>
      </c>
      <c r="V145" s="17">
        <v>18581.89</v>
      </c>
    </row>
    <row r="146" spans="1:22">
      <c r="A146" s="119">
        <v>130</v>
      </c>
      <c r="B146" s="19" t="s">
        <v>288</v>
      </c>
      <c r="C146" s="97" t="s">
        <v>287</v>
      </c>
      <c r="D146" s="48">
        <f>7199.85*FX_RATE</f>
        <v>11495922.016635001</v>
      </c>
      <c r="E146" s="10">
        <f>7708.92*FX_RATE</f>
        <v>12308748.536772</v>
      </c>
      <c r="F146" s="10"/>
      <c r="G146" s="10">
        <f>1831.3*FX_RATE</f>
        <v>2924016.7488299999</v>
      </c>
      <c r="H146" s="12">
        <f t="shared" si="61"/>
        <v>9384731.7879419997</v>
      </c>
      <c r="I146" s="10">
        <v>1978511552.665102</v>
      </c>
      <c r="J146" s="13">
        <f t="shared" si="54"/>
        <v>1.0731180190097921E-3</v>
      </c>
      <c r="K146" s="10">
        <f>1179213.92*FX_RATE</f>
        <v>1882838012.632272</v>
      </c>
      <c r="L146" s="13">
        <f t="shared" si="55"/>
        <v>9.6494450905909774E-4</v>
      </c>
      <c r="M146" s="13">
        <f t="shared" si="62"/>
        <v>-4.835632114654851E-2</v>
      </c>
      <c r="N146" s="20">
        <f t="shared" si="63"/>
        <v>1.5529837029060851E-3</v>
      </c>
      <c r="O146" s="21">
        <f t="shared" si="64"/>
        <v>4.9843543230900797E-3</v>
      </c>
      <c r="P146" s="22">
        <f t="shared" si="65"/>
        <v>1979.2165982325157</v>
      </c>
      <c r="Q146" s="22">
        <f t="shared" si="66"/>
        <v>9.8651168077318818</v>
      </c>
      <c r="R146" s="10">
        <f>1.2396*FX_RATE</f>
        <v>1979.2558083600002</v>
      </c>
      <c r="S146" s="10">
        <f>1.2396*FX_RATE</f>
        <v>1979.2558083600002</v>
      </c>
      <c r="T146" s="10">
        <v>92</v>
      </c>
      <c r="U146" s="17">
        <v>1020321.92</v>
      </c>
      <c r="V146" s="17">
        <v>951304.68</v>
      </c>
    </row>
    <row r="147" spans="1:22" ht="15" customHeight="1">
      <c r="A147" s="124" t="s">
        <v>51</v>
      </c>
      <c r="B147" s="124"/>
      <c r="C147" s="124"/>
      <c r="D147" s="124"/>
      <c r="E147" s="124"/>
      <c r="F147" s="124"/>
      <c r="G147" s="124"/>
      <c r="H147" s="124"/>
      <c r="I147" s="26">
        <f>SUM(I112:I146)</f>
        <v>1843703597942.3325</v>
      </c>
      <c r="J147" s="35">
        <f>(I147/$I$218)</f>
        <v>0.38393755837857652</v>
      </c>
      <c r="K147" s="26">
        <f>SUM(K112:K146)</f>
        <v>1951239677469.3271</v>
      </c>
      <c r="L147" s="35">
        <f>(K147/$K$218)</f>
        <v>0.35836437167616392</v>
      </c>
      <c r="M147" s="35">
        <f t="shared" si="56"/>
        <v>5.8326121208967859E-2</v>
      </c>
      <c r="N147" s="20"/>
      <c r="O147" s="20"/>
      <c r="P147" s="36"/>
      <c r="Q147" s="36"/>
      <c r="R147" s="37"/>
      <c r="S147" s="37"/>
      <c r="T147" s="39">
        <f>SUM(T112:T145)</f>
        <v>21167</v>
      </c>
      <c r="U147" s="39"/>
      <c r="V147" s="37"/>
    </row>
    <row r="148" spans="1:22" ht="6.9" customHeight="1">
      <c r="A148" s="129"/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</row>
    <row r="149" spans="1:22">
      <c r="A149" s="123" t="s">
        <v>155</v>
      </c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</row>
    <row r="150" spans="1:22">
      <c r="A150" s="104">
        <v>131</v>
      </c>
      <c r="B150" s="105" t="s">
        <v>229</v>
      </c>
      <c r="C150" s="105" t="s">
        <v>230</v>
      </c>
      <c r="D150" s="27">
        <v>2443416820.3600001</v>
      </c>
      <c r="E150" s="27">
        <v>44316281.289999999</v>
      </c>
      <c r="F150" s="27">
        <v>0</v>
      </c>
      <c r="G150" s="27">
        <v>6534762.8200000003</v>
      </c>
      <c r="H150" s="12">
        <f t="shared" ref="H150:H155" si="68">(E150+F150)-G150</f>
        <v>37781518.469999999</v>
      </c>
      <c r="I150" s="28">
        <v>2321358634.0900002</v>
      </c>
      <c r="J150" s="13">
        <f>(I150/$I$156)</f>
        <v>2.226522967287959E-2</v>
      </c>
      <c r="K150" s="28">
        <v>2359122088.6199999</v>
      </c>
      <c r="L150" s="13">
        <f>(K150/$K$156)</f>
        <v>6.6299973691065824E-3</v>
      </c>
      <c r="M150" s="13">
        <f t="shared" ref="M150:M156" si="69">((K150-I150)/I150)</f>
        <v>1.6267824357438614E-2</v>
      </c>
      <c r="N150" s="20">
        <f>(G150/K150)</f>
        <v>2.7699977256465764E-3</v>
      </c>
      <c r="O150" s="21">
        <f>H150/K150</f>
        <v>1.6015075545369847E-2</v>
      </c>
      <c r="P150" s="22">
        <f>K150/V150</f>
        <v>111.17446223468426</v>
      </c>
      <c r="Q150" s="22">
        <f>H150/V150</f>
        <v>1.7804674114043355</v>
      </c>
      <c r="R150" s="27">
        <v>111.17</v>
      </c>
      <c r="S150" s="27">
        <v>111.17</v>
      </c>
      <c r="T150" s="27">
        <v>8</v>
      </c>
      <c r="U150" s="27">
        <v>21220000</v>
      </c>
      <c r="V150" s="27">
        <v>21220000</v>
      </c>
    </row>
    <row r="151" spans="1:22">
      <c r="A151" s="104">
        <v>132</v>
      </c>
      <c r="B151" s="105" t="s">
        <v>285</v>
      </c>
      <c r="C151" s="105" t="s">
        <v>58</v>
      </c>
      <c r="D151" s="27">
        <v>106753134417.88</v>
      </c>
      <c r="E151" s="27">
        <v>3014683935.5799999</v>
      </c>
      <c r="F151" s="27"/>
      <c r="G151" s="27">
        <v>445000008.44999999</v>
      </c>
      <c r="H151" s="12">
        <f t="shared" si="68"/>
        <v>2569683927.1300001</v>
      </c>
      <c r="I151" s="28">
        <v>0</v>
      </c>
      <c r="J151" s="13">
        <f>(I151/$I$156)</f>
        <v>0</v>
      </c>
      <c r="K151" s="28">
        <v>250380430321</v>
      </c>
      <c r="L151" s="13">
        <f t="shared" ref="L151:L155" si="70">(K151/$K$156)</f>
        <v>0.70366073986236799</v>
      </c>
      <c r="M151" s="13" t="e">
        <f t="shared" ref="M151:M155" si="71">((K151-I151)/I151)</f>
        <v>#DIV/0!</v>
      </c>
      <c r="N151" s="20">
        <f t="shared" ref="N151:N155" si="72">(G151/K151)</f>
        <v>1.7772954854318611E-3</v>
      </c>
      <c r="O151" s="21">
        <f t="shared" ref="O151:O155" si="73">H151/K151</f>
        <v>1.026311810326206E-2</v>
      </c>
      <c r="P151" s="22">
        <f t="shared" ref="P151:P155" si="74">K151/V151</f>
        <v>100.1521721284</v>
      </c>
      <c r="Q151" s="22">
        <f t="shared" ref="Q151:Q155" si="75">H151/V151</f>
        <v>1.0278735708520002</v>
      </c>
      <c r="R151" s="27">
        <v>100.15219999999999</v>
      </c>
      <c r="S151" s="27">
        <v>100.15219999999999</v>
      </c>
      <c r="T151" s="27">
        <v>45</v>
      </c>
      <c r="U151" s="27">
        <v>2500000000</v>
      </c>
      <c r="V151" s="27">
        <v>2500000000</v>
      </c>
    </row>
    <row r="152" spans="1:22">
      <c r="A152" s="106">
        <v>133</v>
      </c>
      <c r="B152" s="19" t="s">
        <v>156</v>
      </c>
      <c r="C152" s="19" t="s">
        <v>44</v>
      </c>
      <c r="D152" s="27">
        <v>40112819237</v>
      </c>
      <c r="E152" s="27">
        <v>315912616</v>
      </c>
      <c r="F152" s="27">
        <v>0</v>
      </c>
      <c r="G152" s="27">
        <v>75956116</v>
      </c>
      <c r="H152" s="12">
        <f t="shared" si="68"/>
        <v>239956500</v>
      </c>
      <c r="I152" s="28">
        <v>57062508820</v>
      </c>
      <c r="J152" s="13">
        <f t="shared" ref="J152:J155" si="76">(I152/$I$156)</f>
        <v>0.54731304587327245</v>
      </c>
      <c r="K152" s="28">
        <v>57302465320</v>
      </c>
      <c r="L152" s="13">
        <f t="shared" si="70"/>
        <v>0.16104092117468904</v>
      </c>
      <c r="M152" s="13">
        <f t="shared" si="71"/>
        <v>4.2051515953658346E-3</v>
      </c>
      <c r="N152" s="20">
        <f t="shared" si="72"/>
        <v>1.3255296360432404E-3</v>
      </c>
      <c r="O152" s="21">
        <f t="shared" si="73"/>
        <v>4.187542344993125E-3</v>
      </c>
      <c r="P152" s="22">
        <f t="shared" si="74"/>
        <v>107.98583113476353</v>
      </c>
      <c r="Q152" s="22">
        <f t="shared" si="75"/>
        <v>0.45219524053609927</v>
      </c>
      <c r="R152" s="27">
        <v>107.99</v>
      </c>
      <c r="S152" s="27">
        <v>107.99</v>
      </c>
      <c r="T152" s="27">
        <v>644</v>
      </c>
      <c r="U152" s="27">
        <v>530648000</v>
      </c>
      <c r="V152" s="27">
        <v>530648000</v>
      </c>
    </row>
    <row r="153" spans="1:22">
      <c r="A153" s="104">
        <v>134</v>
      </c>
      <c r="B153" s="19" t="s">
        <v>157</v>
      </c>
      <c r="C153" s="19" t="s">
        <v>122</v>
      </c>
      <c r="D153" s="27">
        <v>3142446486.96</v>
      </c>
      <c r="E153" s="27">
        <v>38461614.869999997</v>
      </c>
      <c r="F153" s="27">
        <v>0</v>
      </c>
      <c r="G153" s="27">
        <v>5491298.3300000001</v>
      </c>
      <c r="H153" s="12">
        <f t="shared" si="68"/>
        <v>32970316.539999999</v>
      </c>
      <c r="I153" s="28">
        <v>2858724095.8499999</v>
      </c>
      <c r="J153" s="13">
        <f t="shared" si="76"/>
        <v>2.7419351594695277E-2</v>
      </c>
      <c r="K153" s="28">
        <v>2891694412.3899999</v>
      </c>
      <c r="L153" s="13">
        <f t="shared" si="70"/>
        <v>8.1267207148320083E-3</v>
      </c>
      <c r="M153" s="13">
        <f t="shared" si="71"/>
        <v>1.1533227913761547E-2</v>
      </c>
      <c r="N153" s="20">
        <f t="shared" si="72"/>
        <v>1.8989898470846422E-3</v>
      </c>
      <c r="O153" s="21">
        <f t="shared" si="73"/>
        <v>1.1401729172602947E-2</v>
      </c>
      <c r="P153" s="22">
        <f t="shared" si="74"/>
        <v>144.58472061949999</v>
      </c>
      <c r="Q153" s="22">
        <f t="shared" si="75"/>
        <v>1.648515827</v>
      </c>
      <c r="R153" s="27">
        <v>206</v>
      </c>
      <c r="S153" s="27">
        <v>206</v>
      </c>
      <c r="T153" s="27">
        <v>3250</v>
      </c>
      <c r="U153" s="27">
        <v>20000000</v>
      </c>
      <c r="V153" s="27">
        <v>20000000</v>
      </c>
    </row>
    <row r="154" spans="1:22">
      <c r="A154" s="104">
        <v>135</v>
      </c>
      <c r="B154" s="19" t="s">
        <v>158</v>
      </c>
      <c r="C154" s="19" t="s">
        <v>122</v>
      </c>
      <c r="D154" s="27">
        <v>12259260065.280001</v>
      </c>
      <c r="E154" s="27">
        <v>87924800.189999998</v>
      </c>
      <c r="F154" s="27">
        <v>0</v>
      </c>
      <c r="G154" s="27">
        <v>21372706.829999998</v>
      </c>
      <c r="H154" s="12">
        <f t="shared" si="68"/>
        <v>66552093.359999999</v>
      </c>
      <c r="I154" s="28">
        <v>10889668743.690001</v>
      </c>
      <c r="J154" s="13">
        <f t="shared" si="76"/>
        <v>0.10444787465375145</v>
      </c>
      <c r="K154" s="28">
        <v>10947498146.48</v>
      </c>
      <c r="L154" s="13">
        <f t="shared" si="70"/>
        <v>3.0766480573253985E-2</v>
      </c>
      <c r="M154" s="13">
        <f t="shared" si="71"/>
        <v>5.3104831883438288E-3</v>
      </c>
      <c r="N154" s="20">
        <f t="shared" si="72"/>
        <v>1.9522914317068932E-3</v>
      </c>
      <c r="O154" s="21">
        <f t="shared" si="73"/>
        <v>6.0792057207517142E-3</v>
      </c>
      <c r="P154" s="22">
        <f t="shared" si="74"/>
        <v>58.192042108815961</v>
      </c>
      <c r="Q154" s="22">
        <f t="shared" si="75"/>
        <v>0.35376139529013861</v>
      </c>
      <c r="R154" s="116">
        <v>46.15</v>
      </c>
      <c r="S154" s="116">
        <v>46.15</v>
      </c>
      <c r="T154" s="27">
        <v>5344</v>
      </c>
      <c r="U154" s="27">
        <v>188127066</v>
      </c>
      <c r="V154" s="27">
        <v>188127066</v>
      </c>
    </row>
    <row r="155" spans="1:22" ht="15.9" customHeight="1">
      <c r="A155" s="108">
        <v>136</v>
      </c>
      <c r="B155" s="19" t="s">
        <v>159</v>
      </c>
      <c r="C155" s="97" t="s">
        <v>160</v>
      </c>
      <c r="D155" s="27">
        <v>32102558816.880001</v>
      </c>
      <c r="E155" s="27">
        <v>252438255.44</v>
      </c>
      <c r="F155" s="27">
        <v>0</v>
      </c>
      <c r="G155" s="27">
        <v>56171295.630000003</v>
      </c>
      <c r="H155" s="12">
        <f t="shared" si="68"/>
        <v>196266959.81</v>
      </c>
      <c r="I155" s="28">
        <v>31127101419.470001</v>
      </c>
      <c r="J155" s="13">
        <f t="shared" si="76"/>
        <v>0.29855449820540136</v>
      </c>
      <c r="K155" s="28">
        <v>31944283641.970001</v>
      </c>
      <c r="L155" s="13">
        <f t="shared" si="70"/>
        <v>8.9775140305750456E-2</v>
      </c>
      <c r="M155" s="13">
        <f t="shared" si="71"/>
        <v>2.6253078032792754E-2</v>
      </c>
      <c r="N155" s="20">
        <f t="shared" si="72"/>
        <v>1.7584146277802059E-3</v>
      </c>
      <c r="O155" s="21">
        <f t="shared" si="73"/>
        <v>6.1440401046318855E-3</v>
      </c>
      <c r="P155" s="22">
        <f t="shared" si="74"/>
        <v>11.971910499284274</v>
      </c>
      <c r="Q155" s="22">
        <f t="shared" si="75"/>
        <v>7.3555898236666126E-2</v>
      </c>
      <c r="R155" s="27">
        <v>11.97</v>
      </c>
      <c r="S155" s="27">
        <v>11.97</v>
      </c>
      <c r="T155" s="27">
        <v>208222</v>
      </c>
      <c r="U155" s="27">
        <v>2668269500</v>
      </c>
      <c r="V155" s="27">
        <v>2668269500</v>
      </c>
    </row>
    <row r="156" spans="1:22" ht="15" customHeight="1">
      <c r="A156" s="124" t="s">
        <v>51</v>
      </c>
      <c r="B156" s="124"/>
      <c r="C156" s="124"/>
      <c r="D156" s="124"/>
      <c r="E156" s="124"/>
      <c r="F156" s="124"/>
      <c r="G156" s="124"/>
      <c r="H156" s="124"/>
      <c r="I156" s="37">
        <f>SUM(I150:I155)</f>
        <v>104259361713.09999</v>
      </c>
      <c r="J156" s="35">
        <f>(I156/$I$218)</f>
        <v>2.1711236458458377E-2</v>
      </c>
      <c r="K156" s="37">
        <f>SUM(K150:K155)</f>
        <v>355825493930.45996</v>
      </c>
      <c r="L156" s="35">
        <f>(K156/$K$218)</f>
        <v>6.5350854142189024E-2</v>
      </c>
      <c r="M156" s="35">
        <f t="shared" si="69"/>
        <v>2.4128877070014823</v>
      </c>
      <c r="N156" s="20"/>
      <c r="O156" s="20"/>
      <c r="P156" s="38"/>
      <c r="Q156" s="38"/>
      <c r="R156" s="37"/>
      <c r="S156" s="37"/>
      <c r="T156" s="37">
        <f>SUM(T150:T155)</f>
        <v>217513</v>
      </c>
      <c r="U156" s="37"/>
      <c r="V156" s="37"/>
    </row>
    <row r="157" spans="1:22" ht="8.1" customHeight="1">
      <c r="A157" s="129"/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</row>
    <row r="158" spans="1:22">
      <c r="A158" s="123" t="s">
        <v>161</v>
      </c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</row>
    <row r="159" spans="1:22">
      <c r="A159" s="113">
        <v>137</v>
      </c>
      <c r="B159" s="19" t="s">
        <v>162</v>
      </c>
      <c r="C159" s="19" t="s">
        <v>55</v>
      </c>
      <c r="D159" s="29">
        <v>290483228.45999998</v>
      </c>
      <c r="E159" s="29">
        <v>5163855.6100000003</v>
      </c>
      <c r="F159" s="29">
        <v>-4530249.0999999996</v>
      </c>
      <c r="G159" s="10">
        <v>699982.07</v>
      </c>
      <c r="H159" s="12">
        <f>(E159+F159)-G159</f>
        <v>-66375.559999999241</v>
      </c>
      <c r="I159" s="10">
        <v>285744414.06999999</v>
      </c>
      <c r="J159" s="13">
        <f t="shared" ref="J159:J186" si="77">(I159/$I$187)</f>
        <v>5.0023863305910877E-3</v>
      </c>
      <c r="K159" s="10">
        <v>289838713.33999997</v>
      </c>
      <c r="L159" s="13">
        <f t="shared" ref="L159:L186" si="78">(K159/$K$187)</f>
        <v>4.9386772061691762E-3</v>
      </c>
      <c r="M159" s="13">
        <f t="shared" ref="M159:M187" si="79">((K159-I159)/I159)</f>
        <v>1.4328536511642826E-2</v>
      </c>
      <c r="N159" s="20">
        <f t="shared" ref="N159" si="80">(G159/K159)</f>
        <v>2.4150744458311018E-3</v>
      </c>
      <c r="O159" s="21">
        <f t="shared" ref="O159" si="81">H159/K159</f>
        <v>-2.2900860701150134E-4</v>
      </c>
      <c r="P159" s="22">
        <f t="shared" ref="P159" si="82">K159/V159</f>
        <v>6.1945002331356802</v>
      </c>
      <c r="Q159" s="22">
        <f t="shared" ref="Q159" si="83">H159/V159</f>
        <v>-1.4185938695228223E-3</v>
      </c>
      <c r="R159" s="10">
        <v>6.1082000000000001</v>
      </c>
      <c r="S159" s="10">
        <v>6.1906999999999996</v>
      </c>
      <c r="T159" s="10">
        <v>11844</v>
      </c>
      <c r="U159" s="10">
        <v>46862195.609999999</v>
      </c>
      <c r="V159" s="10">
        <v>46789684.789999999</v>
      </c>
    </row>
    <row r="160" spans="1:22">
      <c r="A160" s="117">
        <v>138</v>
      </c>
      <c r="B160" s="98" t="s">
        <v>223</v>
      </c>
      <c r="C160" s="98" t="s">
        <v>224</v>
      </c>
      <c r="D160" s="29">
        <v>682882469.38999999</v>
      </c>
      <c r="E160" s="29">
        <v>13812839.49</v>
      </c>
      <c r="F160" s="29">
        <v>15608445.449999999</v>
      </c>
      <c r="G160" s="10">
        <v>1161425.26</v>
      </c>
      <c r="H160" s="12">
        <f t="shared" ref="H160:H186" si="84">(E160+F160)-G160</f>
        <v>28259859.679999996</v>
      </c>
      <c r="I160" s="10">
        <v>702525680.30999994</v>
      </c>
      <c r="J160" s="13">
        <f t="shared" si="77"/>
        <v>1.2298770114228846E-2</v>
      </c>
      <c r="K160" s="10">
        <v>726060193.82000005</v>
      </c>
      <c r="L160" s="13">
        <f t="shared" si="78"/>
        <v>1.237162864892812E-2</v>
      </c>
      <c r="M160" s="13">
        <f t="shared" ref="M160:M186" si="85">((K160-I160)/I160)</f>
        <v>3.3499862239363486E-2</v>
      </c>
      <c r="N160" s="20">
        <f t="shared" ref="N160:N186" si="86">(G160/K160)</f>
        <v>1.5996266836905437E-3</v>
      </c>
      <c r="O160" s="21">
        <f t="shared" ref="O160:O186" si="87">H160/K160</f>
        <v>3.8922199454727288E-2</v>
      </c>
      <c r="P160" s="22">
        <f t="shared" ref="P160:P186" si="88">K160/V160</f>
        <v>1680.5859662336702</v>
      </c>
      <c r="Q160" s="22">
        <f t="shared" ref="Q160:Q186" si="89">H160/V160</f>
        <v>65.412102178562492</v>
      </c>
      <c r="R160" s="10">
        <v>1668.5192</v>
      </c>
      <c r="S160" s="10">
        <v>1688.461</v>
      </c>
      <c r="T160" s="10">
        <v>160</v>
      </c>
      <c r="U160" s="10">
        <v>432693</v>
      </c>
      <c r="V160" s="10">
        <v>432028</v>
      </c>
    </row>
    <row r="161" spans="1:22">
      <c r="A161" s="119">
        <v>139</v>
      </c>
      <c r="B161" s="19" t="s">
        <v>163</v>
      </c>
      <c r="C161" s="97" t="s">
        <v>58</v>
      </c>
      <c r="D161" s="29">
        <v>5912831374.1800003</v>
      </c>
      <c r="E161" s="29">
        <v>97053739.180000007</v>
      </c>
      <c r="F161" s="29">
        <v>-46126555.090000004</v>
      </c>
      <c r="G161" s="10">
        <v>18296987.420000002</v>
      </c>
      <c r="H161" s="12">
        <f t="shared" si="84"/>
        <v>32630196.670000002</v>
      </c>
      <c r="I161" s="10">
        <v>6972198542</v>
      </c>
      <c r="J161" s="13">
        <f t="shared" si="77"/>
        <v>0.12205883637019688</v>
      </c>
      <c r="K161" s="10">
        <v>7031013348</v>
      </c>
      <c r="L161" s="13">
        <f t="shared" si="78"/>
        <v>0.11980423511370404</v>
      </c>
      <c r="M161" s="13">
        <f t="shared" si="85"/>
        <v>8.4356183556311588E-3</v>
      </c>
      <c r="N161" s="20">
        <f t="shared" si="86"/>
        <v>2.6023257977748904E-3</v>
      </c>
      <c r="O161" s="21">
        <f t="shared" si="87"/>
        <v>4.6408952813724626E-3</v>
      </c>
      <c r="P161" s="22">
        <f t="shared" si="88"/>
        <v>827.00252181772248</v>
      </c>
      <c r="Q161" s="22">
        <f t="shared" si="89"/>
        <v>3.8380321011869953</v>
      </c>
      <c r="R161" s="10">
        <v>822.86749999999995</v>
      </c>
      <c r="S161" s="10">
        <v>847.67759999999998</v>
      </c>
      <c r="T161" s="10">
        <v>21452</v>
      </c>
      <c r="U161" s="10">
        <v>8523475</v>
      </c>
      <c r="V161" s="10">
        <v>8501804</v>
      </c>
    </row>
    <row r="162" spans="1:22">
      <c r="A162" s="119">
        <v>140</v>
      </c>
      <c r="B162" s="19" t="s">
        <v>164</v>
      </c>
      <c r="C162" s="19" t="s">
        <v>105</v>
      </c>
      <c r="D162" s="29">
        <v>2128604987.8499999</v>
      </c>
      <c r="E162" s="29">
        <v>43681617.810000002</v>
      </c>
      <c r="F162" s="29">
        <v>63033906.950000003</v>
      </c>
      <c r="G162" s="10">
        <v>114801790.39</v>
      </c>
      <c r="H162" s="12">
        <f t="shared" si="84"/>
        <v>-8086265.6299999952</v>
      </c>
      <c r="I162" s="10">
        <v>1991822302.54</v>
      </c>
      <c r="J162" s="13">
        <f t="shared" si="77"/>
        <v>3.4869849307891186E-2</v>
      </c>
      <c r="K162" s="10">
        <v>1983986036.9100001</v>
      </c>
      <c r="L162" s="13">
        <f t="shared" si="78"/>
        <v>3.3805927803548179E-2</v>
      </c>
      <c r="M162" s="13">
        <f t="shared" si="85"/>
        <v>-3.934219242352573E-3</v>
      </c>
      <c r="N162" s="20">
        <f t="shared" si="86"/>
        <v>5.7864212879643252E-2</v>
      </c>
      <c r="O162" s="21">
        <f t="shared" si="87"/>
        <v>-4.0757674094290082E-3</v>
      </c>
      <c r="P162" s="22">
        <f t="shared" si="88"/>
        <v>4.7898966984786213</v>
      </c>
      <c r="Q162" s="22">
        <f t="shared" si="89"/>
        <v>-1.9522504858190771E-2</v>
      </c>
      <c r="R162" s="10">
        <v>5.0209999999999999</v>
      </c>
      <c r="S162" s="10">
        <v>5.1356000000000002</v>
      </c>
      <c r="T162" s="10">
        <v>2739</v>
      </c>
      <c r="U162" s="10">
        <v>414151060.83999997</v>
      </c>
      <c r="V162" s="10">
        <v>414202259.83999997</v>
      </c>
    </row>
    <row r="163" spans="1:22">
      <c r="A163" s="119">
        <v>141</v>
      </c>
      <c r="B163" s="19" t="s">
        <v>280</v>
      </c>
      <c r="C163" s="19" t="s">
        <v>279</v>
      </c>
      <c r="D163" s="29">
        <v>755016124.63999999</v>
      </c>
      <c r="E163" s="29">
        <v>13451579.359999999</v>
      </c>
      <c r="F163" s="29"/>
      <c r="G163" s="10">
        <v>1714839.81</v>
      </c>
      <c r="H163" s="12">
        <f t="shared" si="84"/>
        <v>11736739.549999999</v>
      </c>
      <c r="I163" s="10">
        <v>0</v>
      </c>
      <c r="J163" s="13">
        <f t="shared" si="77"/>
        <v>0</v>
      </c>
      <c r="K163" s="10">
        <v>770667970.73000002</v>
      </c>
      <c r="L163" s="13">
        <f t="shared" si="78"/>
        <v>1.3131718315710715E-2</v>
      </c>
      <c r="M163" s="13" t="e">
        <f t="shared" si="85"/>
        <v>#DIV/0!</v>
      </c>
      <c r="N163" s="20">
        <f t="shared" si="86"/>
        <v>2.2251343965620524E-3</v>
      </c>
      <c r="O163" s="21">
        <f t="shared" si="87"/>
        <v>1.5229307556252278E-2</v>
      </c>
      <c r="P163" s="22">
        <f t="shared" si="88"/>
        <v>1.0162590355226033</v>
      </c>
      <c r="Q163" s="22">
        <f t="shared" si="89"/>
        <v>1.5476921408794036E-2</v>
      </c>
      <c r="R163" s="10">
        <v>1.0163</v>
      </c>
      <c r="S163" s="10">
        <v>1.0163</v>
      </c>
      <c r="T163" s="10">
        <v>193</v>
      </c>
      <c r="U163" s="10">
        <v>1</v>
      </c>
      <c r="V163" s="10">
        <v>758338124.23000002</v>
      </c>
    </row>
    <row r="164" spans="1:22">
      <c r="A164" s="119">
        <v>142</v>
      </c>
      <c r="B164" s="19" t="s">
        <v>165</v>
      </c>
      <c r="C164" s="19" t="s">
        <v>60</v>
      </c>
      <c r="D164" s="29">
        <v>3974973781.8699999</v>
      </c>
      <c r="E164" s="29">
        <v>125348071.83</v>
      </c>
      <c r="F164" s="29">
        <v>1004984829.42</v>
      </c>
      <c r="G164" s="10">
        <v>9780786.2799999993</v>
      </c>
      <c r="H164" s="12">
        <f t="shared" si="84"/>
        <v>1120552114.97</v>
      </c>
      <c r="I164" s="10">
        <v>3800739996.4200001</v>
      </c>
      <c r="J164" s="13">
        <f t="shared" si="77"/>
        <v>6.6537677966872141E-2</v>
      </c>
      <c r="K164" s="10">
        <v>3931040422.8899999</v>
      </c>
      <c r="L164" s="13">
        <f t="shared" si="78"/>
        <v>6.6982562506349569E-2</v>
      </c>
      <c r="M164" s="13">
        <f t="shared" si="85"/>
        <v>3.4282909799863343E-2</v>
      </c>
      <c r="N164" s="20">
        <f t="shared" si="86"/>
        <v>2.4880909957189952E-3</v>
      </c>
      <c r="O164" s="21">
        <f t="shared" si="87"/>
        <v>0.28505230026258516</v>
      </c>
      <c r="P164" s="22">
        <f t="shared" si="88"/>
        <v>8829.8572136024486</v>
      </c>
      <c r="Q164" s="22">
        <f t="shared" si="89"/>
        <v>2516.971109727559</v>
      </c>
      <c r="R164" s="10">
        <v>8829.86</v>
      </c>
      <c r="S164" s="10">
        <v>8906.25</v>
      </c>
      <c r="T164" s="10">
        <v>1009</v>
      </c>
      <c r="U164" s="10">
        <v>436084.76</v>
      </c>
      <c r="V164" s="10">
        <v>445198.64</v>
      </c>
    </row>
    <row r="165" spans="1:22" ht="14.1" customHeight="1">
      <c r="A165" s="119">
        <v>143</v>
      </c>
      <c r="B165" s="19" t="s">
        <v>166</v>
      </c>
      <c r="C165" s="97" t="s">
        <v>62</v>
      </c>
      <c r="D165" s="29">
        <v>744231440.29999995</v>
      </c>
      <c r="E165" s="29">
        <v>25899665.100000001</v>
      </c>
      <c r="F165" s="29">
        <v>11164063.58</v>
      </c>
      <c r="G165" s="10">
        <v>1585796.1</v>
      </c>
      <c r="H165" s="12">
        <f t="shared" si="84"/>
        <v>35477932.579999998</v>
      </c>
      <c r="I165" s="10">
        <v>842480708.13999999</v>
      </c>
      <c r="J165" s="13">
        <f t="shared" si="77"/>
        <v>1.4748893663950376E-2</v>
      </c>
      <c r="K165" s="10">
        <v>870586995.63999999</v>
      </c>
      <c r="L165" s="13">
        <f t="shared" si="78"/>
        <v>1.4834278353668089E-2</v>
      </c>
      <c r="M165" s="13">
        <f t="shared" si="85"/>
        <v>3.3361342554718072E-2</v>
      </c>
      <c r="N165" s="20">
        <f t="shared" si="86"/>
        <v>1.8215251410161762E-3</v>
      </c>
      <c r="O165" s="21">
        <f t="shared" si="87"/>
        <v>4.0751737342365063E-2</v>
      </c>
      <c r="P165" s="22">
        <f t="shared" si="88"/>
        <v>224.11100678984633</v>
      </c>
      <c r="Q165" s="22">
        <f t="shared" si="89"/>
        <v>9.1329128842328107</v>
      </c>
      <c r="R165" s="10">
        <v>221.51</v>
      </c>
      <c r="S165" s="10">
        <v>223.34</v>
      </c>
      <c r="T165" s="10">
        <f>478+9+4</f>
        <v>491</v>
      </c>
      <c r="U165" s="10">
        <v>3887587</v>
      </c>
      <c r="V165" s="10">
        <v>3884624</v>
      </c>
    </row>
    <row r="166" spans="1:22">
      <c r="A166" s="119">
        <v>144</v>
      </c>
      <c r="B166" s="19" t="s">
        <v>167</v>
      </c>
      <c r="C166" s="97" t="s">
        <v>64</v>
      </c>
      <c r="D166" s="29">
        <v>224024305.24000001</v>
      </c>
      <c r="E166" s="29">
        <v>1944413.85</v>
      </c>
      <c r="F166" s="29"/>
      <c r="G166" s="10">
        <v>511296.41</v>
      </c>
      <c r="H166" s="12">
        <f t="shared" si="84"/>
        <v>1433117.4400000002</v>
      </c>
      <c r="I166" s="10">
        <v>225425016.80000001</v>
      </c>
      <c r="J166" s="13">
        <f t="shared" si="77"/>
        <v>3.9464044337795458E-3</v>
      </c>
      <c r="K166" s="10">
        <v>237936033.88999999</v>
      </c>
      <c r="L166" s="13">
        <f t="shared" si="78"/>
        <v>4.0542867912899622E-3</v>
      </c>
      <c r="M166" s="13">
        <f t="shared" si="85"/>
        <v>5.5499683520484816E-2</v>
      </c>
      <c r="N166" s="20">
        <f t="shared" si="86"/>
        <v>2.1488817882724608E-3</v>
      </c>
      <c r="O166" s="21">
        <f t="shared" si="87"/>
        <v>6.0231206537742976E-3</v>
      </c>
      <c r="P166" s="22">
        <f t="shared" si="88"/>
        <v>1.6037104689495041</v>
      </c>
      <c r="Q166" s="22">
        <f t="shared" si="89"/>
        <v>9.6593416482038223E-3</v>
      </c>
      <c r="R166" s="10">
        <v>1.6014999999999999</v>
      </c>
      <c r="S166" s="10">
        <v>1.6174999999999999</v>
      </c>
      <c r="T166" s="10">
        <v>293</v>
      </c>
      <c r="U166" s="10">
        <v>140904387.05000001</v>
      </c>
      <c r="V166" s="10">
        <v>148365954.13999999</v>
      </c>
    </row>
    <row r="167" spans="1:22">
      <c r="A167" s="119">
        <v>145</v>
      </c>
      <c r="B167" s="98" t="s">
        <v>225</v>
      </c>
      <c r="C167" s="99" t="s">
        <v>48</v>
      </c>
      <c r="D167" s="29">
        <v>123127067.73999999</v>
      </c>
      <c r="E167" s="29">
        <v>388142.53</v>
      </c>
      <c r="F167" s="29">
        <v>0</v>
      </c>
      <c r="G167" s="10">
        <v>4502729.38</v>
      </c>
      <c r="H167" s="12">
        <f t="shared" si="84"/>
        <v>-4114586.8499999996</v>
      </c>
      <c r="I167" s="10">
        <v>130125237.64</v>
      </c>
      <c r="J167" s="13">
        <f t="shared" si="77"/>
        <v>2.2780382677079743E-3</v>
      </c>
      <c r="K167" s="10">
        <v>129722021.22</v>
      </c>
      <c r="L167" s="13">
        <f t="shared" si="78"/>
        <v>2.2103851550909878E-3</v>
      </c>
      <c r="M167" s="13">
        <f t="shared" si="85"/>
        <v>-3.0986796052240571E-3</v>
      </c>
      <c r="N167" s="20">
        <f t="shared" si="86"/>
        <v>3.4710601466528705E-2</v>
      </c>
      <c r="O167" s="21">
        <f t="shared" si="87"/>
        <v>-3.1718491673992127E-2</v>
      </c>
      <c r="P167" s="22">
        <f t="shared" si="88"/>
        <v>155.7124914474698</v>
      </c>
      <c r="Q167" s="22">
        <f t="shared" si="89"/>
        <v>-4.938965363513141</v>
      </c>
      <c r="R167" s="10">
        <v>155.46729999999999</v>
      </c>
      <c r="S167" s="10">
        <v>156.30500000000001</v>
      </c>
      <c r="T167" s="10">
        <v>123</v>
      </c>
      <c r="U167" s="10">
        <v>786480.17</v>
      </c>
      <c r="V167" s="10">
        <v>833086.8</v>
      </c>
    </row>
    <row r="168" spans="1:22">
      <c r="A168" s="119">
        <v>146</v>
      </c>
      <c r="B168" s="98" t="s">
        <v>168</v>
      </c>
      <c r="C168" s="99" t="s">
        <v>169</v>
      </c>
      <c r="D168" s="29">
        <v>237529608.84</v>
      </c>
      <c r="E168" s="29">
        <v>2099692.69</v>
      </c>
      <c r="F168" s="29">
        <v>0</v>
      </c>
      <c r="G168" s="10">
        <v>624005.99</v>
      </c>
      <c r="H168" s="12">
        <f t="shared" si="84"/>
        <v>1475686.7</v>
      </c>
      <c r="I168" s="10">
        <v>255064223.43000001</v>
      </c>
      <c r="J168" s="13">
        <f t="shared" si="77"/>
        <v>4.4652833857199859E-3</v>
      </c>
      <c r="K168" s="10">
        <v>254913116.43000001</v>
      </c>
      <c r="L168" s="13">
        <f t="shared" si="78"/>
        <v>4.3435660583739134E-3</v>
      </c>
      <c r="M168" s="13">
        <f t="shared" si="85"/>
        <v>-5.924272638787772E-4</v>
      </c>
      <c r="N168" s="20">
        <f t="shared" si="86"/>
        <v>2.4479163675022353E-3</v>
      </c>
      <c r="O168" s="21">
        <f t="shared" si="87"/>
        <v>5.7889790869401119E-3</v>
      </c>
      <c r="P168" s="22">
        <f t="shared" si="88"/>
        <v>128.32454544035858</v>
      </c>
      <c r="Q168" s="22">
        <f t="shared" si="89"/>
        <v>0.74286810989533203</v>
      </c>
      <c r="R168" s="10">
        <v>128.76</v>
      </c>
      <c r="S168" s="10">
        <v>129.74</v>
      </c>
      <c r="T168" s="10">
        <v>68</v>
      </c>
      <c r="U168" s="10">
        <v>1980908</v>
      </c>
      <c r="V168" s="10">
        <v>1986472</v>
      </c>
    </row>
    <row r="169" spans="1:22">
      <c r="A169" s="119">
        <v>147</v>
      </c>
      <c r="B169" s="19" t="s">
        <v>170</v>
      </c>
      <c r="C169" s="97" t="s">
        <v>69</v>
      </c>
      <c r="D169" s="29">
        <v>343951991.75999999</v>
      </c>
      <c r="E169" s="29">
        <v>2850854.68</v>
      </c>
      <c r="F169" s="29">
        <v>4338464.04</v>
      </c>
      <c r="G169" s="10">
        <v>730201.64</v>
      </c>
      <c r="H169" s="12">
        <f t="shared" si="84"/>
        <v>6459117.080000001</v>
      </c>
      <c r="I169" s="10">
        <v>342316574.89999998</v>
      </c>
      <c r="J169" s="13">
        <f t="shared" si="77"/>
        <v>5.9927672097730891E-3</v>
      </c>
      <c r="K169" s="10">
        <v>345549312.56999999</v>
      </c>
      <c r="L169" s="13">
        <f t="shared" si="78"/>
        <v>5.8879522819126765E-3</v>
      </c>
      <c r="M169" s="13">
        <f t="shared" si="85"/>
        <v>9.4437076876700693E-3</v>
      </c>
      <c r="N169" s="20">
        <f t="shared" si="86"/>
        <v>2.1131618945185392E-3</v>
      </c>
      <c r="O169" s="21">
        <f t="shared" si="87"/>
        <v>1.8692316393167586E-2</v>
      </c>
      <c r="P169" s="22">
        <f t="shared" si="88"/>
        <v>1.3864285227108315</v>
      </c>
      <c r="Q169" s="22">
        <f t="shared" si="89"/>
        <v>2.5915560603022792E-2</v>
      </c>
      <c r="R169" s="10">
        <v>1.375</v>
      </c>
      <c r="S169" s="10">
        <v>1.3898999999999999</v>
      </c>
      <c r="T169" s="10">
        <v>99</v>
      </c>
      <c r="U169" s="10">
        <v>249888148.75</v>
      </c>
      <c r="V169" s="10">
        <v>249237019.37</v>
      </c>
    </row>
    <row r="170" spans="1:22">
      <c r="A170" s="119">
        <v>148</v>
      </c>
      <c r="B170" s="97" t="s">
        <v>171</v>
      </c>
      <c r="C170" s="97" t="s">
        <v>73</v>
      </c>
      <c r="D170" s="29">
        <v>10291598937.67</v>
      </c>
      <c r="E170" s="29">
        <v>81459513.950000003</v>
      </c>
      <c r="F170" s="29">
        <v>33846825.789999999</v>
      </c>
      <c r="G170" s="10">
        <v>15862550.859999999</v>
      </c>
      <c r="H170" s="12">
        <f t="shared" si="84"/>
        <v>99443788.88000001</v>
      </c>
      <c r="I170" s="10">
        <v>9941061425.7399998</v>
      </c>
      <c r="J170" s="13">
        <f t="shared" si="77"/>
        <v>0.17403325258181879</v>
      </c>
      <c r="K170" s="10">
        <v>10155303741</v>
      </c>
      <c r="L170" s="13">
        <f t="shared" si="78"/>
        <v>0.173040262735943</v>
      </c>
      <c r="M170" s="13">
        <f t="shared" si="85"/>
        <v>2.1551251529868934E-2</v>
      </c>
      <c r="N170" s="20">
        <f t="shared" si="86"/>
        <v>1.5619966930145216E-3</v>
      </c>
      <c r="O170" s="21">
        <f t="shared" si="87"/>
        <v>9.7923007933790971E-3</v>
      </c>
      <c r="P170" s="22">
        <f t="shared" si="88"/>
        <v>351.93629492065588</v>
      </c>
      <c r="Q170" s="22">
        <f t="shared" si="89"/>
        <v>3.4462660599704384</v>
      </c>
      <c r="R170" s="10">
        <v>351.94</v>
      </c>
      <c r="S170" s="10">
        <v>354.85</v>
      </c>
      <c r="T170" s="10">
        <v>5485</v>
      </c>
      <c r="U170" s="10">
        <v>28845930</v>
      </c>
      <c r="V170" s="10">
        <v>28855517</v>
      </c>
    </row>
    <row r="171" spans="1:22" ht="15.6" customHeight="1">
      <c r="A171" s="119">
        <v>149</v>
      </c>
      <c r="B171" s="115" t="s">
        <v>172</v>
      </c>
      <c r="C171" s="19" t="s">
        <v>252</v>
      </c>
      <c r="D171" s="29">
        <v>3592751137.2399998</v>
      </c>
      <c r="E171" s="29">
        <v>42093143.920000002</v>
      </c>
      <c r="F171" s="29">
        <v>9302963.1500000004</v>
      </c>
      <c r="G171" s="10">
        <v>10744783.24</v>
      </c>
      <c r="H171" s="12">
        <f t="shared" si="84"/>
        <v>40651323.829999998</v>
      </c>
      <c r="I171" s="10">
        <v>3580834457.6500001</v>
      </c>
      <c r="J171" s="13">
        <f t="shared" si="77"/>
        <v>6.2687900308944486E-2</v>
      </c>
      <c r="K171" s="10">
        <v>3583794026.2199998</v>
      </c>
      <c r="L171" s="13">
        <f t="shared" si="78"/>
        <v>6.1065692932936941E-2</v>
      </c>
      <c r="M171" s="13">
        <f t="shared" si="85"/>
        <v>8.2650248287154148E-4</v>
      </c>
      <c r="N171" s="20">
        <f t="shared" si="86"/>
        <v>2.9981587003572972E-3</v>
      </c>
      <c r="O171" s="21">
        <f t="shared" si="87"/>
        <v>1.134309715697498E-2</v>
      </c>
      <c r="P171" s="22">
        <f t="shared" si="88"/>
        <v>2.5329524270617543</v>
      </c>
      <c r="Q171" s="22">
        <f t="shared" si="89"/>
        <v>2.8731525474157062E-2</v>
      </c>
      <c r="R171" s="10">
        <v>2.5093000000000001</v>
      </c>
      <c r="S171" s="10">
        <v>2.5531000000000001</v>
      </c>
      <c r="T171" s="10">
        <v>10303</v>
      </c>
      <c r="U171" s="10">
        <v>1413587985.8099999</v>
      </c>
      <c r="V171" s="10">
        <v>1414868273.0599999</v>
      </c>
    </row>
    <row r="172" spans="1:22">
      <c r="A172" s="119">
        <v>150</v>
      </c>
      <c r="B172" s="19" t="s">
        <v>173</v>
      </c>
      <c r="C172" s="97" t="s">
        <v>77</v>
      </c>
      <c r="D172" s="29">
        <v>179787188.74000001</v>
      </c>
      <c r="E172" s="29"/>
      <c r="F172" s="29">
        <v>344084.14</v>
      </c>
      <c r="G172" s="10">
        <v>505326.97</v>
      </c>
      <c r="H172" s="12">
        <f t="shared" si="84"/>
        <v>-161242.82999999996</v>
      </c>
      <c r="I172" s="10">
        <v>266058081.81</v>
      </c>
      <c r="J172" s="13">
        <f t="shared" si="77"/>
        <v>4.6577474346133222E-3</v>
      </c>
      <c r="K172" s="10">
        <v>264231877.12</v>
      </c>
      <c r="L172" s="13">
        <f t="shared" si="78"/>
        <v>4.502352131080016E-3</v>
      </c>
      <c r="M172" s="13">
        <f t="shared" si="85"/>
        <v>-6.8639324074513354E-3</v>
      </c>
      <c r="N172" s="20">
        <f t="shared" si="86"/>
        <v>1.9124375738000282E-3</v>
      </c>
      <c r="O172" s="21">
        <f t="shared" si="87"/>
        <v>-6.1023231472852183E-4</v>
      </c>
      <c r="P172" s="22">
        <f t="shared" si="88"/>
        <v>343.65282516758435</v>
      </c>
      <c r="Q172" s="22">
        <f t="shared" si="89"/>
        <v>-0.20970805896501102</v>
      </c>
      <c r="R172" s="10">
        <v>343.64</v>
      </c>
      <c r="S172" s="10">
        <v>345.81</v>
      </c>
      <c r="T172" s="10">
        <v>64</v>
      </c>
      <c r="U172" s="10">
        <v>768891.91</v>
      </c>
      <c r="V172" s="10">
        <v>768891.91</v>
      </c>
    </row>
    <row r="173" spans="1:22">
      <c r="A173" s="119">
        <v>151</v>
      </c>
      <c r="B173" s="98" t="s">
        <v>228</v>
      </c>
      <c r="C173" s="98" t="s">
        <v>227</v>
      </c>
      <c r="D173" s="29">
        <v>59190889.75</v>
      </c>
      <c r="E173" s="29">
        <v>3938887.36</v>
      </c>
      <c r="F173" s="29">
        <v>0</v>
      </c>
      <c r="G173" s="10">
        <v>55391.44</v>
      </c>
      <c r="H173" s="12">
        <f>(E173+F173)-G173</f>
        <v>3883495.92</v>
      </c>
      <c r="I173" s="10">
        <v>58462847.409999996</v>
      </c>
      <c r="J173" s="13">
        <f t="shared" si="77"/>
        <v>1.0234801953453864E-3</v>
      </c>
      <c r="K173" s="25">
        <v>60399636.729999997</v>
      </c>
      <c r="L173" s="13">
        <f t="shared" si="78"/>
        <v>1.0291734521655517E-3</v>
      </c>
      <c r="M173" s="13">
        <f t="shared" si="85"/>
        <v>3.3128549254833502E-2</v>
      </c>
      <c r="N173" s="20">
        <f t="shared" si="86"/>
        <v>9.170823368957041E-4</v>
      </c>
      <c r="O173" s="21">
        <f t="shared" si="87"/>
        <v>6.4296676772413436E-2</v>
      </c>
      <c r="P173" s="22">
        <f t="shared" si="88"/>
        <v>1.1871231103205644</v>
      </c>
      <c r="Q173" s="22">
        <f t="shared" si="89"/>
        <v>7.6328070913343427E-2</v>
      </c>
      <c r="R173" s="10">
        <v>1.17</v>
      </c>
      <c r="S173" s="10">
        <v>1.1819999999999999</v>
      </c>
      <c r="T173" s="10">
        <v>32</v>
      </c>
      <c r="U173" s="10">
        <v>50879000</v>
      </c>
      <c r="V173" s="10">
        <v>50879000</v>
      </c>
    </row>
    <row r="174" spans="1:22">
      <c r="A174" s="119">
        <v>152</v>
      </c>
      <c r="B174" s="97" t="s">
        <v>174</v>
      </c>
      <c r="C174" s="97" t="s">
        <v>36</v>
      </c>
      <c r="D174" s="29">
        <v>3480107722.9299998</v>
      </c>
      <c r="E174" s="29">
        <v>26551023.100000001</v>
      </c>
      <c r="F174" s="29">
        <v>34738593.5</v>
      </c>
      <c r="G174" s="10">
        <v>8012563.6699999999</v>
      </c>
      <c r="H174" s="12">
        <f t="shared" si="84"/>
        <v>53277052.93</v>
      </c>
      <c r="I174" s="10">
        <v>3290060220.8200002</v>
      </c>
      <c r="J174" s="13">
        <f t="shared" si="77"/>
        <v>5.7597459355477172E-2</v>
      </c>
      <c r="K174" s="10">
        <v>3293527744.9400001</v>
      </c>
      <c r="L174" s="13">
        <f t="shared" si="78"/>
        <v>5.6119730226445765E-2</v>
      </c>
      <c r="M174" s="13">
        <f t="shared" si="85"/>
        <v>1.0539394075697664E-3</v>
      </c>
      <c r="N174" s="20">
        <f t="shared" si="86"/>
        <v>2.432821063162463E-3</v>
      </c>
      <c r="O174" s="21">
        <f t="shared" si="87"/>
        <v>1.6176287876078169E-2</v>
      </c>
      <c r="P174" s="22">
        <f t="shared" si="88"/>
        <v>4.642606277740434</v>
      </c>
      <c r="Q174" s="22">
        <f t="shared" si="89"/>
        <v>7.5100135644016991E-2</v>
      </c>
      <c r="R174" s="10">
        <v>4.6399999999999997</v>
      </c>
      <c r="S174" s="10">
        <v>4.79</v>
      </c>
      <c r="T174" s="10">
        <v>2381</v>
      </c>
      <c r="U174" s="10">
        <v>708710985.19000006</v>
      </c>
      <c r="V174" s="10">
        <v>709413537.98000002</v>
      </c>
    </row>
    <row r="175" spans="1:22">
      <c r="A175" s="119">
        <v>153</v>
      </c>
      <c r="B175" s="98" t="s">
        <v>256</v>
      </c>
      <c r="C175" s="99" t="s">
        <v>257</v>
      </c>
      <c r="D175" s="17">
        <v>82832266.400000006</v>
      </c>
      <c r="E175" s="17">
        <v>1725683.53</v>
      </c>
      <c r="F175" s="17">
        <v>209758.54</v>
      </c>
      <c r="G175" s="17">
        <v>325832.05</v>
      </c>
      <c r="H175" s="12">
        <f t="shared" si="84"/>
        <v>1609610.02</v>
      </c>
      <c r="I175" s="17">
        <v>80266563.420000002</v>
      </c>
      <c r="J175" s="13">
        <f t="shared" si="77"/>
        <v>1.405187082878084E-3</v>
      </c>
      <c r="K175" s="17">
        <v>82366847.140000001</v>
      </c>
      <c r="L175" s="13">
        <f t="shared" si="78"/>
        <v>1.4034814943342476E-3</v>
      </c>
      <c r="M175" s="13">
        <f t="shared" si="85"/>
        <v>2.616635907295704E-2</v>
      </c>
      <c r="N175" s="20">
        <f t="shared" si="86"/>
        <v>3.9558640559129209E-3</v>
      </c>
      <c r="O175" s="21">
        <f t="shared" si="87"/>
        <v>1.9541964708982063E-2</v>
      </c>
      <c r="P175" s="22">
        <f t="shared" si="88"/>
        <v>2.3113143368747351</v>
      </c>
      <c r="Q175" s="22">
        <f t="shared" si="89"/>
        <v>4.5167623202570346E-2</v>
      </c>
      <c r="R175" s="17">
        <v>2.2999999999999998</v>
      </c>
      <c r="S175" s="17">
        <v>2.3199999999999998</v>
      </c>
      <c r="T175" s="17">
        <v>88</v>
      </c>
      <c r="U175" s="17">
        <v>35355622.270000003</v>
      </c>
      <c r="V175" s="17">
        <v>35636367.509999998</v>
      </c>
    </row>
    <row r="176" spans="1:22">
      <c r="A176" s="119">
        <v>154</v>
      </c>
      <c r="B176" s="97" t="s">
        <v>175</v>
      </c>
      <c r="C176" s="97" t="s">
        <v>115</v>
      </c>
      <c r="D176" s="29">
        <v>526228283.75</v>
      </c>
      <c r="E176" s="29">
        <v>7334889.5999999996</v>
      </c>
      <c r="F176" s="29">
        <v>43127464.810000002</v>
      </c>
      <c r="G176" s="10">
        <v>2617450.39</v>
      </c>
      <c r="H176" s="12">
        <f t="shared" si="84"/>
        <v>47844904.020000003</v>
      </c>
      <c r="I176" s="10">
        <v>594935270.24000001</v>
      </c>
      <c r="J176" s="13">
        <f t="shared" si="77"/>
        <v>1.041523794304523E-2</v>
      </c>
      <c r="K176" s="10">
        <v>523672685.81999999</v>
      </c>
      <c r="L176" s="13">
        <f t="shared" si="78"/>
        <v>8.9230673402789489E-3</v>
      </c>
      <c r="M176" s="13">
        <f t="shared" si="85"/>
        <v>-0.11978208047953236</v>
      </c>
      <c r="N176" s="20">
        <f t="shared" si="86"/>
        <v>4.9982564698814293E-3</v>
      </c>
      <c r="O176" s="21">
        <f t="shared" si="87"/>
        <v>9.1364138927890443E-2</v>
      </c>
      <c r="P176" s="22">
        <f t="shared" si="88"/>
        <v>226.43789055682043</v>
      </c>
      <c r="Q176" s="22">
        <f t="shared" si="89"/>
        <v>20.688302891371794</v>
      </c>
      <c r="R176" s="10">
        <v>256.13260000000002</v>
      </c>
      <c r="S176" s="10">
        <v>257.38260000000002</v>
      </c>
      <c r="T176" s="10">
        <v>139</v>
      </c>
      <c r="U176" s="10">
        <v>2305986.94</v>
      </c>
      <c r="V176" s="10">
        <v>2312654.85</v>
      </c>
    </row>
    <row r="177" spans="1:22">
      <c r="A177" s="119">
        <v>155</v>
      </c>
      <c r="B177" s="19" t="s">
        <v>176</v>
      </c>
      <c r="C177" s="97" t="s">
        <v>32</v>
      </c>
      <c r="D177" s="29">
        <v>2337384083.21</v>
      </c>
      <c r="E177" s="29">
        <v>42588605.049999997</v>
      </c>
      <c r="F177" s="29">
        <v>-2047227.4</v>
      </c>
      <c r="G177" s="10">
        <v>5351641.0999999996</v>
      </c>
      <c r="H177" s="12">
        <f t="shared" si="84"/>
        <v>35189736.549999997</v>
      </c>
      <c r="I177" s="10">
        <v>2180159785.4899998</v>
      </c>
      <c r="J177" s="13">
        <f t="shared" si="77"/>
        <v>3.8166980603749914E-2</v>
      </c>
      <c r="K177" s="10">
        <v>2175791805.7199998</v>
      </c>
      <c r="L177" s="13">
        <f t="shared" si="78"/>
        <v>3.7074182646104334E-2</v>
      </c>
      <c r="M177" s="13">
        <f t="shared" si="85"/>
        <v>-2.0035135952286452E-3</v>
      </c>
      <c r="N177" s="20">
        <f t="shared" si="86"/>
        <v>2.45962921908747E-3</v>
      </c>
      <c r="O177" s="21">
        <f t="shared" si="87"/>
        <v>1.6173301350565213E-2</v>
      </c>
      <c r="P177" s="22">
        <f t="shared" si="88"/>
        <v>2916.8064960386082</v>
      </c>
      <c r="Q177" s="22">
        <f t="shared" si="89"/>
        <v>47.174390441718607</v>
      </c>
      <c r="R177" s="10">
        <v>0</v>
      </c>
      <c r="S177" s="10">
        <v>0</v>
      </c>
      <c r="T177" s="10">
        <v>823</v>
      </c>
      <c r="U177" s="10">
        <v>745950</v>
      </c>
      <c r="V177" s="10">
        <v>745950</v>
      </c>
    </row>
    <row r="178" spans="1:22">
      <c r="A178" s="119">
        <v>156</v>
      </c>
      <c r="B178" s="19" t="s">
        <v>177</v>
      </c>
      <c r="C178" s="97" t="s">
        <v>83</v>
      </c>
      <c r="D178" s="29">
        <v>5865693.9699999997</v>
      </c>
      <c r="E178" s="29">
        <v>182211.65</v>
      </c>
      <c r="F178" s="29">
        <v>138239</v>
      </c>
      <c r="G178" s="10">
        <v>18741.37</v>
      </c>
      <c r="H178" s="12">
        <f t="shared" si="84"/>
        <v>301709.28000000003</v>
      </c>
      <c r="I178" s="10">
        <v>30386696.010000002</v>
      </c>
      <c r="J178" s="13">
        <f t="shared" si="77"/>
        <v>5.3196487933798492E-4</v>
      </c>
      <c r="K178" s="10">
        <v>36892028.369999997</v>
      </c>
      <c r="L178" s="13">
        <f t="shared" si="78"/>
        <v>6.2861795617528667E-4</v>
      </c>
      <c r="M178" s="13">
        <f t="shared" si="85"/>
        <v>0.2140848862890242</v>
      </c>
      <c r="N178" s="20">
        <f t="shared" si="86"/>
        <v>5.0800595218126251E-4</v>
      </c>
      <c r="O178" s="21">
        <f t="shared" si="87"/>
        <v>8.1781700093602108E-3</v>
      </c>
      <c r="P178" s="22">
        <f t="shared" si="88"/>
        <v>2.3401043707313347</v>
      </c>
      <c r="Q178" s="22">
        <f t="shared" si="89"/>
        <v>1.9137771383487746E-2</v>
      </c>
      <c r="R178" s="10">
        <v>1.0798000000000001</v>
      </c>
      <c r="S178" s="10">
        <v>1.0798000000000001</v>
      </c>
      <c r="T178" s="10">
        <v>9</v>
      </c>
      <c r="U178" s="10">
        <v>15784817.890000001</v>
      </c>
      <c r="V178" s="10">
        <v>15765120.92</v>
      </c>
    </row>
    <row r="179" spans="1:22">
      <c r="A179" s="119">
        <v>157</v>
      </c>
      <c r="B179" s="97" t="s">
        <v>178</v>
      </c>
      <c r="C179" s="97" t="s">
        <v>42</v>
      </c>
      <c r="D179" s="29">
        <v>281679493.69</v>
      </c>
      <c r="E179" s="29">
        <v>5789814.1200000001</v>
      </c>
      <c r="F179" s="29">
        <v>96369682.329999998</v>
      </c>
      <c r="G179" s="10">
        <v>421834.63</v>
      </c>
      <c r="H179" s="12">
        <f t="shared" si="84"/>
        <v>101737661.82000001</v>
      </c>
      <c r="I179" s="10">
        <v>231764258.13999999</v>
      </c>
      <c r="J179" s="13">
        <f t="shared" si="77"/>
        <v>4.0573824010260561E-3</v>
      </c>
      <c r="K179" s="10">
        <v>288677222.16000003</v>
      </c>
      <c r="L179" s="13">
        <f t="shared" si="78"/>
        <v>4.9188860956245221E-3</v>
      </c>
      <c r="M179" s="13">
        <f t="shared" si="85"/>
        <v>0.2455640247411276</v>
      </c>
      <c r="N179" s="20">
        <f t="shared" si="86"/>
        <v>1.4612674558929944E-3</v>
      </c>
      <c r="O179" s="21">
        <f t="shared" si="87"/>
        <v>0.3524270500414185</v>
      </c>
      <c r="P179" s="22">
        <f t="shared" si="88"/>
        <v>2.9081950067965106</v>
      </c>
      <c r="Q179" s="22">
        <f t="shared" si="89"/>
        <v>1.0249265871904771</v>
      </c>
      <c r="R179" s="10">
        <v>2.87</v>
      </c>
      <c r="S179" s="10">
        <v>2.93</v>
      </c>
      <c r="T179" s="10">
        <v>121</v>
      </c>
      <c r="U179" s="10">
        <v>99263364.900000006</v>
      </c>
      <c r="V179" s="10">
        <v>99263364.900000006</v>
      </c>
    </row>
    <row r="180" spans="1:22">
      <c r="A180" s="119">
        <v>158</v>
      </c>
      <c r="B180" s="19" t="s">
        <v>179</v>
      </c>
      <c r="C180" s="19" t="s">
        <v>46</v>
      </c>
      <c r="D180" s="29">
        <v>2904921601.73</v>
      </c>
      <c r="E180" s="29">
        <v>45367836.109999999</v>
      </c>
      <c r="F180" s="29">
        <v>11166985</v>
      </c>
      <c r="G180" s="10">
        <v>4501894.25</v>
      </c>
      <c r="H180" s="12">
        <f t="shared" si="84"/>
        <v>52032926.859999999</v>
      </c>
      <c r="I180" s="10">
        <v>2934915643.4000001</v>
      </c>
      <c r="J180" s="13">
        <f t="shared" si="77"/>
        <v>5.138011864121865E-2</v>
      </c>
      <c r="K180" s="10">
        <v>2939220968.4699998</v>
      </c>
      <c r="L180" s="13">
        <f t="shared" si="78"/>
        <v>5.0082556031254569E-2</v>
      </c>
      <c r="M180" s="13">
        <f t="shared" si="85"/>
        <v>1.466933156897185E-3</v>
      </c>
      <c r="N180" s="20">
        <f t="shared" si="86"/>
        <v>1.5316624024846433E-3</v>
      </c>
      <c r="O180" s="21">
        <f t="shared" si="87"/>
        <v>1.7702965315699124E-2</v>
      </c>
      <c r="P180" s="22">
        <f t="shared" si="88"/>
        <v>7044.9685400008475</v>
      </c>
      <c r="Q180" s="22">
        <f t="shared" si="89"/>
        <v>124.7168337138265</v>
      </c>
      <c r="R180" s="10">
        <v>7006.94</v>
      </c>
      <c r="S180" s="10">
        <v>7071.03</v>
      </c>
      <c r="T180" s="10">
        <v>2344</v>
      </c>
      <c r="U180" s="10">
        <v>423571.31</v>
      </c>
      <c r="V180" s="10">
        <v>417208.53</v>
      </c>
    </row>
    <row r="181" spans="1:22">
      <c r="A181" s="119">
        <v>159</v>
      </c>
      <c r="B181" s="19" t="s">
        <v>293</v>
      </c>
      <c r="C181" s="19" t="s">
        <v>291</v>
      </c>
      <c r="D181" s="29">
        <v>104615857.31384499</v>
      </c>
      <c r="E181" s="29">
        <v>3996333.73</v>
      </c>
      <c r="F181" s="29">
        <v>2621756.13</v>
      </c>
      <c r="G181" s="10">
        <v>688167.34</v>
      </c>
      <c r="H181" s="12">
        <f t="shared" si="84"/>
        <v>5929922.5199999996</v>
      </c>
      <c r="I181" s="10">
        <v>109103314.48999999</v>
      </c>
      <c r="J181" s="13">
        <f t="shared" si="77"/>
        <v>1.9100178416550089E-3</v>
      </c>
      <c r="K181" s="10">
        <v>111200253.47</v>
      </c>
      <c r="L181" s="13">
        <f t="shared" si="78"/>
        <v>1.8947853818557939E-3</v>
      </c>
      <c r="M181" s="13">
        <f t="shared" si="85"/>
        <v>1.9219755053291272E-2</v>
      </c>
      <c r="N181" s="20">
        <f t="shared" si="86"/>
        <v>6.1885411096266633E-3</v>
      </c>
      <c r="O181" s="21">
        <f t="shared" si="87"/>
        <v>5.3326519814091929E-2</v>
      </c>
      <c r="P181" s="22">
        <f t="shared" si="88"/>
        <v>1181.573336434602</v>
      </c>
      <c r="Q181" s="22">
        <f t="shared" si="89"/>
        <v>63.009193937182509</v>
      </c>
      <c r="R181" s="10">
        <v>1171.8812</v>
      </c>
      <c r="S181" s="10">
        <v>1187.8040000000001</v>
      </c>
      <c r="T181" s="10">
        <v>9</v>
      </c>
      <c r="U181" s="10">
        <v>94112.02</v>
      </c>
      <c r="V181" s="10">
        <v>94112.02</v>
      </c>
    </row>
    <row r="182" spans="1:22">
      <c r="A182" s="119">
        <v>160</v>
      </c>
      <c r="B182" s="98" t="s">
        <v>226</v>
      </c>
      <c r="C182" s="98" t="s">
        <v>227</v>
      </c>
      <c r="D182" s="29">
        <v>757374802.50999999</v>
      </c>
      <c r="E182" s="29">
        <v>106914444.91</v>
      </c>
      <c r="F182" s="29">
        <v>0</v>
      </c>
      <c r="G182" s="10">
        <v>699579.16</v>
      </c>
      <c r="H182" s="12">
        <f t="shared" si="84"/>
        <v>106214865.75</v>
      </c>
      <c r="I182" s="10">
        <v>745812435.92999995</v>
      </c>
      <c r="J182" s="13">
        <f t="shared" si="77"/>
        <v>1.3056569965938559E-2</v>
      </c>
      <c r="K182" s="10">
        <v>755122688.67999995</v>
      </c>
      <c r="L182" s="13">
        <f t="shared" si="78"/>
        <v>1.2866836067100446E-2</v>
      </c>
      <c r="M182" s="13">
        <f t="shared" si="85"/>
        <v>1.2483370216789783E-2</v>
      </c>
      <c r="N182" s="20">
        <f t="shared" si="86"/>
        <v>9.2644436524997893E-4</v>
      </c>
      <c r="O182" s="21">
        <f t="shared" si="87"/>
        <v>0.14065908406972913</v>
      </c>
      <c r="P182" s="22">
        <f t="shared" si="88"/>
        <v>1.4413667306313822</v>
      </c>
      <c r="Q182" s="22">
        <f t="shared" si="89"/>
        <v>0.20274132413919019</v>
      </c>
      <c r="R182" s="10">
        <v>1.4390000000000001</v>
      </c>
      <c r="S182" s="10">
        <v>1.4390000000000001</v>
      </c>
      <c r="T182" s="10">
        <v>43</v>
      </c>
      <c r="U182" s="10">
        <v>523993519</v>
      </c>
      <c r="V182" s="10">
        <v>523893519</v>
      </c>
    </row>
    <row r="183" spans="1:22">
      <c r="A183" s="119">
        <v>161</v>
      </c>
      <c r="B183" s="19" t="s">
        <v>180</v>
      </c>
      <c r="C183" s="19" t="s">
        <v>50</v>
      </c>
      <c r="D183" s="29">
        <v>1743902484</v>
      </c>
      <c r="E183" s="29">
        <v>18681470</v>
      </c>
      <c r="F183" s="29">
        <v>36574955</v>
      </c>
      <c r="G183" s="10">
        <v>3870843</v>
      </c>
      <c r="H183" s="12">
        <f t="shared" si="84"/>
        <v>51385582</v>
      </c>
      <c r="I183" s="10">
        <v>2353939097.73</v>
      </c>
      <c r="J183" s="13">
        <f t="shared" si="77"/>
        <v>4.1209249195135002E-2</v>
      </c>
      <c r="K183" s="10">
        <v>2407374901.3499999</v>
      </c>
      <c r="L183" s="13">
        <f t="shared" si="78"/>
        <v>4.1020219193611103E-2</v>
      </c>
      <c r="M183" s="13">
        <f t="shared" si="85"/>
        <v>2.270058884341155E-2</v>
      </c>
      <c r="N183" s="20">
        <f t="shared" si="86"/>
        <v>1.6079103416045922E-3</v>
      </c>
      <c r="O183" s="21">
        <f t="shared" si="87"/>
        <v>2.1345068427515865E-2</v>
      </c>
      <c r="P183" s="22">
        <f t="shared" si="88"/>
        <v>2.1642265872398436</v>
      </c>
      <c r="Q183" s="22">
        <f t="shared" si="89"/>
        <v>4.6195564597283592E-2</v>
      </c>
      <c r="R183" s="10">
        <v>2.16</v>
      </c>
      <c r="S183" s="10">
        <v>2.17</v>
      </c>
      <c r="T183" s="10">
        <v>1397</v>
      </c>
      <c r="U183" s="10">
        <v>1113348490</v>
      </c>
      <c r="V183" s="10">
        <v>1112348825</v>
      </c>
    </row>
    <row r="184" spans="1:22">
      <c r="A184" s="119">
        <v>162</v>
      </c>
      <c r="B184" s="112" t="s">
        <v>181</v>
      </c>
      <c r="C184" s="19" t="s">
        <v>90</v>
      </c>
      <c r="D184" s="29">
        <v>8675170360.3400002</v>
      </c>
      <c r="E184" s="29">
        <v>268160349.34</v>
      </c>
      <c r="F184" s="29">
        <v>-11788167.220000001</v>
      </c>
      <c r="G184" s="10">
        <v>36576407.740000002</v>
      </c>
      <c r="H184" s="12">
        <f t="shared" si="84"/>
        <v>219795774.38</v>
      </c>
      <c r="I184" s="10">
        <v>9836338503.1000004</v>
      </c>
      <c r="J184" s="13">
        <f t="shared" si="77"/>
        <v>0.17219992009684659</v>
      </c>
      <c r="K184" s="10">
        <v>10067134277.48</v>
      </c>
      <c r="L184" s="13">
        <f t="shared" si="78"/>
        <v>0.17153790815139311</v>
      </c>
      <c r="M184" s="13">
        <f t="shared" si="85"/>
        <v>2.3463585998719141E-2</v>
      </c>
      <c r="N184" s="20">
        <f t="shared" si="86"/>
        <v>3.6332492178852501E-3</v>
      </c>
      <c r="O184" s="21">
        <f t="shared" si="87"/>
        <v>2.1833003148838417E-2</v>
      </c>
      <c r="P184" s="22">
        <f t="shared" si="88"/>
        <v>589.23038301062491</v>
      </c>
      <c r="Q184" s="22">
        <f t="shared" si="89"/>
        <v>12.864668807662241</v>
      </c>
      <c r="R184" s="10">
        <v>584.70000000000005</v>
      </c>
      <c r="S184" s="10">
        <v>591.54999999999995</v>
      </c>
      <c r="T184" s="10">
        <v>35</v>
      </c>
      <c r="U184" s="10">
        <v>17066171.149999999</v>
      </c>
      <c r="V184" s="10">
        <v>17085226.030000001</v>
      </c>
    </row>
    <row r="185" spans="1:22">
      <c r="A185" s="119">
        <v>163</v>
      </c>
      <c r="B185" s="19" t="s">
        <v>182</v>
      </c>
      <c r="C185" s="19" t="s">
        <v>50</v>
      </c>
      <c r="D185" s="29">
        <v>682634005.13</v>
      </c>
      <c r="E185" s="29">
        <v>14469969</v>
      </c>
      <c r="F185" s="29">
        <v>-159123.79999999999</v>
      </c>
      <c r="G185" s="10">
        <v>2221736</v>
      </c>
      <c r="H185" s="12">
        <f t="shared" si="84"/>
        <v>12089109.199999999</v>
      </c>
      <c r="I185" s="10">
        <v>1342846813</v>
      </c>
      <c r="J185" s="13">
        <f t="shared" si="77"/>
        <v>2.3508555935527083E-2</v>
      </c>
      <c r="K185" s="10">
        <v>1354536152</v>
      </c>
      <c r="L185" s="13">
        <f t="shared" si="78"/>
        <v>2.3080480663627372E-2</v>
      </c>
      <c r="M185" s="13">
        <f t="shared" si="85"/>
        <v>8.704893876826738E-3</v>
      </c>
      <c r="N185" s="20">
        <f t="shared" si="86"/>
        <v>1.6402190496869072E-3</v>
      </c>
      <c r="O185" s="21">
        <f t="shared" si="87"/>
        <v>8.9249070112674255E-3</v>
      </c>
      <c r="P185" s="22">
        <f t="shared" si="88"/>
        <v>1.6441018889736154</v>
      </c>
      <c r="Q185" s="22">
        <f t="shared" si="89"/>
        <v>1.4673456476138639E-2</v>
      </c>
      <c r="R185" s="10">
        <v>1.64</v>
      </c>
      <c r="S185" s="10">
        <v>1.65</v>
      </c>
      <c r="T185" s="10">
        <v>224</v>
      </c>
      <c r="U185" s="10">
        <v>825512950</v>
      </c>
      <c r="V185" s="10">
        <v>823876039</v>
      </c>
    </row>
    <row r="186" spans="1:22">
      <c r="A186" s="119">
        <v>164</v>
      </c>
      <c r="B186" s="19" t="s">
        <v>183</v>
      </c>
      <c r="C186" s="19" t="s">
        <v>94</v>
      </c>
      <c r="D186" s="29">
        <v>3946658192.0500002</v>
      </c>
      <c r="E186" s="29">
        <v>22295705.66</v>
      </c>
      <c r="F186" s="29">
        <v>-17548373.800000001</v>
      </c>
      <c r="G186" s="10">
        <v>8539115.2899999991</v>
      </c>
      <c r="H186" s="12">
        <f t="shared" si="84"/>
        <v>-3791783.4299999997</v>
      </c>
      <c r="I186" s="10">
        <v>3996232489.2399998</v>
      </c>
      <c r="J186" s="13">
        <f t="shared" si="77"/>
        <v>6.996006848673153E-2</v>
      </c>
      <c r="K186" s="10">
        <v>4016958173.9099998</v>
      </c>
      <c r="L186" s="13">
        <f t="shared" si="78"/>
        <v>6.8446549265323467E-2</v>
      </c>
      <c r="M186" s="13">
        <f t="shared" si="85"/>
        <v>5.1863060334464348E-3</v>
      </c>
      <c r="N186" s="20">
        <f t="shared" si="86"/>
        <v>2.1257665428187052E-3</v>
      </c>
      <c r="O186" s="21">
        <f t="shared" si="87"/>
        <v>-9.4394396601575235E-4</v>
      </c>
      <c r="P186" s="22">
        <f t="shared" si="88"/>
        <v>24.085336824320425</v>
      </c>
      <c r="Q186" s="22">
        <f t="shared" si="89"/>
        <v>-2.273520836477427E-2</v>
      </c>
      <c r="R186" s="10">
        <v>23.927600000000002</v>
      </c>
      <c r="S186" s="10">
        <v>24.221</v>
      </c>
      <c r="T186" s="10">
        <v>6156</v>
      </c>
      <c r="U186" s="10">
        <v>167296974.62</v>
      </c>
      <c r="V186" s="10">
        <v>166780236.59</v>
      </c>
    </row>
    <row r="187" spans="1:22" ht="15" customHeight="1">
      <c r="A187" s="124" t="s">
        <v>51</v>
      </c>
      <c r="B187" s="124"/>
      <c r="C187" s="124"/>
      <c r="D187" s="124"/>
      <c r="E187" s="124"/>
      <c r="F187" s="124"/>
      <c r="G187" s="124"/>
      <c r="H187" s="124"/>
      <c r="I187" s="37">
        <f>SUM(I159:I186)</f>
        <v>57121620599.870003</v>
      </c>
      <c r="J187" s="35">
        <f>(I187/$I$218)</f>
        <v>1.1895152544160436E-2</v>
      </c>
      <c r="K187" s="37">
        <f>SUM(K159:K186)</f>
        <v>58687519196.020004</v>
      </c>
      <c r="L187" s="35">
        <f>(K187/$K$218)</f>
        <v>1.0778540527215743E-2</v>
      </c>
      <c r="M187" s="35">
        <f t="shared" si="79"/>
        <v>2.741341333991433E-2</v>
      </c>
      <c r="N187" s="20"/>
      <c r="O187" s="20"/>
      <c r="P187" s="36"/>
      <c r="Q187" s="36"/>
      <c r="R187" s="37"/>
      <c r="S187" s="37"/>
      <c r="T187" s="37">
        <f>SUM(T159:T186)</f>
        <v>68124</v>
      </c>
      <c r="U187" s="37"/>
      <c r="V187" s="40"/>
    </row>
    <row r="188" spans="1:22" ht="6" customHeight="1">
      <c r="A188" s="129"/>
      <c r="B188" s="129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</row>
    <row r="189" spans="1:22">
      <c r="A189" s="123" t="s">
        <v>184</v>
      </c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</row>
    <row r="190" spans="1:22">
      <c r="A190" s="106">
        <v>165</v>
      </c>
      <c r="B190" s="97" t="s">
        <v>185</v>
      </c>
      <c r="C190" s="97" t="s">
        <v>26</v>
      </c>
      <c r="D190" s="10">
        <v>791377176.5</v>
      </c>
      <c r="E190" s="10">
        <v>12648548.27</v>
      </c>
      <c r="F190" s="10">
        <v>-2913240.14</v>
      </c>
      <c r="G190" s="10">
        <v>2953184.32</v>
      </c>
      <c r="H190" s="12">
        <f>(E190+F190)-G190</f>
        <v>6782123.8099999987</v>
      </c>
      <c r="I190" s="10">
        <v>1058209153</v>
      </c>
      <c r="J190" s="13">
        <f>(I190/$I$193)</f>
        <v>0.15778365400790093</v>
      </c>
      <c r="K190" s="10">
        <v>1109984129</v>
      </c>
      <c r="L190" s="13">
        <f>(K190/$K$193)</f>
        <v>0.16241290686458623</v>
      </c>
      <c r="M190" s="13">
        <f>((K190-I190)/I190)</f>
        <v>4.8926978048922619E-2</v>
      </c>
      <c r="N190" s="20">
        <f>(G190/K190)</f>
        <v>2.6605644556923209E-3</v>
      </c>
      <c r="O190" s="21">
        <f>H190/K190</f>
        <v>6.110108813997284E-3</v>
      </c>
      <c r="P190" s="22">
        <f>K190/V190</f>
        <v>72.748911929432282</v>
      </c>
      <c r="Q190" s="22">
        <f>H190/V190</f>
        <v>0.44450376798873636</v>
      </c>
      <c r="R190" s="10">
        <v>72.385199999999998</v>
      </c>
      <c r="S190" s="10">
        <v>74.567599999999999</v>
      </c>
      <c r="T190" s="10">
        <v>1766</v>
      </c>
      <c r="U190" s="10">
        <v>14651894</v>
      </c>
      <c r="V190" s="10">
        <v>15257742</v>
      </c>
    </row>
    <row r="191" spans="1:22">
      <c r="A191" s="106">
        <v>166</v>
      </c>
      <c r="B191" s="97" t="s">
        <v>186</v>
      </c>
      <c r="C191" s="19" t="s">
        <v>46</v>
      </c>
      <c r="D191" s="10">
        <v>4594398678.3800001</v>
      </c>
      <c r="E191" s="10">
        <v>82025611.099999994</v>
      </c>
      <c r="F191" s="25">
        <v>196565.75</v>
      </c>
      <c r="G191" s="10">
        <v>13040717.859999999</v>
      </c>
      <c r="H191" s="12">
        <f>(E191+F191)-G191</f>
        <v>69181458.989999995</v>
      </c>
      <c r="I191" s="10">
        <v>4587656597.29</v>
      </c>
      <c r="J191" s="13">
        <f t="shared" ref="J191:J192" si="90">(I191/$I$193)</f>
        <v>0.68403984146399599</v>
      </c>
      <c r="K191" s="10">
        <v>4639775835.9200001</v>
      </c>
      <c r="L191" s="13">
        <f t="shared" ref="L191:L192" si="91">(K191/$K$193)</f>
        <v>0.67889212198982052</v>
      </c>
      <c r="M191" s="13">
        <f t="shared" ref="M191:M192" si="92">((K191-I191)/I191)</f>
        <v>1.1360754128979E-2</v>
      </c>
      <c r="N191" s="20">
        <f t="shared" ref="N191:N192" si="93">(G191/K191)</f>
        <v>2.8106353240262122E-3</v>
      </c>
      <c r="O191" s="21">
        <f t="shared" ref="O191:O192" si="94">H191/K191</f>
        <v>1.4910517541475647E-2</v>
      </c>
      <c r="P191" s="22">
        <f t="shared" ref="P191:P192" si="95">K191/V191</f>
        <v>3.2139471297208613</v>
      </c>
      <c r="Q191" s="22">
        <f t="shared" ref="Q191:Q192" si="96">H191/V191</f>
        <v>4.7921615055078207E-2</v>
      </c>
      <c r="R191" s="10">
        <v>3.19</v>
      </c>
      <c r="S191" s="10">
        <v>3.23</v>
      </c>
      <c r="T191" s="10">
        <v>10364</v>
      </c>
      <c r="U191" s="10">
        <v>1447981616.55</v>
      </c>
      <c r="V191" s="10">
        <v>1443637884.71</v>
      </c>
    </row>
    <row r="192" spans="1:22">
      <c r="A192" s="108">
        <v>167</v>
      </c>
      <c r="B192" s="97" t="s">
        <v>187</v>
      </c>
      <c r="C192" s="19" t="s">
        <v>94</v>
      </c>
      <c r="D192" s="10">
        <v>1040199322.46</v>
      </c>
      <c r="E192" s="10">
        <v>7000372.1600000001</v>
      </c>
      <c r="F192" s="10">
        <v>-4144552.2</v>
      </c>
      <c r="G192" s="10">
        <v>5153572.8</v>
      </c>
      <c r="H192" s="12">
        <f>(E192+F192)-G192</f>
        <v>-2297752.84</v>
      </c>
      <c r="I192" s="10">
        <v>1060843887.37</v>
      </c>
      <c r="J192" s="13">
        <f t="shared" si="90"/>
        <v>0.15817650452810314</v>
      </c>
      <c r="K192" s="10">
        <v>1084574512.73</v>
      </c>
      <c r="L192" s="13">
        <f t="shared" si="91"/>
        <v>0.15869497114559328</v>
      </c>
      <c r="M192" s="13">
        <f t="shared" si="92"/>
        <v>2.2369573546614847E-2</v>
      </c>
      <c r="N192" s="20">
        <f t="shared" si="93"/>
        <v>4.7517000810095179E-3</v>
      </c>
      <c r="O192" s="21">
        <f t="shared" si="94"/>
        <v>-2.1185753611490362E-3</v>
      </c>
      <c r="P192" s="22">
        <f t="shared" si="95"/>
        <v>30.732889596330327</v>
      </c>
      <c r="Q192" s="22">
        <f t="shared" si="96"/>
        <v>-6.5109942675698987E-2</v>
      </c>
      <c r="R192" s="10">
        <v>30.632200000000001</v>
      </c>
      <c r="S192" s="10">
        <v>30.9253</v>
      </c>
      <c r="T192" s="10">
        <v>1487</v>
      </c>
      <c r="U192" s="10">
        <v>35042922.939999998</v>
      </c>
      <c r="V192" s="10">
        <v>35290352.68</v>
      </c>
    </row>
    <row r="193" spans="1:22" ht="15" customHeight="1">
      <c r="A193" s="124" t="s">
        <v>51</v>
      </c>
      <c r="B193" s="124"/>
      <c r="C193" s="124"/>
      <c r="D193" s="124"/>
      <c r="E193" s="124"/>
      <c r="F193" s="124"/>
      <c r="G193" s="124"/>
      <c r="H193" s="124"/>
      <c r="I193" s="37">
        <f>SUM(I190:I192)</f>
        <v>6706709637.6599998</v>
      </c>
      <c r="J193" s="35">
        <f>(I193/$I$218)</f>
        <v>1.396622388713149E-3</v>
      </c>
      <c r="K193" s="37">
        <f>SUM(K190:K192)</f>
        <v>6834334477.6499996</v>
      </c>
      <c r="L193" s="35">
        <f>(K193/$K$218)</f>
        <v>1.2551927931704772E-3</v>
      </c>
      <c r="M193" s="35">
        <f t="shared" ref="M193" si="97">((K193-I193)/I193)</f>
        <v>1.9029426780809409E-2</v>
      </c>
      <c r="N193" s="20"/>
      <c r="O193" s="41"/>
      <c r="P193" s="36"/>
      <c r="Q193" s="36"/>
      <c r="R193" s="37"/>
      <c r="S193" s="37"/>
      <c r="T193" s="37">
        <f>SUM(T190:T192)</f>
        <v>13617</v>
      </c>
      <c r="U193" s="37"/>
      <c r="V193" s="40"/>
    </row>
    <row r="194" spans="1:22" ht="8.1" customHeight="1">
      <c r="A194" s="128"/>
      <c r="B194" s="128"/>
      <c r="C194" s="128"/>
      <c r="D194" s="128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  <c r="V194" s="128"/>
    </row>
    <row r="195" spans="1:22">
      <c r="A195" s="123" t="s">
        <v>188</v>
      </c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</row>
    <row r="196" spans="1:22" ht="12.9" customHeight="1">
      <c r="A196" s="131" t="s">
        <v>189</v>
      </c>
      <c r="B196" s="131"/>
      <c r="C196" s="131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</row>
    <row r="197" spans="1:22" ht="15" customHeight="1">
      <c r="A197" s="114">
        <v>168</v>
      </c>
      <c r="B197" s="97" t="s">
        <v>190</v>
      </c>
      <c r="C197" s="19" t="s">
        <v>118</v>
      </c>
      <c r="D197" s="135">
        <v>4604325891.5100002</v>
      </c>
      <c r="E197" s="29">
        <v>41529261.119999997</v>
      </c>
      <c r="F197" s="29">
        <v>-25839216.98</v>
      </c>
      <c r="G197" s="17">
        <v>13105837.869999999</v>
      </c>
      <c r="H197" s="12">
        <f>(E197+F197)-G197</f>
        <v>2584206.2699999977</v>
      </c>
      <c r="I197" s="29">
        <v>5353830642.75</v>
      </c>
      <c r="J197" s="13">
        <f>(I197/$I$217)</f>
        <v>9.4944663468693069E-2</v>
      </c>
      <c r="K197" s="29">
        <v>5370577379.1899996</v>
      </c>
      <c r="L197" s="13">
        <f>(K197/$K$217)</f>
        <v>9.2700644936983309E-2</v>
      </c>
      <c r="M197" s="13">
        <f>((K197-I197)/I197)</f>
        <v>3.1279914434121144E-3</v>
      </c>
      <c r="N197" s="20">
        <f>(G197/K197)</f>
        <v>2.4403033314039403E-3</v>
      </c>
      <c r="O197" s="21">
        <f>H197/K197</f>
        <v>4.8117848185435743E-4</v>
      </c>
      <c r="P197" s="22">
        <f>K197/V197</f>
        <v>2.3647809777183881</v>
      </c>
      <c r="Q197" s="22">
        <f>H197/V197</f>
        <v>1.1378817207765969E-3</v>
      </c>
      <c r="R197" s="29">
        <v>2.34</v>
      </c>
      <c r="S197" s="29">
        <v>2.39</v>
      </c>
      <c r="T197" s="29">
        <v>15031</v>
      </c>
      <c r="U197" s="10">
        <v>2266108733.6399999</v>
      </c>
      <c r="V197" s="10">
        <v>2271067566</v>
      </c>
    </row>
    <row r="198" spans="1:22">
      <c r="A198" s="106">
        <v>169</v>
      </c>
      <c r="B198" s="19" t="s">
        <v>191</v>
      </c>
      <c r="C198" s="19" t="s">
        <v>46</v>
      </c>
      <c r="D198" s="17">
        <v>950307325.99000001</v>
      </c>
      <c r="E198" s="17">
        <v>5151293.74</v>
      </c>
      <c r="F198" s="17">
        <v>24232236.91</v>
      </c>
      <c r="G198" s="17">
        <v>2092267.06</v>
      </c>
      <c r="H198" s="12">
        <f>(E198+F198)-G198</f>
        <v>27291263.59</v>
      </c>
      <c r="I198" s="17">
        <v>901386038.21000004</v>
      </c>
      <c r="J198" s="13">
        <f>(I198/$I$217)</f>
        <v>1.5985151523072422E-2</v>
      </c>
      <c r="K198" s="17">
        <v>978087929.28999996</v>
      </c>
      <c r="L198" s="13">
        <f>(K198/$K$217)</f>
        <v>1.6882613441450207E-2</v>
      </c>
      <c r="M198" s="13">
        <f>((K198-I198)/I198)</f>
        <v>8.5093276164246875E-2</v>
      </c>
      <c r="N198" s="20">
        <f>(G198/K198)</f>
        <v>2.139140047990153E-3</v>
      </c>
      <c r="O198" s="21">
        <f>H198/K198</f>
        <v>2.7902668842678485E-2</v>
      </c>
      <c r="P198" s="22">
        <f>K198/V198</f>
        <v>581.55745594578036</v>
      </c>
      <c r="Q198" s="22">
        <f>H198/V198</f>
        <v>16.227005106245691</v>
      </c>
      <c r="R198" s="17">
        <v>577.15</v>
      </c>
      <c r="S198" s="17">
        <v>584.58000000000004</v>
      </c>
      <c r="T198" s="17">
        <v>962</v>
      </c>
      <c r="U198" s="17">
        <v>1606732.35</v>
      </c>
      <c r="V198" s="17">
        <v>1681842.3</v>
      </c>
    </row>
    <row r="199" spans="1:22" ht="6.9" customHeight="1">
      <c r="A199" s="128"/>
      <c r="B199" s="128"/>
      <c r="C199" s="128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128"/>
    </row>
    <row r="200" spans="1:22">
      <c r="A200" s="132" t="s">
        <v>146</v>
      </c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</row>
    <row r="201" spans="1:22">
      <c r="A201" s="100">
        <v>170</v>
      </c>
      <c r="B201" s="107" t="s">
        <v>273</v>
      </c>
      <c r="C201" s="103" t="s">
        <v>58</v>
      </c>
      <c r="D201" s="63">
        <v>225797063.00999999</v>
      </c>
      <c r="E201" s="63">
        <v>15342227.789999999</v>
      </c>
      <c r="F201" s="10">
        <v>0</v>
      </c>
      <c r="G201" s="63">
        <v>2302220.02</v>
      </c>
      <c r="H201" s="63">
        <f>(E201+F201)-G201</f>
        <v>13040007.77</v>
      </c>
      <c r="I201" s="63">
        <v>1205210744</v>
      </c>
      <c r="J201" s="13">
        <f>(I201/$I$217)</f>
        <v>2.137316925646288E-2</v>
      </c>
      <c r="K201" s="63">
        <v>1270247059</v>
      </c>
      <c r="L201" s="13">
        <f>(K201/$K$217)</f>
        <v>2.1925523697857226E-2</v>
      </c>
      <c r="M201" s="13">
        <f t="shared" ref="M201:M217" si="98">((K201-I201)/I201)</f>
        <v>5.3962608053218619E-2</v>
      </c>
      <c r="N201" s="20">
        <f>(G201/K201)</f>
        <v>1.8124190909856695E-3</v>
      </c>
      <c r="O201" s="21">
        <f>H201/K201</f>
        <v>1.02657256142484E-2</v>
      </c>
      <c r="P201" s="22">
        <f>K201/V201</f>
        <v>1.0656671043195349</v>
      </c>
      <c r="Q201" s="22">
        <f>H201/V201</f>
        <v>1.0939846089074973E-2</v>
      </c>
      <c r="R201" s="63">
        <v>1.0657000000000001</v>
      </c>
      <c r="S201" s="63">
        <v>1.0657000000000001</v>
      </c>
      <c r="T201" s="63">
        <v>583</v>
      </c>
      <c r="U201" s="63">
        <v>1142965036</v>
      </c>
      <c r="V201" s="63">
        <v>1191973604</v>
      </c>
    </row>
    <row r="202" spans="1:22">
      <c r="A202" s="100">
        <v>171</v>
      </c>
      <c r="B202" s="107" t="s">
        <v>192</v>
      </c>
      <c r="C202" s="103" t="s">
        <v>193</v>
      </c>
      <c r="D202" s="63">
        <v>286740291</v>
      </c>
      <c r="E202" s="63">
        <v>2069679</v>
      </c>
      <c r="F202" s="10">
        <v>0</v>
      </c>
      <c r="G202" s="63">
        <v>3116228</v>
      </c>
      <c r="H202" s="63">
        <f>(E202+F202)-G202</f>
        <v>-1046549</v>
      </c>
      <c r="I202" s="63">
        <v>348792426</v>
      </c>
      <c r="J202" s="13">
        <f t="shared" ref="J202:J213" si="99">(I202/$I$217)</f>
        <v>6.1854738628768016E-3</v>
      </c>
      <c r="K202" s="63">
        <v>348077834</v>
      </c>
      <c r="L202" s="13">
        <f t="shared" ref="L202:L213" si="100">(K202/$K$217)</f>
        <v>6.0081137318860845E-3</v>
      </c>
      <c r="M202" s="13">
        <f t="shared" ref="M202:M213" si="101">((K202-I202)/I202)</f>
        <v>-2.048760084027742E-3</v>
      </c>
      <c r="N202" s="20">
        <f t="shared" ref="N202:N213" si="102">(G202/K202)</f>
        <v>8.9526757972183887E-3</v>
      </c>
      <c r="O202" s="21">
        <f t="shared" ref="O202:O213" si="103">H202/K202</f>
        <v>-3.0066522420384863E-3</v>
      </c>
      <c r="P202" s="22">
        <f t="shared" ref="P202:P213" si="104">K202/V202</f>
        <v>1063.4402972078713</v>
      </c>
      <c r="Q202" s="22">
        <f t="shared" ref="Q202:Q213" si="105">H202/V202</f>
        <v>-3.1973951538741203</v>
      </c>
      <c r="R202" s="63">
        <v>1065.75</v>
      </c>
      <c r="S202" s="63">
        <v>1065.75</v>
      </c>
      <c r="T202" s="63">
        <v>21</v>
      </c>
      <c r="U202" s="63">
        <v>327217</v>
      </c>
      <c r="V202" s="63">
        <v>327313</v>
      </c>
    </row>
    <row r="203" spans="1:22" ht="15" customHeight="1">
      <c r="A203" s="100">
        <v>172</v>
      </c>
      <c r="B203" s="107" t="s">
        <v>194</v>
      </c>
      <c r="C203" s="103" t="s">
        <v>62</v>
      </c>
      <c r="D203" s="63">
        <v>54447004.869999997</v>
      </c>
      <c r="E203" s="63">
        <v>2013545.32</v>
      </c>
      <c r="F203" s="10">
        <v>0</v>
      </c>
      <c r="G203" s="63">
        <v>367527.15</v>
      </c>
      <c r="H203" s="63">
        <f t="shared" ref="H203:H213" si="106">(E203+F203)-G203</f>
        <v>1646018.17</v>
      </c>
      <c r="I203" s="63">
        <v>206481599.81999999</v>
      </c>
      <c r="J203" s="13">
        <f t="shared" si="99"/>
        <v>3.6617381675931151E-3</v>
      </c>
      <c r="K203" s="63">
        <v>210156921.53999999</v>
      </c>
      <c r="L203" s="13">
        <f t="shared" si="100"/>
        <v>3.6274837488082631E-3</v>
      </c>
      <c r="M203" s="13">
        <f t="shared" si="101"/>
        <v>1.7799754182474151E-2</v>
      </c>
      <c r="N203" s="20">
        <f t="shared" si="102"/>
        <v>1.7488224861061602E-3</v>
      </c>
      <c r="O203" s="21">
        <f t="shared" si="103"/>
        <v>7.8323290897973439E-3</v>
      </c>
      <c r="P203" s="22">
        <f t="shared" si="104"/>
        <v>119.93115473091851</v>
      </c>
      <c r="Q203" s="22">
        <f t="shared" si="105"/>
        <v>0.93934027197195935</v>
      </c>
      <c r="R203" s="63">
        <v>119.85</v>
      </c>
      <c r="S203" s="63">
        <v>119.85</v>
      </c>
      <c r="T203" s="63">
        <v>64</v>
      </c>
      <c r="U203" s="63">
        <v>1734530</v>
      </c>
      <c r="V203" s="63">
        <v>1752313</v>
      </c>
    </row>
    <row r="204" spans="1:22" ht="15" customHeight="1">
      <c r="A204" s="100">
        <v>173</v>
      </c>
      <c r="B204" s="107" t="s">
        <v>195</v>
      </c>
      <c r="C204" s="103" t="s">
        <v>169</v>
      </c>
      <c r="D204" s="63">
        <v>33096505.82</v>
      </c>
      <c r="E204" s="63">
        <v>637939.56000000006</v>
      </c>
      <c r="F204" s="10">
        <v>0</v>
      </c>
      <c r="G204" s="63">
        <v>303349.7</v>
      </c>
      <c r="H204" s="63">
        <f t="shared" si="106"/>
        <v>334589.86000000004</v>
      </c>
      <c r="I204" s="63">
        <v>61982417.960000001</v>
      </c>
      <c r="J204" s="13">
        <f t="shared" si="99"/>
        <v>1.0991942418195906E-3</v>
      </c>
      <c r="K204" s="63">
        <v>62058774.5</v>
      </c>
      <c r="L204" s="13">
        <f t="shared" si="100"/>
        <v>1.0711862084773602E-3</v>
      </c>
      <c r="M204" s="13">
        <f t="shared" si="101"/>
        <v>1.2319064423926694E-3</v>
      </c>
      <c r="N204" s="20">
        <f t="shared" si="102"/>
        <v>4.8881032931128859E-3</v>
      </c>
      <c r="O204" s="21">
        <f t="shared" si="103"/>
        <v>5.3914996339478154E-3</v>
      </c>
      <c r="P204" s="22">
        <f t="shared" si="104"/>
        <v>101.86327547945295</v>
      </c>
      <c r="Q204" s="22">
        <f t="shared" si="105"/>
        <v>0.54919581246019611</v>
      </c>
      <c r="R204" s="63">
        <v>101.29</v>
      </c>
      <c r="S204" s="63">
        <v>101.29</v>
      </c>
      <c r="T204" s="63">
        <v>19</v>
      </c>
      <c r="U204" s="63">
        <v>611925</v>
      </c>
      <c r="V204" s="63">
        <v>609236</v>
      </c>
    </row>
    <row r="205" spans="1:22" ht="15" customHeight="1">
      <c r="A205" s="100">
        <v>174</v>
      </c>
      <c r="B205" s="19" t="s">
        <v>260</v>
      </c>
      <c r="C205" s="97" t="s">
        <v>69</v>
      </c>
      <c r="D205" s="16">
        <v>114197236.01000001</v>
      </c>
      <c r="E205" s="29">
        <v>1279022.3400000001</v>
      </c>
      <c r="F205" s="29">
        <v>0</v>
      </c>
      <c r="G205" s="10">
        <v>461161.7</v>
      </c>
      <c r="H205" s="12">
        <f t="shared" si="106"/>
        <v>817860.64000000013</v>
      </c>
      <c r="I205" s="17">
        <v>117718137.69</v>
      </c>
      <c r="J205" s="13">
        <f t="shared" si="99"/>
        <v>2.0876097345876067E-3</v>
      </c>
      <c r="K205" s="17">
        <v>110581673.20999999</v>
      </c>
      <c r="L205" s="13">
        <f t="shared" si="100"/>
        <v>1.9087319111160076E-3</v>
      </c>
      <c r="M205" s="13">
        <f t="shared" si="101"/>
        <v>-6.0623321265863325E-2</v>
      </c>
      <c r="N205" s="20">
        <f t="shared" si="102"/>
        <v>4.1703266609488844E-3</v>
      </c>
      <c r="O205" s="21">
        <f t="shared" si="103"/>
        <v>7.3959872034748729E-3</v>
      </c>
      <c r="P205" s="22">
        <f t="shared" si="104"/>
        <v>1.0804358074392326</v>
      </c>
      <c r="Q205" s="22">
        <f t="shared" si="105"/>
        <v>7.9908894059966054E-3</v>
      </c>
      <c r="R205" s="10">
        <v>1.0811999999999999</v>
      </c>
      <c r="S205" s="10">
        <v>1.0811999999999999</v>
      </c>
      <c r="T205" s="10">
        <v>41</v>
      </c>
      <c r="U205" s="10">
        <v>109954557.73</v>
      </c>
      <c r="V205" s="10">
        <v>102349137.68000001</v>
      </c>
    </row>
    <row r="206" spans="1:22" ht="15" customHeight="1">
      <c r="A206" s="100">
        <v>175</v>
      </c>
      <c r="B206" s="103" t="s">
        <v>196</v>
      </c>
      <c r="C206" s="103" t="s">
        <v>73</v>
      </c>
      <c r="D206" s="63">
        <v>5437361411.7799997</v>
      </c>
      <c r="E206" s="63">
        <v>68324711.700000003</v>
      </c>
      <c r="F206" s="10">
        <v>0</v>
      </c>
      <c r="G206" s="63">
        <v>8568873.7599999998</v>
      </c>
      <c r="H206" s="63">
        <f t="shared" si="106"/>
        <v>59755837.940000005</v>
      </c>
      <c r="I206" s="63">
        <v>5272940197.2799997</v>
      </c>
      <c r="J206" s="13">
        <f t="shared" si="99"/>
        <v>9.3510154864394568E-2</v>
      </c>
      <c r="K206" s="63">
        <v>5412959005.8199997</v>
      </c>
      <c r="L206" s="13">
        <f t="shared" si="100"/>
        <v>9.3432187161345034E-2</v>
      </c>
      <c r="M206" s="13">
        <f t="shared" si="101"/>
        <v>2.6554218955911438E-2</v>
      </c>
      <c r="N206" s="20">
        <f t="shared" si="102"/>
        <v>1.5830294947341682E-3</v>
      </c>
      <c r="O206" s="21">
        <f t="shared" si="103"/>
        <v>1.1039403379140814E-2</v>
      </c>
      <c r="P206" s="22">
        <f t="shared" si="104"/>
        <v>151.19901773301655</v>
      </c>
      <c r="Q206" s="22">
        <f t="shared" si="105"/>
        <v>1.6691469472846345</v>
      </c>
      <c r="R206" s="63">
        <v>149.49</v>
      </c>
      <c r="S206" s="63">
        <v>149.49</v>
      </c>
      <c r="T206" s="63">
        <v>700</v>
      </c>
      <c r="U206" s="63">
        <v>35271206</v>
      </c>
      <c r="V206" s="63">
        <v>35800226</v>
      </c>
    </row>
    <row r="207" spans="1:22" ht="15" customHeight="1">
      <c r="A207" s="100">
        <v>176</v>
      </c>
      <c r="B207" s="103" t="s">
        <v>222</v>
      </c>
      <c r="C207" s="103" t="s">
        <v>60</v>
      </c>
      <c r="D207" s="63">
        <v>610686346.35000002</v>
      </c>
      <c r="E207" s="63">
        <v>8243528.1399999997</v>
      </c>
      <c r="F207" s="10">
        <v>0</v>
      </c>
      <c r="G207" s="63">
        <v>1656596.3</v>
      </c>
      <c r="H207" s="63">
        <f t="shared" si="106"/>
        <v>6586931.8399999999</v>
      </c>
      <c r="I207" s="63">
        <v>820733617.05999994</v>
      </c>
      <c r="J207" s="13">
        <f t="shared" si="99"/>
        <v>1.4554864034544625E-2</v>
      </c>
      <c r="K207" s="63">
        <v>798031437.86000001</v>
      </c>
      <c r="L207" s="13">
        <f t="shared" si="100"/>
        <v>1.3774688221840241E-2</v>
      </c>
      <c r="M207" s="13">
        <f t="shared" si="101"/>
        <v>-2.7660837485032955E-2</v>
      </c>
      <c r="N207" s="20">
        <f t="shared" si="102"/>
        <v>2.0758534330957267E-3</v>
      </c>
      <c r="O207" s="21">
        <f t="shared" si="103"/>
        <v>8.2539753792952152E-3</v>
      </c>
      <c r="P207" s="22">
        <f t="shared" si="104"/>
        <v>1241.5908101317598</v>
      </c>
      <c r="Q207" s="22">
        <f t="shared" si="105"/>
        <v>10.248059977986745</v>
      </c>
      <c r="R207" s="63">
        <v>1241.5899999999999</v>
      </c>
      <c r="S207" s="63">
        <v>1241.5899999999999</v>
      </c>
      <c r="T207" s="63">
        <v>177</v>
      </c>
      <c r="U207" s="63">
        <v>666834.11</v>
      </c>
      <c r="V207" s="63">
        <v>642749.15</v>
      </c>
    </row>
    <row r="208" spans="1:22" ht="15" customHeight="1">
      <c r="A208" s="100">
        <v>177</v>
      </c>
      <c r="B208" s="107" t="s">
        <v>117</v>
      </c>
      <c r="C208" s="103" t="s">
        <v>118</v>
      </c>
      <c r="D208" s="63">
        <v>13318308396.42</v>
      </c>
      <c r="E208" s="63">
        <v>359806347.98000002</v>
      </c>
      <c r="F208" s="10">
        <v>-7000000</v>
      </c>
      <c r="G208" s="63">
        <v>48858829.579999998</v>
      </c>
      <c r="H208" s="63">
        <f t="shared" si="106"/>
        <v>303947518.40000004</v>
      </c>
      <c r="I208" s="63">
        <v>29541690853.389999</v>
      </c>
      <c r="J208" s="13">
        <f t="shared" si="99"/>
        <v>0.52389141224881564</v>
      </c>
      <c r="K208" s="63">
        <v>30692575808.700001</v>
      </c>
      <c r="L208" s="13">
        <f t="shared" si="100"/>
        <v>0.52977945784161917</v>
      </c>
      <c r="M208" s="13">
        <f t="shared" si="101"/>
        <v>3.8957991978916598E-2</v>
      </c>
      <c r="N208" s="20">
        <f t="shared" si="102"/>
        <v>1.5918777845341564E-3</v>
      </c>
      <c r="O208" s="21">
        <f t="shared" si="103"/>
        <v>9.9029654693837798E-3</v>
      </c>
      <c r="P208" s="22">
        <f t="shared" si="104"/>
        <v>1242.4268716888919</v>
      </c>
      <c r="Q208" s="22">
        <f t="shared" si="105"/>
        <v>12.303710408569607</v>
      </c>
      <c r="R208" s="63">
        <v>1242.43</v>
      </c>
      <c r="S208" s="63">
        <v>1242.43</v>
      </c>
      <c r="T208" s="63">
        <v>10309</v>
      </c>
      <c r="U208" s="63">
        <v>23403161.780000001</v>
      </c>
      <c r="V208" s="63">
        <v>24703728.25</v>
      </c>
    </row>
    <row r="209" spans="1:22" ht="15" customHeight="1">
      <c r="A209" s="100">
        <v>178</v>
      </c>
      <c r="B209" s="101" t="s">
        <v>219</v>
      </c>
      <c r="C209" s="101" t="s">
        <v>220</v>
      </c>
      <c r="D209" s="63">
        <v>508888692.06</v>
      </c>
      <c r="E209" s="63">
        <v>0</v>
      </c>
      <c r="F209" s="10">
        <v>15198367.74</v>
      </c>
      <c r="G209" s="63">
        <v>836777.24</v>
      </c>
      <c r="H209" s="63">
        <f t="shared" si="106"/>
        <v>14361590.5</v>
      </c>
      <c r="I209" s="63">
        <v>518376313.11000001</v>
      </c>
      <c r="J209" s="13">
        <f t="shared" si="99"/>
        <v>9.1928691590233841E-3</v>
      </c>
      <c r="K209" s="63">
        <v>513384868.88</v>
      </c>
      <c r="L209" s="13">
        <f t="shared" si="100"/>
        <v>8.8614510295431936E-3</v>
      </c>
      <c r="M209" s="13">
        <f t="shared" si="101"/>
        <v>-9.6289975135126007E-3</v>
      </c>
      <c r="N209" s="20">
        <f t="shared" si="102"/>
        <v>1.6299218982154899E-3</v>
      </c>
      <c r="O209" s="21">
        <f t="shared" si="103"/>
        <v>2.7974315899358768E-2</v>
      </c>
      <c r="P209" s="22">
        <f t="shared" si="104"/>
        <v>125.21096318728452</v>
      </c>
      <c r="Q209" s="22">
        <f t="shared" si="105"/>
        <v>3.502691038264079</v>
      </c>
      <c r="R209" s="63">
        <v>124.55</v>
      </c>
      <c r="S209" s="63">
        <v>125.55</v>
      </c>
      <c r="T209" s="63">
        <v>150</v>
      </c>
      <c r="U209" s="63">
        <v>4107863.64</v>
      </c>
      <c r="V209" s="63">
        <v>4100159.09</v>
      </c>
    </row>
    <row r="210" spans="1:22" ht="15" customHeight="1">
      <c r="A210" s="100">
        <v>179</v>
      </c>
      <c r="B210" s="101" t="s">
        <v>221</v>
      </c>
      <c r="C210" s="101" t="s">
        <v>220</v>
      </c>
      <c r="D210" s="63">
        <v>158610727.25</v>
      </c>
      <c r="E210" s="63">
        <v>0</v>
      </c>
      <c r="F210" s="10">
        <v>11610825.140000001</v>
      </c>
      <c r="G210" s="63">
        <v>276274.71999999997</v>
      </c>
      <c r="H210" s="63">
        <f t="shared" si="106"/>
        <v>11334550.42</v>
      </c>
      <c r="I210" s="63">
        <v>159588882.28</v>
      </c>
      <c r="J210" s="13">
        <f t="shared" si="99"/>
        <v>2.8301441962752445E-3</v>
      </c>
      <c r="K210" s="63">
        <v>182917741.36000001</v>
      </c>
      <c r="L210" s="13">
        <f t="shared" si="100"/>
        <v>3.1573127798497024E-3</v>
      </c>
      <c r="M210" s="13">
        <f t="shared" si="101"/>
        <v>0.14618097919295744</v>
      </c>
      <c r="N210" s="20">
        <f t="shared" si="102"/>
        <v>1.5103768390418964E-3</v>
      </c>
      <c r="O210" s="21">
        <f t="shared" si="103"/>
        <v>6.1965287433177384E-2</v>
      </c>
      <c r="P210" s="22">
        <f t="shared" si="104"/>
        <v>120.11494782595203</v>
      </c>
      <c r="Q210" s="22">
        <f t="shared" si="105"/>
        <v>7.4429572670562232</v>
      </c>
      <c r="R210" s="63">
        <v>120.11</v>
      </c>
      <c r="S210" s="63">
        <v>120.11</v>
      </c>
      <c r="T210" s="63">
        <v>76</v>
      </c>
      <c r="U210" s="63">
        <v>1352678.98</v>
      </c>
      <c r="V210" s="63">
        <v>1522855.77</v>
      </c>
    </row>
    <row r="211" spans="1:22" ht="16.2" customHeight="1">
      <c r="A211" s="100">
        <v>180</v>
      </c>
      <c r="B211" s="103" t="s">
        <v>197</v>
      </c>
      <c r="C211" s="103" t="s">
        <v>144</v>
      </c>
      <c r="D211" s="63">
        <v>1012011762.09</v>
      </c>
      <c r="E211" s="63">
        <v>18514576.91</v>
      </c>
      <c r="F211" s="10">
        <v>0</v>
      </c>
      <c r="G211" s="63">
        <v>2629892.09</v>
      </c>
      <c r="H211" s="63">
        <f t="shared" si="106"/>
        <v>15884684.82</v>
      </c>
      <c r="I211" s="63">
        <v>1473669973.22</v>
      </c>
      <c r="J211" s="13">
        <f t="shared" si="99"/>
        <v>2.6134016745703835E-2</v>
      </c>
      <c r="K211" s="63">
        <v>1442274326</v>
      </c>
      <c r="L211" s="13">
        <f t="shared" si="100"/>
        <v>2.4894857806967815E-2</v>
      </c>
      <c r="M211" s="13">
        <f t="shared" si="101"/>
        <v>-2.1304395007384101E-2</v>
      </c>
      <c r="N211" s="20">
        <f t="shared" si="102"/>
        <v>1.8234340323409458E-3</v>
      </c>
      <c r="O211" s="21">
        <f t="shared" si="103"/>
        <v>1.1013636264367643E-2</v>
      </c>
      <c r="P211" s="22">
        <f t="shared" si="104"/>
        <v>104.36978940489202</v>
      </c>
      <c r="Q211" s="22">
        <f t="shared" si="105"/>
        <v>1.1494908974941325</v>
      </c>
      <c r="R211" s="63">
        <v>104.37</v>
      </c>
      <c r="S211" s="63">
        <v>104.37</v>
      </c>
      <c r="T211" s="63">
        <f>614+12+1</f>
        <v>627</v>
      </c>
      <c r="U211" s="63">
        <v>13837317</v>
      </c>
      <c r="V211" s="63">
        <v>13818887</v>
      </c>
    </row>
    <row r="212" spans="1:22">
      <c r="A212" s="100">
        <v>181</v>
      </c>
      <c r="B212" s="107" t="s">
        <v>198</v>
      </c>
      <c r="C212" s="107" t="s">
        <v>46</v>
      </c>
      <c r="D212" s="63">
        <v>6197130806.6300001</v>
      </c>
      <c r="E212" s="63">
        <v>60234162.140000001</v>
      </c>
      <c r="F212" s="10">
        <v>0</v>
      </c>
      <c r="G212" s="63">
        <v>10022701.48</v>
      </c>
      <c r="H212" s="63">
        <f t="shared" si="106"/>
        <v>50211460.659999996</v>
      </c>
      <c r="I212" s="63">
        <v>6036038220.0900002</v>
      </c>
      <c r="J212" s="13">
        <f t="shared" si="99"/>
        <v>0.10704291109145847</v>
      </c>
      <c r="K212" s="63">
        <v>6189195096.75</v>
      </c>
      <c r="L212" s="13">
        <f t="shared" si="100"/>
        <v>0.10683066951659351</v>
      </c>
      <c r="M212" s="13">
        <f t="shared" si="101"/>
        <v>2.5373742026722323E-2</v>
      </c>
      <c r="N212" s="20">
        <f t="shared" si="102"/>
        <v>1.6193869030341292E-3</v>
      </c>
      <c r="O212" s="21">
        <f t="shared" si="103"/>
        <v>8.1127610093219508E-3</v>
      </c>
      <c r="P212" s="22">
        <f t="shared" si="104"/>
        <v>135.93078285265463</v>
      </c>
      <c r="Q212" s="22">
        <f t="shared" si="105"/>
        <v>1.1027739550936251</v>
      </c>
      <c r="R212" s="63">
        <v>135.93</v>
      </c>
      <c r="S212" s="63">
        <v>135.93</v>
      </c>
      <c r="T212" s="63">
        <v>1316</v>
      </c>
      <c r="U212" s="63">
        <v>44443043.079999998</v>
      </c>
      <c r="V212" s="63">
        <v>45531960.950000003</v>
      </c>
    </row>
    <row r="213" spans="1:22" ht="15" customHeight="1">
      <c r="A213" s="100">
        <v>182</v>
      </c>
      <c r="B213" s="103" t="s">
        <v>199</v>
      </c>
      <c r="C213" s="103" t="s">
        <v>50</v>
      </c>
      <c r="D213" s="63">
        <v>3050118465</v>
      </c>
      <c r="E213" s="63">
        <v>43922969</v>
      </c>
      <c r="F213" s="10">
        <v>0</v>
      </c>
      <c r="G213" s="63">
        <v>6323762</v>
      </c>
      <c r="H213" s="63">
        <f t="shared" si="106"/>
        <v>37599207</v>
      </c>
      <c r="I213" s="63">
        <v>4162763650</v>
      </c>
      <c r="J213" s="13">
        <f t="shared" si="99"/>
        <v>7.382231905003761E-2</v>
      </c>
      <c r="K213" s="63">
        <v>4146104609</v>
      </c>
      <c r="L213" s="13">
        <f t="shared" si="100"/>
        <v>7.1565223642391096E-2</v>
      </c>
      <c r="M213" s="13">
        <f t="shared" si="101"/>
        <v>-4.0019185331360337E-3</v>
      </c>
      <c r="N213" s="20">
        <f t="shared" si="102"/>
        <v>1.5252297267832878E-3</v>
      </c>
      <c r="O213" s="21">
        <f t="shared" si="103"/>
        <v>9.0685620711023398E-3</v>
      </c>
      <c r="P213" s="22">
        <f t="shared" si="104"/>
        <v>1.2568048487823338</v>
      </c>
      <c r="Q213" s="22">
        <f t="shared" si="105"/>
        <v>1.1397412782444985E-2</v>
      </c>
      <c r="R213" s="63">
        <v>1.26</v>
      </c>
      <c r="S213" s="63">
        <v>1.26</v>
      </c>
      <c r="T213" s="63">
        <v>183</v>
      </c>
      <c r="U213" s="63">
        <v>3249885575</v>
      </c>
      <c r="V213" s="63">
        <v>3298924740</v>
      </c>
    </row>
    <row r="214" spans="1:22" ht="4.95" customHeight="1">
      <c r="A214" s="90"/>
      <c r="B214" s="19"/>
      <c r="C214" s="19"/>
      <c r="D214" s="11"/>
      <c r="E214" s="11"/>
      <c r="F214" s="11"/>
      <c r="G214" s="31"/>
      <c r="H214" s="12"/>
      <c r="I214" s="23"/>
      <c r="J214" s="13"/>
      <c r="K214" s="32"/>
      <c r="L214" s="13"/>
      <c r="M214" s="13"/>
      <c r="N214" s="20"/>
      <c r="O214" s="21"/>
      <c r="P214" s="22"/>
      <c r="Q214" s="22"/>
      <c r="R214" s="12"/>
      <c r="S214" s="12"/>
      <c r="T214" s="42"/>
      <c r="U214" s="31"/>
      <c r="V214" s="42"/>
    </row>
    <row r="215" spans="1:22" ht="15" customHeight="1">
      <c r="A215" s="131" t="s">
        <v>217</v>
      </c>
      <c r="B215" s="131"/>
      <c r="C215" s="13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</row>
    <row r="216" spans="1:22" ht="15" customHeight="1">
      <c r="A216" s="90">
        <v>183</v>
      </c>
      <c r="B216" s="97" t="s">
        <v>218</v>
      </c>
      <c r="C216" s="19" t="s">
        <v>118</v>
      </c>
      <c r="D216" s="16">
        <v>85840000.620000005</v>
      </c>
      <c r="E216" s="16">
        <v>2370026.42</v>
      </c>
      <c r="F216" s="16">
        <v>-4160000</v>
      </c>
      <c r="G216" s="10">
        <v>574903.47</v>
      </c>
      <c r="H216" s="12">
        <f>(E216+F216)-G216</f>
        <v>-2364877.0499999998</v>
      </c>
      <c r="I216" s="17">
        <v>207754309.15000001</v>
      </c>
      <c r="J216" s="13">
        <f t="shared" ref="J216" si="107">(I216/$I$217)</f>
        <v>3.6843083546411405E-3</v>
      </c>
      <c r="K216" s="17">
        <v>207397528.49000001</v>
      </c>
      <c r="L216" s="13">
        <f t="shared" ref="L216" si="108">(K216/$K$217)</f>
        <v>3.5798543232718589E-3</v>
      </c>
      <c r="M216" s="13">
        <f>((K216-I216)/I216)</f>
        <v>-1.7173201434892904E-3</v>
      </c>
      <c r="N216" s="20">
        <f t="shared" ref="N216" si="109">(G216/K216)</f>
        <v>2.771988047233262E-3</v>
      </c>
      <c r="O216" s="21">
        <f t="shared" ref="O216" si="110">H216/K216</f>
        <v>-1.1402628889639955E-2</v>
      </c>
      <c r="P216" s="22">
        <f t="shared" ref="P216" si="111">K216/V216</f>
        <v>1062.1188616838463</v>
      </c>
      <c r="Q216" s="22">
        <f t="shared" ref="Q216" si="112">H216/V216</f>
        <v>-12.110947216467729</v>
      </c>
      <c r="R216" s="12">
        <v>1062.1199999999999</v>
      </c>
      <c r="S216" s="12">
        <v>1062.1199999999999</v>
      </c>
      <c r="T216" s="10">
        <v>31</v>
      </c>
      <c r="U216" s="10">
        <v>1924443.61</v>
      </c>
      <c r="V216" s="10">
        <v>195267.72</v>
      </c>
    </row>
    <row r="217" spans="1:22" ht="15" customHeight="1">
      <c r="A217" s="124" t="s">
        <v>51</v>
      </c>
      <c r="B217" s="124"/>
      <c r="C217" s="124"/>
      <c r="D217" s="124"/>
      <c r="E217" s="124"/>
      <c r="F217" s="124"/>
      <c r="G217" s="124"/>
      <c r="H217" s="124"/>
      <c r="I217" s="37">
        <f>SUM(I197:I216)</f>
        <v>56388958022.010002</v>
      </c>
      <c r="J217" s="35">
        <f>(I217/$I$218)</f>
        <v>1.1742581012829227E-2</v>
      </c>
      <c r="K217" s="37">
        <f>SUM(K197:K216)</f>
        <v>57934627993.589996</v>
      </c>
      <c r="L217" s="35">
        <f>(K217/$K$218)</f>
        <v>1.0640264647622482E-2</v>
      </c>
      <c r="M217" s="35">
        <f t="shared" si="98"/>
        <v>2.7410862441839785E-2</v>
      </c>
      <c r="N217" s="20"/>
      <c r="O217" s="20"/>
      <c r="P217" s="36"/>
      <c r="Q217" s="36"/>
      <c r="R217" s="37"/>
      <c r="S217" s="37"/>
      <c r="T217" s="37">
        <f>SUM(T197:T213)</f>
        <v>30259</v>
      </c>
      <c r="U217" s="37"/>
      <c r="V217" s="37"/>
    </row>
    <row r="218" spans="1:22" ht="15" customHeight="1">
      <c r="A218" s="130" t="s">
        <v>200</v>
      </c>
      <c r="B218" s="130"/>
      <c r="C218" s="130"/>
      <c r="D218" s="130"/>
      <c r="E218" s="130"/>
      <c r="F218" s="130"/>
      <c r="G218" s="130"/>
      <c r="H218" s="130"/>
      <c r="I218" s="51">
        <f>SUM(I24,I68,I108,I147,I156,I187,I193,I217)</f>
        <v>4802092313470.3408</v>
      </c>
      <c r="J218" s="52"/>
      <c r="K218" s="51">
        <f>SUM(K24,K68,K108,K147,K156,K187,K193,K217)</f>
        <v>5444848404831.2861</v>
      </c>
      <c r="L218" s="43"/>
      <c r="M218" s="43"/>
      <c r="N218" s="44"/>
      <c r="O218" s="44"/>
      <c r="P218" s="45"/>
      <c r="Q218" s="45"/>
      <c r="R218" s="46"/>
      <c r="S218" s="46"/>
      <c r="T218" s="51">
        <f>SUM(T24,T68,T108,T147,T156,T187,T193,T217)</f>
        <v>841923</v>
      </c>
      <c r="U218" s="46"/>
      <c r="V218" s="46"/>
    </row>
    <row r="219" spans="1:22" ht="5.0999999999999996" customHeight="1">
      <c r="A219" s="91"/>
      <c r="B219" s="14"/>
      <c r="C219" s="14"/>
      <c r="D219" s="6"/>
      <c r="E219" s="6"/>
      <c r="F219" s="6"/>
      <c r="G219" s="6"/>
      <c r="H219" s="7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>
      <c r="A220" s="92" t="s">
        <v>201</v>
      </c>
      <c r="B220" s="47" t="s">
        <v>294</v>
      </c>
      <c r="C220" s="118">
        <v>1596.6891000000001</v>
      </c>
      <c r="D220" s="6"/>
      <c r="E220" s="6"/>
      <c r="F220" s="6"/>
      <c r="G220" s="6"/>
      <c r="H220" s="7"/>
      <c r="I220" s="8"/>
      <c r="J220" s="6"/>
      <c r="K220" s="8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9"/>
    </row>
  </sheetData>
  <sheetProtection algorithmName="SHA-512" hashValue="BhiiT84Ntjhj1a6pS3wxQgtlRbBcY+cBW1S/DMKo/75pr8ZElksIfUovVI5r3wNp23ILdlF3mAX9QznPAy6FoA==" saltValue="fu6q4BvWfSqPdKWiwQgEHg==" spinCount="100000" sheet="1" objects="1" scenarios="1"/>
  <mergeCells count="33">
    <mergeCell ref="A217:H217"/>
    <mergeCell ref="A218:H218"/>
    <mergeCell ref="A194:V194"/>
    <mergeCell ref="A195:V195"/>
    <mergeCell ref="A196:V196"/>
    <mergeCell ref="A199:V199"/>
    <mergeCell ref="A200:V200"/>
    <mergeCell ref="A215:V215"/>
    <mergeCell ref="A158:V158"/>
    <mergeCell ref="A187:H187"/>
    <mergeCell ref="A188:V188"/>
    <mergeCell ref="A189:V189"/>
    <mergeCell ref="A193:H193"/>
    <mergeCell ref="A147:H147"/>
    <mergeCell ref="A148:V148"/>
    <mergeCell ref="A149:V149"/>
    <mergeCell ref="A156:H156"/>
    <mergeCell ref="A157:V157"/>
    <mergeCell ref="A109:V109"/>
    <mergeCell ref="A110:V110"/>
    <mergeCell ref="A111:V111"/>
    <mergeCell ref="A129:V129"/>
    <mergeCell ref="A130:V130"/>
    <mergeCell ref="A26:V26"/>
    <mergeCell ref="A68:H68"/>
    <mergeCell ref="A69:V69"/>
    <mergeCell ref="A70:V70"/>
    <mergeCell ref="A108:H108"/>
    <mergeCell ref="A1:V1"/>
    <mergeCell ref="A3:V3"/>
    <mergeCell ref="A4:V4"/>
    <mergeCell ref="A24:H24"/>
    <mergeCell ref="A25:V25"/>
  </mergeCells>
  <pageMargins left="0.7" right="0.7" top="0.75" bottom="0.75" header="0.3" footer="0.3"/>
  <pageSetup scale="83" orientation="portrait" r:id="rId1"/>
  <colBreaks count="1" manualBreakCount="1">
    <brk id="3" max="1048575" man="1"/>
  </colBreaks>
  <ignoredErrors>
    <ignoredError sqref="J24 J68 J108 J147 J156 J187 J193 J2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I8" sqref="I8"/>
    </sheetView>
  </sheetViews>
  <sheetFormatPr defaultColWidth="9" defaultRowHeight="14.4"/>
  <cols>
    <col min="1" max="1" width="34" customWidth="1"/>
    <col min="2" max="2" width="11.6640625" customWidth="1"/>
    <col min="3" max="3" width="11.5546875" customWidth="1"/>
  </cols>
  <sheetData>
    <row r="1" spans="1:6">
      <c r="A1" s="2"/>
      <c r="B1" s="2"/>
      <c r="C1" s="2"/>
      <c r="D1" s="2"/>
      <c r="E1" s="2"/>
      <c r="F1" s="2"/>
    </row>
    <row r="2" spans="1:6">
      <c r="A2" s="64"/>
      <c r="B2" s="64"/>
      <c r="C2" s="64"/>
      <c r="D2" s="64"/>
      <c r="E2" s="64"/>
      <c r="F2" s="64"/>
    </row>
    <row r="3" spans="1:6">
      <c r="A3" s="137"/>
      <c r="B3" s="137"/>
      <c r="C3" s="137"/>
      <c r="D3" s="137"/>
      <c r="E3" s="64"/>
      <c r="F3" s="64"/>
    </row>
    <row r="4" spans="1:6" ht="33" customHeight="1">
      <c r="A4" s="138" t="s">
        <v>202</v>
      </c>
      <c r="B4" s="139" t="s">
        <v>298</v>
      </c>
      <c r="C4" s="139" t="s">
        <v>297</v>
      </c>
      <c r="D4" s="137"/>
      <c r="E4" s="64"/>
      <c r="F4" s="64"/>
    </row>
    <row r="5" spans="1:6" ht="18.899999999999999" customHeight="1">
      <c r="A5" s="140" t="s">
        <v>20</v>
      </c>
      <c r="B5" s="141">
        <f>[1]March!I24/1000000000</f>
        <v>38.254232063824439</v>
      </c>
      <c r="C5" s="142">
        <f>April!K24/1000000000</f>
        <v>38.4092374166</v>
      </c>
      <c r="D5" s="137"/>
      <c r="E5" s="64"/>
      <c r="F5" s="64"/>
    </row>
    <row r="6" spans="1:6">
      <c r="A6" s="138" t="s">
        <v>52</v>
      </c>
      <c r="B6" s="143">
        <f>[1]March!I68/1000000000</f>
        <v>2137.5508517731296</v>
      </c>
      <c r="C6" s="142">
        <f>April!K68/1000000000</f>
        <v>2770.932964702899</v>
      </c>
      <c r="D6" s="137"/>
      <c r="E6" s="64"/>
      <c r="F6" s="64"/>
    </row>
    <row r="7" spans="1:6">
      <c r="A7" s="138" t="s">
        <v>203</v>
      </c>
      <c r="B7" s="141">
        <f>[1]March!I108/1000000000</f>
        <v>191.04383083871033</v>
      </c>
      <c r="C7" s="142">
        <f>April!K108/1000000000</f>
        <v>204.98454964474001</v>
      </c>
      <c r="D7" s="137"/>
      <c r="E7" s="64"/>
      <c r="F7" s="64"/>
    </row>
    <row r="8" spans="1:6">
      <c r="A8" s="138" t="s">
        <v>204</v>
      </c>
      <c r="B8" s="143">
        <f>[1]March!I146/1000000000</f>
        <v>1787.1244946161137</v>
      </c>
      <c r="C8" s="142">
        <f>April!K147/1000000000</f>
        <v>1951.2396774693273</v>
      </c>
      <c r="D8" s="137"/>
      <c r="E8" s="64"/>
      <c r="F8" s="64"/>
    </row>
    <row r="9" spans="1:6">
      <c r="A9" s="138" t="s">
        <v>205</v>
      </c>
      <c r="B9" s="141">
        <f>[1]March!I154/1000000000</f>
        <v>101.14279538354</v>
      </c>
      <c r="C9" s="142">
        <f>April!K156/1000000000</f>
        <v>355.82549393045997</v>
      </c>
      <c r="D9" s="137"/>
      <c r="E9" s="64"/>
      <c r="F9" s="64"/>
    </row>
    <row r="10" spans="1:6">
      <c r="A10" s="138" t="s">
        <v>161</v>
      </c>
      <c r="B10" s="141">
        <f>[1]March!I185/1000000000</f>
        <v>57.960605376102954</v>
      </c>
      <c r="C10" s="142">
        <f>April!K187/1000000000</f>
        <v>58.687519196020006</v>
      </c>
      <c r="D10" s="137"/>
      <c r="E10" s="64"/>
      <c r="F10" s="64"/>
    </row>
    <row r="11" spans="1:6">
      <c r="A11" s="138" t="s">
        <v>184</v>
      </c>
      <c r="B11" s="141">
        <f>[1]March!I191/1000000000</f>
        <v>6.7148611995100005</v>
      </c>
      <c r="C11" s="142">
        <f>April!K193/1000000000</f>
        <v>6.8343344776499997</v>
      </c>
      <c r="D11" s="137"/>
      <c r="E11" s="64"/>
      <c r="F11" s="64"/>
    </row>
    <row r="12" spans="1:6">
      <c r="A12" s="138" t="s">
        <v>206</v>
      </c>
      <c r="B12" s="141">
        <f>[1]March!I215/1000000000</f>
        <v>54.400136303729944</v>
      </c>
      <c r="C12" s="142">
        <f>April!K217/1000000000</f>
        <v>57.934627993589999</v>
      </c>
      <c r="D12" s="137"/>
      <c r="E12" s="64"/>
      <c r="F12" s="64"/>
    </row>
    <row r="13" spans="1:6">
      <c r="A13" s="137"/>
      <c r="B13" s="137"/>
      <c r="C13" s="137"/>
      <c r="D13" s="137"/>
      <c r="E13" s="64"/>
      <c r="F13" s="64"/>
    </row>
    <row r="14" spans="1:6">
      <c r="A14" s="137"/>
      <c r="B14" s="137"/>
      <c r="C14" s="137"/>
      <c r="D14" s="137"/>
      <c r="E14" s="64"/>
      <c r="F14" s="64"/>
    </row>
    <row r="15" spans="1:6">
      <c r="A15" s="137"/>
      <c r="B15" s="137"/>
      <c r="C15" s="137"/>
      <c r="D15" s="137"/>
      <c r="E15" s="64"/>
      <c r="F15" s="64"/>
    </row>
    <row r="16" spans="1:6">
      <c r="A16" s="137"/>
      <c r="B16" s="144"/>
      <c r="C16" s="137"/>
      <c r="D16" s="137"/>
      <c r="E16" s="64"/>
      <c r="F16" s="64"/>
    </row>
    <row r="17" spans="1:6">
      <c r="A17" s="145"/>
      <c r="B17" s="146"/>
      <c r="C17" s="147"/>
      <c r="D17" s="137"/>
      <c r="E17" s="64"/>
      <c r="F17" s="64"/>
    </row>
    <row r="18" spans="1:6" ht="15.6">
      <c r="A18" s="53"/>
      <c r="B18" s="56"/>
      <c r="C18" s="57"/>
      <c r="D18" s="2"/>
      <c r="E18" s="2"/>
      <c r="F18" s="2"/>
    </row>
    <row r="19" spans="1:6">
      <c r="A19" s="58"/>
      <c r="B19" s="55"/>
      <c r="C19" s="59"/>
      <c r="D19" s="2"/>
      <c r="E19" s="2"/>
      <c r="F19" s="2"/>
    </row>
    <row r="20" spans="1:6">
      <c r="A20" s="58"/>
      <c r="B20" s="56"/>
      <c r="C20" s="57"/>
      <c r="D20" s="2"/>
      <c r="E20" s="2"/>
      <c r="F20" s="2"/>
    </row>
    <row r="21" spans="1:6">
      <c r="A21" s="58"/>
      <c r="B21" s="55"/>
      <c r="C21" s="59"/>
      <c r="D21" s="2"/>
      <c r="E21" s="2"/>
      <c r="F21" s="2"/>
    </row>
    <row r="22" spans="1:6">
      <c r="A22" s="58"/>
      <c r="B22" s="60"/>
      <c r="C22" s="61"/>
      <c r="D22" s="2"/>
      <c r="E22" s="2"/>
      <c r="F22" s="2"/>
    </row>
    <row r="23" spans="1:6">
      <c r="A23" s="58"/>
      <c r="B23" s="55"/>
      <c r="C23" s="59"/>
      <c r="D23" s="2"/>
      <c r="E23" s="2"/>
      <c r="F23" s="2"/>
    </row>
    <row r="24" spans="1:6">
      <c r="A24" s="58"/>
      <c r="B24" s="55"/>
      <c r="C24" s="54"/>
      <c r="D24" s="2"/>
      <c r="E24" s="2"/>
      <c r="F24" s="2"/>
    </row>
    <row r="25" spans="1:6">
      <c r="A25" s="58"/>
      <c r="B25" s="55"/>
      <c r="C25" s="55"/>
      <c r="D25" s="2"/>
      <c r="E25" s="2"/>
      <c r="F25" s="2"/>
    </row>
    <row r="26" spans="1:6">
      <c r="A26" s="58"/>
      <c r="B26" s="55"/>
      <c r="C26" s="55"/>
      <c r="D26" s="2"/>
      <c r="E26" s="2"/>
      <c r="F26" s="2"/>
    </row>
    <row r="27" spans="1:6">
      <c r="A27" s="2"/>
      <c r="B27" s="2"/>
      <c r="C27" s="2"/>
      <c r="D27" s="2"/>
      <c r="E27" s="2"/>
    </row>
    <row r="28" spans="1:6">
      <c r="A28" s="2"/>
      <c r="B28" s="2"/>
      <c r="C28" s="2"/>
      <c r="D28" s="2"/>
      <c r="E28" s="2"/>
    </row>
  </sheetData>
  <sheetProtection algorithmName="SHA-512" hashValue="jmJ6KQOSYl04ekYvdE+LzYU2+AoEsv+y5NLBRUh0Cmw7NkNfzq/dDwKQ+PapyT5cmsXCuKdePNCcLKWHvOJKKw==" saltValue="E8j13gRlN3EmAutM3+w+4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85" zoomScaleNormal="85" workbookViewId="0">
      <selection activeCell="K12" sqref="K12"/>
    </sheetView>
  </sheetViews>
  <sheetFormatPr defaultColWidth="9" defaultRowHeight="14.4"/>
  <cols>
    <col min="1" max="1" width="26.6640625" customWidth="1"/>
    <col min="2" max="2" width="21.33203125" customWidth="1"/>
  </cols>
  <sheetData>
    <row r="1" spans="1:6">
      <c r="A1" s="69" t="s">
        <v>202</v>
      </c>
      <c r="B1" s="70" t="s">
        <v>297</v>
      </c>
      <c r="C1" s="64"/>
      <c r="D1" s="64"/>
      <c r="E1" s="2"/>
      <c r="F1" s="2"/>
    </row>
    <row r="2" spans="1:6">
      <c r="A2" s="69" t="s">
        <v>184</v>
      </c>
      <c r="B2" s="71">
        <f>April!K193</f>
        <v>6834334477.6499996</v>
      </c>
      <c r="C2" s="64"/>
      <c r="D2" s="64"/>
      <c r="E2" s="2"/>
      <c r="F2" s="2"/>
    </row>
    <row r="3" spans="1:6">
      <c r="A3" s="69" t="s">
        <v>20</v>
      </c>
      <c r="B3" s="72">
        <f>April!K24</f>
        <v>38409237416.599998</v>
      </c>
      <c r="C3" s="64"/>
      <c r="D3" s="64"/>
      <c r="E3" s="2"/>
      <c r="F3" s="2"/>
    </row>
    <row r="4" spans="1:6">
      <c r="A4" s="69" t="s">
        <v>206</v>
      </c>
      <c r="B4" s="73">
        <f>April!K217</f>
        <v>57934627993.589996</v>
      </c>
      <c r="C4" s="64"/>
      <c r="D4" s="64"/>
      <c r="E4" s="2"/>
      <c r="F4" s="2"/>
    </row>
    <row r="5" spans="1:6">
      <c r="A5" s="69" t="s">
        <v>161</v>
      </c>
      <c r="B5" s="73">
        <f>April!K187</f>
        <v>58687519196.020004</v>
      </c>
      <c r="C5" s="64"/>
      <c r="D5" s="64"/>
      <c r="E5" s="2"/>
      <c r="F5" s="2"/>
    </row>
    <row r="6" spans="1:6">
      <c r="A6" s="69" t="s">
        <v>203</v>
      </c>
      <c r="B6" s="74">
        <f>April!K108</f>
        <v>204984549644.74002</v>
      </c>
      <c r="C6" s="64"/>
      <c r="D6" s="64"/>
      <c r="E6" s="2"/>
      <c r="F6" s="2"/>
    </row>
    <row r="7" spans="1:6">
      <c r="A7" s="69" t="s">
        <v>205</v>
      </c>
      <c r="B7" s="74">
        <f>April!K156</f>
        <v>355825493930.45996</v>
      </c>
      <c r="C7" s="64"/>
      <c r="D7" s="64"/>
      <c r="E7" s="2"/>
      <c r="F7" s="2"/>
    </row>
    <row r="8" spans="1:6">
      <c r="A8" s="69" t="s">
        <v>204</v>
      </c>
      <c r="B8" s="73">
        <f>April!K147</f>
        <v>1951239677469.3271</v>
      </c>
      <c r="C8" s="64"/>
      <c r="D8" s="64"/>
      <c r="E8" s="2"/>
      <c r="F8" s="2"/>
    </row>
    <row r="9" spans="1:6">
      <c r="A9" s="69" t="s">
        <v>52</v>
      </c>
      <c r="B9" s="73">
        <f>April!K68</f>
        <v>2770932964702.8989</v>
      </c>
      <c r="C9" s="64"/>
      <c r="D9" s="64"/>
      <c r="E9" s="2"/>
      <c r="F9" s="2"/>
    </row>
    <row r="10" spans="1:6">
      <c r="A10" s="64"/>
      <c r="B10" s="64"/>
      <c r="C10" s="64"/>
      <c r="D10" s="64"/>
      <c r="E10" s="2"/>
      <c r="F10" s="2"/>
    </row>
    <row r="11" spans="1:6">
      <c r="A11" s="67"/>
      <c r="B11" s="64"/>
      <c r="C11" s="64"/>
      <c r="D11" s="64"/>
      <c r="E11" s="2"/>
      <c r="F11" s="2"/>
    </row>
    <row r="12" spans="1:6">
      <c r="A12" s="75"/>
      <c r="B12" s="64"/>
      <c r="C12" s="64"/>
      <c r="D12" s="64"/>
      <c r="E12" s="2"/>
      <c r="F12" s="2"/>
    </row>
    <row r="13" spans="1:6" ht="15" customHeight="1">
      <c r="A13" s="64"/>
      <c r="B13" s="76"/>
      <c r="C13" s="64"/>
      <c r="D13" s="64"/>
      <c r="E13" s="2"/>
      <c r="F13" s="2"/>
    </row>
    <row r="14" spans="1:6">
      <c r="A14" s="77"/>
      <c r="B14" s="76"/>
      <c r="C14" s="64"/>
      <c r="D14" s="64"/>
      <c r="E14" s="2"/>
      <c r="F14" s="2"/>
    </row>
    <row r="15" spans="1:6">
      <c r="A15" s="77"/>
      <c r="B15" s="76"/>
      <c r="C15" s="64"/>
      <c r="D15" s="64"/>
      <c r="E15" s="2"/>
      <c r="F15" s="2"/>
    </row>
    <row r="16" spans="1:6">
      <c r="A16" s="69"/>
      <c r="B16" s="76"/>
      <c r="C16" s="64"/>
      <c r="D16" s="64"/>
      <c r="E16" s="2"/>
      <c r="F16" s="2"/>
    </row>
    <row r="17" spans="1:17">
      <c r="A17" s="78"/>
      <c r="B17" s="76"/>
      <c r="C17" s="64"/>
      <c r="D17" s="64"/>
      <c r="E17" s="2"/>
      <c r="F17" s="2"/>
    </row>
    <row r="18" spans="1:17">
      <c r="A18" s="77"/>
      <c r="B18" s="76"/>
      <c r="C18" s="64"/>
      <c r="D18" s="64"/>
      <c r="E18" s="2"/>
      <c r="F18" s="2"/>
    </row>
    <row r="19" spans="1:17">
      <c r="A19" s="79"/>
      <c r="B19" s="76"/>
      <c r="C19" s="64"/>
      <c r="D19" s="64"/>
      <c r="E19" s="2"/>
      <c r="F19" s="2"/>
    </row>
    <row r="20" spans="1:17">
      <c r="A20" s="80"/>
      <c r="B20" s="76"/>
      <c r="C20" s="64"/>
      <c r="D20" s="64"/>
      <c r="E20" s="2"/>
      <c r="F20" s="2"/>
    </row>
    <row r="21" spans="1:17">
      <c r="A21" s="81"/>
      <c r="B21" s="82"/>
      <c r="C21" s="64"/>
      <c r="D21" s="64"/>
      <c r="E21" s="2"/>
      <c r="F21" s="2"/>
    </row>
    <row r="22" spans="1:17">
      <c r="A22" s="64"/>
      <c r="B22" s="83"/>
      <c r="C22" s="64"/>
      <c r="D22" s="64"/>
      <c r="E22" s="2"/>
      <c r="F22" s="2"/>
    </row>
    <row r="23" spans="1:17">
      <c r="A23" s="2"/>
      <c r="B23" s="2"/>
      <c r="C23" s="2"/>
      <c r="D23" s="2"/>
      <c r="E23" s="2"/>
      <c r="F23" s="2"/>
    </row>
    <row r="24" spans="1:17">
      <c r="A24" s="2"/>
      <c r="B24" s="2"/>
      <c r="C24" s="2"/>
      <c r="D24" s="2"/>
      <c r="E24" s="2"/>
      <c r="F24" s="2"/>
    </row>
    <row r="25" spans="1:17">
      <c r="A25" s="2"/>
      <c r="B25" s="2"/>
      <c r="C25" s="2"/>
      <c r="D25" s="2"/>
      <c r="E25" s="2"/>
      <c r="F25" s="2"/>
    </row>
    <row r="26" spans="1:17">
      <c r="A26" s="2"/>
      <c r="B26" s="2"/>
      <c r="C26" s="2"/>
      <c r="D26" s="2"/>
      <c r="E26" s="2"/>
      <c r="F26" s="2"/>
    </row>
    <row r="27" spans="1:17">
      <c r="A27" s="2"/>
      <c r="B27" s="2"/>
      <c r="C27" s="2"/>
      <c r="D27" s="2"/>
      <c r="E27" s="2"/>
      <c r="F27" s="2"/>
    </row>
    <row r="28" spans="1:17">
      <c r="A28" s="2"/>
      <c r="B28" s="2"/>
      <c r="C28" s="2"/>
      <c r="D28" s="2"/>
      <c r="E28" s="2"/>
      <c r="F28" s="2"/>
    </row>
    <row r="29" spans="1:17">
      <c r="A29" s="2"/>
      <c r="B29" s="2"/>
      <c r="C29" s="2"/>
      <c r="D29" s="2"/>
      <c r="E29" s="2"/>
    </row>
    <row r="32" spans="1:17" ht="15.9" customHeight="1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"/>
    </row>
    <row r="33" spans="1:17">
      <c r="A33" s="133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"/>
    </row>
  </sheetData>
  <sheetProtection algorithmName="SHA-512" hashValue="FgHhDWhiP/2BRCl3Qj+IdjRTtXbTkHXmuloVTu/Mf/ZLGjEkEC5fyFvXvcKvTn/ZFGqM49aLfxwQHMu9lUe9QA==" saltValue="LIHlcDoMf186AGKmnd7WZQ==" spinCount="100000" sheet="1" objects="1" scenarios="1"/>
  <sortState ref="A13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G7" sqref="G7"/>
    </sheetView>
  </sheetViews>
  <sheetFormatPr defaultColWidth="9" defaultRowHeight="14.4"/>
  <cols>
    <col min="1" max="1" width="34.6640625" customWidth="1"/>
    <col min="2" max="2" width="15" customWidth="1"/>
  </cols>
  <sheetData>
    <row r="1" spans="1:5">
      <c r="A1" s="2"/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spans="1:5">
      <c r="A4" s="64"/>
      <c r="B4" s="64"/>
      <c r="C4" s="64"/>
      <c r="D4" s="2"/>
      <c r="E4" s="2"/>
    </row>
    <row r="5" spans="1:5" ht="15.6">
      <c r="A5" s="65" t="s">
        <v>202</v>
      </c>
      <c r="B5" s="66" t="s">
        <v>207</v>
      </c>
      <c r="C5" s="64"/>
      <c r="D5" s="2"/>
      <c r="E5" s="2"/>
    </row>
    <row r="6" spans="1:5">
      <c r="A6" s="67" t="s">
        <v>20</v>
      </c>
      <c r="B6" s="68">
        <f>April!T24</f>
        <v>50791</v>
      </c>
      <c r="C6" s="64"/>
      <c r="D6" s="2"/>
      <c r="E6" s="2"/>
    </row>
    <row r="7" spans="1:5">
      <c r="A7" s="67" t="s">
        <v>52</v>
      </c>
      <c r="B7" s="68">
        <f>April!T68</f>
        <v>395538</v>
      </c>
      <c r="C7" s="64"/>
      <c r="D7" s="2"/>
      <c r="E7" s="2"/>
    </row>
    <row r="8" spans="1:5">
      <c r="A8" s="67" t="s">
        <v>203</v>
      </c>
      <c r="B8" s="68">
        <f>April!T108</f>
        <v>44914</v>
      </c>
      <c r="C8" s="64"/>
      <c r="D8" s="2"/>
      <c r="E8" s="2"/>
    </row>
    <row r="9" spans="1:5">
      <c r="A9" s="67" t="s">
        <v>204</v>
      </c>
      <c r="B9" s="68">
        <f>April!T147</f>
        <v>21167</v>
      </c>
      <c r="C9" s="64"/>
      <c r="D9" s="2"/>
      <c r="E9" s="2"/>
    </row>
    <row r="10" spans="1:5">
      <c r="A10" s="67" t="s">
        <v>205</v>
      </c>
      <c r="B10" s="68">
        <f>April!T156</f>
        <v>217513</v>
      </c>
      <c r="C10" s="64"/>
      <c r="D10" s="2"/>
      <c r="E10" s="2"/>
    </row>
    <row r="11" spans="1:5">
      <c r="A11" s="67" t="s">
        <v>161</v>
      </c>
      <c r="B11" s="68">
        <f>April!T187</f>
        <v>68124</v>
      </c>
      <c r="C11" s="64"/>
      <c r="D11" s="2"/>
      <c r="E11" s="2"/>
    </row>
    <row r="12" spans="1:5">
      <c r="A12" s="67" t="s">
        <v>184</v>
      </c>
      <c r="B12" s="68">
        <f>April!T193</f>
        <v>13617</v>
      </c>
      <c r="C12" s="64"/>
      <c r="D12" s="2"/>
      <c r="E12" s="2"/>
    </row>
    <row r="13" spans="1:5">
      <c r="A13" s="67" t="s">
        <v>206</v>
      </c>
      <c r="B13" s="68">
        <f>April!T217</f>
        <v>30259</v>
      </c>
      <c r="C13" s="64"/>
      <c r="D13" s="2"/>
      <c r="E13" s="2"/>
    </row>
    <row r="14" spans="1:5">
      <c r="A14" s="64"/>
      <c r="B14" s="64"/>
      <c r="C14" s="64"/>
      <c r="D14" s="2"/>
      <c r="E14" s="2"/>
    </row>
    <row r="15" spans="1:5">
      <c r="A15" s="64"/>
      <c r="B15" s="64"/>
      <c r="C15" s="64"/>
      <c r="D15" s="2"/>
      <c r="E15" s="2"/>
    </row>
    <row r="16" spans="1:5">
      <c r="A16" s="64"/>
      <c r="B16" s="64"/>
      <c r="C16" s="64"/>
      <c r="D16" s="2"/>
      <c r="E16" s="2"/>
    </row>
    <row r="17" spans="1:5">
      <c r="A17" s="2"/>
      <c r="B17" s="2"/>
      <c r="C17" s="2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</sheetData>
  <sheetProtection algorithmName="SHA-512" hashValue="EA9AhyCW5/73nLAAKyjFSWLAgZXO0X8UddnuOGnIw8li2kaPc/+ivhG71NM282Hkl5ayUNkei1A2mKrZjC1qVw==" saltValue="mUzLWDwRN6+2/6pnGdJI8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April</vt:lpstr>
      <vt:lpstr>NAV Comparison</vt:lpstr>
      <vt:lpstr>Market Share</vt:lpstr>
      <vt:lpstr>Unitholders</vt:lpstr>
      <vt:lpstr>April!_Hlk34300669</vt:lpstr>
      <vt:lpstr>FX_RATE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RV;Mohammed N. Abdulaziz</dc:creator>
  <cp:lastModifiedBy>Isaac, Tunde</cp:lastModifiedBy>
  <cp:lastPrinted>2024-12-20T14:59:31Z</cp:lastPrinted>
  <dcterms:created xsi:type="dcterms:W3CDTF">2023-10-09T09:40:00Z</dcterms:created>
  <dcterms:modified xsi:type="dcterms:W3CDTF">2025-07-28T12:33:52Z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