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292" windowHeight="10920" tabRatio="604"/>
  </bookViews>
  <sheets>
    <sheet name="March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March!$K$61</definedName>
    <definedName name="Component">"Group"</definedName>
    <definedName name="FX_RATE">March!$C$216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7" l="1"/>
  <c r="B9" i="3" l="1"/>
  <c r="B8" i="3"/>
  <c r="B7" i="3"/>
  <c r="B6" i="3"/>
  <c r="B5" i="3"/>
  <c r="B4" i="3"/>
  <c r="B2" i="3"/>
  <c r="D12" i="2"/>
  <c r="D11" i="2"/>
  <c r="D10" i="2"/>
  <c r="D9" i="2"/>
  <c r="D8" i="2"/>
  <c r="D7" i="2"/>
  <c r="D6" i="2"/>
  <c r="C12" i="2"/>
  <c r="C11" i="2"/>
  <c r="C10" i="2"/>
  <c r="C9" i="2"/>
  <c r="C8" i="2"/>
  <c r="C7" i="2"/>
  <c r="C6" i="2"/>
  <c r="C5" i="2"/>
  <c r="L198" i="7" l="1"/>
  <c r="M198" i="7"/>
  <c r="N198" i="7"/>
  <c r="O198" i="7"/>
  <c r="P198" i="7"/>
  <c r="Q198" i="7"/>
  <c r="L199" i="7"/>
  <c r="M199" i="7"/>
  <c r="N199" i="7"/>
  <c r="O199" i="7"/>
  <c r="P199" i="7"/>
  <c r="Q199" i="7"/>
  <c r="L200" i="7"/>
  <c r="M200" i="7"/>
  <c r="N200" i="7"/>
  <c r="O200" i="7"/>
  <c r="P200" i="7"/>
  <c r="Q200" i="7"/>
  <c r="L201" i="7"/>
  <c r="M201" i="7"/>
  <c r="N201" i="7"/>
  <c r="O201" i="7"/>
  <c r="P201" i="7"/>
  <c r="Q201" i="7"/>
  <c r="L202" i="7"/>
  <c r="M202" i="7"/>
  <c r="N202" i="7"/>
  <c r="O202" i="7"/>
  <c r="P202" i="7"/>
  <c r="Q202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194" i="7"/>
  <c r="M194" i="7"/>
  <c r="N194" i="7"/>
  <c r="O194" i="7"/>
  <c r="P194" i="7"/>
  <c r="Q194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Q156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M6" i="7"/>
  <c r="N6" i="7"/>
  <c r="O6" i="7"/>
  <c r="P6" i="7"/>
  <c r="Q6" i="7"/>
  <c r="M7" i="7"/>
  <c r="N7" i="7"/>
  <c r="O7" i="7"/>
  <c r="P7" i="7"/>
  <c r="Q7" i="7"/>
  <c r="M8" i="7"/>
  <c r="N8" i="7"/>
  <c r="O8" i="7"/>
  <c r="P8" i="7"/>
  <c r="Q8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M20" i="7"/>
  <c r="N20" i="7"/>
  <c r="O20" i="7"/>
  <c r="P20" i="7"/>
  <c r="Q20" i="7"/>
  <c r="M21" i="7"/>
  <c r="N21" i="7"/>
  <c r="O21" i="7"/>
  <c r="P21" i="7"/>
  <c r="Q21" i="7"/>
  <c r="M22" i="7"/>
  <c r="N22" i="7"/>
  <c r="O22" i="7"/>
  <c r="P22" i="7"/>
  <c r="Q22" i="7"/>
  <c r="M23" i="7"/>
  <c r="N23" i="7"/>
  <c r="O23" i="7"/>
  <c r="P23" i="7"/>
  <c r="Q23" i="7"/>
  <c r="H60" i="7" l="1"/>
  <c r="H177" i="7"/>
  <c r="H141" i="7"/>
  <c r="S144" i="7"/>
  <c r="R144" i="7"/>
  <c r="K144" i="7"/>
  <c r="G144" i="7"/>
  <c r="E144" i="7"/>
  <c r="D144" i="7"/>
  <c r="S143" i="7"/>
  <c r="R143" i="7"/>
  <c r="K143" i="7"/>
  <c r="I143" i="7"/>
  <c r="G143" i="7"/>
  <c r="E143" i="7"/>
  <c r="D143" i="7"/>
  <c r="H105" i="7"/>
  <c r="H65" i="7"/>
  <c r="H143" i="7" l="1"/>
  <c r="I142" i="7" l="1"/>
  <c r="I140" i="7"/>
  <c r="I139" i="7"/>
  <c r="I138" i="7"/>
  <c r="I137" i="7"/>
  <c r="I136" i="7"/>
  <c r="I135" i="7"/>
  <c r="I134" i="7"/>
  <c r="I132" i="7"/>
  <c r="I131" i="7"/>
  <c r="I130" i="7"/>
  <c r="I127" i="7"/>
  <c r="I125" i="7"/>
  <c r="I124" i="7"/>
  <c r="I123" i="7"/>
  <c r="I122" i="7"/>
  <c r="I119" i="7"/>
  <c r="I118" i="7"/>
  <c r="I117" i="7"/>
  <c r="I116" i="7"/>
  <c r="I115" i="7"/>
  <c r="I114" i="7"/>
  <c r="I113" i="7"/>
  <c r="I112" i="7"/>
  <c r="I74" i="7"/>
  <c r="D138" i="7" l="1"/>
  <c r="R137" i="7" l="1"/>
  <c r="S137" i="7"/>
  <c r="K137" i="7"/>
  <c r="G137" i="7"/>
  <c r="F137" i="7"/>
  <c r="E137" i="7"/>
  <c r="D137" i="7"/>
  <c r="S111" i="7" l="1"/>
  <c r="R111" i="7"/>
  <c r="D111" i="7"/>
  <c r="S112" i="7" l="1"/>
  <c r="R112" i="7"/>
  <c r="K112" i="7"/>
  <c r="G112" i="7"/>
  <c r="E112" i="7"/>
  <c r="D112" i="7"/>
  <c r="S127" i="7"/>
  <c r="R127" i="7"/>
  <c r="K127" i="7"/>
  <c r="G127" i="7"/>
  <c r="E127" i="7"/>
  <c r="D127" i="7"/>
  <c r="S134" i="7"/>
  <c r="R134" i="7"/>
  <c r="K134" i="7"/>
  <c r="G134" i="7"/>
  <c r="E134" i="7"/>
  <c r="D134" i="7"/>
  <c r="S122" i="7" l="1"/>
  <c r="R122" i="7"/>
  <c r="K122" i="7"/>
  <c r="G122" i="7"/>
  <c r="E122" i="7"/>
  <c r="D122" i="7"/>
  <c r="S136" i="7"/>
  <c r="R136" i="7"/>
  <c r="K136" i="7"/>
  <c r="G136" i="7"/>
  <c r="E136" i="7"/>
  <c r="D136" i="7"/>
  <c r="H51" i="7"/>
  <c r="T161" i="7"/>
  <c r="S114" i="7" l="1"/>
  <c r="R114" i="7"/>
  <c r="K114" i="7"/>
  <c r="G114" i="7"/>
  <c r="E114" i="7"/>
  <c r="D114" i="7"/>
  <c r="S113" i="7"/>
  <c r="R113" i="7"/>
  <c r="K113" i="7"/>
  <c r="G113" i="7"/>
  <c r="F113" i="7"/>
  <c r="E113" i="7"/>
  <c r="D113" i="7"/>
  <c r="S140" i="7" l="1"/>
  <c r="R140" i="7"/>
  <c r="K140" i="7"/>
  <c r="G140" i="7"/>
  <c r="E140" i="7"/>
  <c r="D140" i="7"/>
  <c r="S131" i="7" l="1"/>
  <c r="R131" i="7"/>
  <c r="K131" i="7"/>
  <c r="G131" i="7"/>
  <c r="E131" i="7"/>
  <c r="D131" i="7"/>
  <c r="S123" i="7" l="1"/>
  <c r="R123" i="7"/>
  <c r="K123" i="7"/>
  <c r="G123" i="7"/>
  <c r="D123" i="7"/>
  <c r="T93" i="7" l="1"/>
  <c r="T53" i="7"/>
  <c r="T207" i="7"/>
  <c r="S139" i="7" l="1"/>
  <c r="R139" i="7"/>
  <c r="K139" i="7"/>
  <c r="G139" i="7"/>
  <c r="F139" i="7"/>
  <c r="E139" i="7"/>
  <c r="D139" i="7"/>
  <c r="R138" i="7"/>
  <c r="S138" i="7"/>
  <c r="K138" i="7"/>
  <c r="F138" i="7"/>
  <c r="G138" i="7"/>
  <c r="E138" i="7"/>
  <c r="T126" i="7"/>
  <c r="S125" i="7"/>
  <c r="R125" i="7"/>
  <c r="K125" i="7"/>
  <c r="G125" i="7"/>
  <c r="E125" i="7"/>
  <c r="D125" i="7"/>
  <c r="S142" i="7"/>
  <c r="R142" i="7"/>
  <c r="K142" i="7"/>
  <c r="G142" i="7"/>
  <c r="E142" i="7"/>
  <c r="D142" i="7"/>
  <c r="S133" i="7" l="1"/>
  <c r="R133" i="7"/>
  <c r="S116" i="7"/>
  <c r="R116" i="7"/>
  <c r="K116" i="7"/>
  <c r="G116" i="7"/>
  <c r="E116" i="7"/>
  <c r="D116" i="7"/>
  <c r="S119" i="7"/>
  <c r="R119" i="7"/>
  <c r="K119" i="7"/>
  <c r="G119" i="7"/>
  <c r="E119" i="7"/>
  <c r="D119" i="7"/>
  <c r="T42" i="7"/>
  <c r="S130" i="7"/>
  <c r="R130" i="7"/>
  <c r="K130" i="7"/>
  <c r="G130" i="7"/>
  <c r="E130" i="7"/>
  <c r="D130" i="7"/>
  <c r="S117" i="7"/>
  <c r="R117" i="7"/>
  <c r="K117" i="7"/>
  <c r="G117" i="7"/>
  <c r="E117" i="7"/>
  <c r="D117" i="7"/>
  <c r="S115" i="7"/>
  <c r="R115" i="7"/>
  <c r="K115" i="7"/>
  <c r="G115" i="7"/>
  <c r="D115" i="7"/>
  <c r="E115" i="7"/>
  <c r="S124" i="7"/>
  <c r="R124" i="7"/>
  <c r="K124" i="7"/>
  <c r="G124" i="7"/>
  <c r="E124" i="7"/>
  <c r="D124" i="7"/>
  <c r="D118" i="7" l="1"/>
  <c r="S135" i="7" l="1"/>
  <c r="R135" i="7"/>
  <c r="K135" i="7"/>
  <c r="G135" i="7"/>
  <c r="E135" i="7"/>
  <c r="D135" i="7"/>
  <c r="S121" i="7"/>
  <c r="R121" i="7"/>
  <c r="S120" i="7"/>
  <c r="R120" i="7"/>
  <c r="S118" i="7" l="1"/>
  <c r="R118" i="7"/>
  <c r="K118" i="7"/>
  <c r="G118" i="7"/>
  <c r="E118" i="7"/>
  <c r="T37" i="7"/>
  <c r="T132" i="7"/>
  <c r="R132" i="7"/>
  <c r="S132" i="7"/>
  <c r="K132" i="7"/>
  <c r="G132" i="7"/>
  <c r="E132" i="7"/>
  <c r="D132" i="7"/>
  <c r="H122" i="7" l="1"/>
  <c r="H198" i="7" l="1"/>
  <c r="H114" i="7"/>
  <c r="H33" i="7" l="1"/>
  <c r="H31" i="7" l="1"/>
  <c r="H135" i="7" l="1"/>
  <c r="H48" i="7" l="1"/>
  <c r="H43" i="7" l="1"/>
  <c r="H148" i="7" l="1"/>
  <c r="H95" i="7" l="1"/>
  <c r="H103" i="7" l="1"/>
  <c r="T153" i="7" l="1"/>
  <c r="B10" i="6" s="1"/>
  <c r="K153" i="7"/>
  <c r="P212" i="7"/>
  <c r="N212" i="7"/>
  <c r="P197" i="7"/>
  <c r="N197" i="7"/>
  <c r="M197" i="7"/>
  <c r="I153" i="7"/>
  <c r="J151" i="7" l="1"/>
  <c r="J150" i="7"/>
  <c r="J149" i="7"/>
  <c r="J152" i="7"/>
  <c r="M153" i="7"/>
  <c r="H201" i="7"/>
  <c r="H15" i="7" l="1"/>
  <c r="H133" i="7" l="1"/>
  <c r="H80" i="7"/>
  <c r="H171" i="7"/>
  <c r="H22" i="7"/>
  <c r="H157" i="7" l="1"/>
  <c r="H158" i="7"/>
  <c r="H159" i="7"/>
  <c r="H160" i="7"/>
  <c r="H161" i="7"/>
  <c r="H162" i="7"/>
  <c r="H163" i="7"/>
  <c r="H164" i="7"/>
  <c r="H165" i="7"/>
  <c r="H166" i="7"/>
  <c r="H167" i="7"/>
  <c r="H168" i="7"/>
  <c r="H170" i="7"/>
  <c r="H169" i="7"/>
  <c r="H172" i="7"/>
  <c r="H173" i="7"/>
  <c r="H174" i="7"/>
  <c r="H175" i="7"/>
  <c r="H176" i="7"/>
  <c r="H178" i="7"/>
  <c r="H179" i="7"/>
  <c r="H180" i="7"/>
  <c r="H181" i="7"/>
  <c r="H182" i="7"/>
  <c r="H156" i="7"/>
  <c r="H212" i="7"/>
  <c r="Q212" i="7" l="1"/>
  <c r="O212" i="7"/>
  <c r="P148" i="7" l="1"/>
  <c r="N148" i="7"/>
  <c r="M148" i="7"/>
  <c r="H199" i="7" l="1"/>
  <c r="H200" i="7"/>
  <c r="H202" i="7"/>
  <c r="H203" i="7"/>
  <c r="H204" i="7"/>
  <c r="H205" i="7"/>
  <c r="H206" i="7"/>
  <c r="H207" i="7"/>
  <c r="H208" i="7"/>
  <c r="H209" i="7"/>
  <c r="H197" i="7" l="1"/>
  <c r="H194" i="7"/>
  <c r="H193" i="7"/>
  <c r="H187" i="7"/>
  <c r="H188" i="7"/>
  <c r="H149" i="7"/>
  <c r="H150" i="7"/>
  <c r="H151" i="7"/>
  <c r="H152" i="7"/>
  <c r="H131" i="7"/>
  <c r="H132" i="7"/>
  <c r="H134" i="7"/>
  <c r="H136" i="7"/>
  <c r="H137" i="7"/>
  <c r="H138" i="7"/>
  <c r="H139" i="7"/>
  <c r="H140" i="7"/>
  <c r="H142" i="7"/>
  <c r="H144" i="7"/>
  <c r="H130" i="7"/>
  <c r="H112" i="7"/>
  <c r="H113" i="7"/>
  <c r="H115" i="7"/>
  <c r="H116" i="7"/>
  <c r="H117" i="7"/>
  <c r="H118" i="7"/>
  <c r="H119" i="7"/>
  <c r="H120" i="7"/>
  <c r="H121" i="7"/>
  <c r="H123" i="7"/>
  <c r="H124" i="7"/>
  <c r="H125" i="7"/>
  <c r="H126" i="7"/>
  <c r="H127" i="7"/>
  <c r="Q197" i="7" l="1"/>
  <c r="O197" i="7"/>
  <c r="Q148" i="7"/>
  <c r="O148" i="7"/>
  <c r="H71" i="7"/>
  <c r="H72" i="7"/>
  <c r="H73" i="7"/>
  <c r="H74" i="7"/>
  <c r="H75" i="7"/>
  <c r="H76" i="7"/>
  <c r="H77" i="7"/>
  <c r="H78" i="7"/>
  <c r="H79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6" i="7"/>
  <c r="H97" i="7"/>
  <c r="H98" i="7"/>
  <c r="H99" i="7"/>
  <c r="H100" i="7"/>
  <c r="H101" i="7"/>
  <c r="H102" i="7"/>
  <c r="H104" i="7"/>
  <c r="H106" i="7"/>
  <c r="H70" i="7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H111" i="7" l="1"/>
  <c r="H28" i="7"/>
  <c r="H29" i="7"/>
  <c r="H30" i="7"/>
  <c r="H32" i="7"/>
  <c r="H34" i="7"/>
  <c r="H35" i="7"/>
  <c r="H36" i="7"/>
  <c r="H37" i="7"/>
  <c r="H38" i="7"/>
  <c r="H39" i="7"/>
  <c r="H40" i="7"/>
  <c r="H41" i="7"/>
  <c r="H42" i="7"/>
  <c r="H44" i="7"/>
  <c r="H45" i="7"/>
  <c r="H46" i="7"/>
  <c r="H47" i="7"/>
  <c r="H49" i="7"/>
  <c r="H50" i="7"/>
  <c r="H52" i="7"/>
  <c r="H53" i="7"/>
  <c r="H54" i="7"/>
  <c r="H55" i="7"/>
  <c r="H56" i="7"/>
  <c r="H57" i="7"/>
  <c r="H58" i="7"/>
  <c r="H59" i="7"/>
  <c r="H61" i="7"/>
  <c r="H62" i="7"/>
  <c r="H63" i="7"/>
  <c r="H64" i="7"/>
  <c r="H66" i="7"/>
  <c r="M212" i="7" l="1"/>
  <c r="T213" i="7" l="1"/>
  <c r="B13" i="6" s="1"/>
  <c r="K213" i="7"/>
  <c r="I213" i="7"/>
  <c r="Q193" i="7"/>
  <c r="P193" i="7"/>
  <c r="O193" i="7"/>
  <c r="N193" i="7"/>
  <c r="M193" i="7"/>
  <c r="T189" i="7"/>
  <c r="B12" i="6" s="1"/>
  <c r="K189" i="7"/>
  <c r="I189" i="7"/>
  <c r="P186" i="7"/>
  <c r="N186" i="7"/>
  <c r="M186" i="7"/>
  <c r="H186" i="7"/>
  <c r="K183" i="7"/>
  <c r="I183" i="7"/>
  <c r="T183" i="7"/>
  <c r="B11" i="6" s="1"/>
  <c r="P156" i="7"/>
  <c r="N156" i="7"/>
  <c r="M156" i="7"/>
  <c r="L148" i="7"/>
  <c r="T145" i="7"/>
  <c r="B9" i="6" s="1"/>
  <c r="P111" i="7"/>
  <c r="N111" i="7"/>
  <c r="M111" i="7"/>
  <c r="Q111" i="7"/>
  <c r="T107" i="7"/>
  <c r="B8" i="6" s="1"/>
  <c r="K107" i="7"/>
  <c r="I107" i="7"/>
  <c r="J105" i="7" s="1"/>
  <c r="P70" i="7"/>
  <c r="N70" i="7"/>
  <c r="M70" i="7"/>
  <c r="T67" i="7"/>
  <c r="B7" i="6" s="1"/>
  <c r="K67" i="7"/>
  <c r="I67" i="7"/>
  <c r="J60" i="7" s="1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D5" i="2" l="1"/>
  <c r="B3" i="3"/>
  <c r="L7" i="7"/>
  <c r="L9" i="7"/>
  <c r="L11" i="7"/>
  <c r="L13" i="7"/>
  <c r="L15" i="7"/>
  <c r="L17" i="7"/>
  <c r="L19" i="7"/>
  <c r="L21" i="7"/>
  <c r="L23" i="7"/>
  <c r="L6" i="7"/>
  <c r="L8" i="7"/>
  <c r="L10" i="7"/>
  <c r="L12" i="7"/>
  <c r="L14" i="7"/>
  <c r="L16" i="7"/>
  <c r="L18" i="7"/>
  <c r="L20" i="7"/>
  <c r="L22" i="7"/>
  <c r="J177" i="7"/>
  <c r="M183" i="7"/>
  <c r="J51" i="7"/>
  <c r="J65" i="7"/>
  <c r="J71" i="7"/>
  <c r="J75" i="7"/>
  <c r="J79" i="7"/>
  <c r="J83" i="7"/>
  <c r="J87" i="7"/>
  <c r="J91" i="7"/>
  <c r="J95" i="7"/>
  <c r="J99" i="7"/>
  <c r="J103" i="7"/>
  <c r="J72" i="7"/>
  <c r="J77" i="7"/>
  <c r="J82" i="7"/>
  <c r="J88" i="7"/>
  <c r="J93" i="7"/>
  <c r="J98" i="7"/>
  <c r="J104" i="7"/>
  <c r="J73" i="7"/>
  <c r="J78" i="7"/>
  <c r="J84" i="7"/>
  <c r="J89" i="7"/>
  <c r="J94" i="7"/>
  <c r="J100" i="7"/>
  <c r="J106" i="7"/>
  <c r="J76" i="7"/>
  <c r="J86" i="7"/>
  <c r="J97" i="7"/>
  <c r="J80" i="7"/>
  <c r="J90" i="7"/>
  <c r="J101" i="7"/>
  <c r="J81" i="7"/>
  <c r="J92" i="7"/>
  <c r="J102" i="7"/>
  <c r="J74" i="7"/>
  <c r="J85" i="7"/>
  <c r="J96" i="7"/>
  <c r="J187" i="7"/>
  <c r="J188" i="7"/>
  <c r="J199" i="7"/>
  <c r="J203" i="7"/>
  <c r="J207" i="7"/>
  <c r="J198" i="7"/>
  <c r="J202" i="7"/>
  <c r="J206" i="7"/>
  <c r="J194" i="7"/>
  <c r="J200" i="7"/>
  <c r="J208" i="7"/>
  <c r="J201" i="7"/>
  <c r="J209" i="7"/>
  <c r="J204" i="7"/>
  <c r="J205" i="7"/>
  <c r="J29" i="7"/>
  <c r="J33" i="7"/>
  <c r="J37" i="7"/>
  <c r="J40" i="7"/>
  <c r="J44" i="7"/>
  <c r="J48" i="7"/>
  <c r="J53" i="7"/>
  <c r="J57" i="7"/>
  <c r="J62" i="7"/>
  <c r="J32" i="7"/>
  <c r="J42" i="7"/>
  <c r="J47" i="7"/>
  <c r="J54" i="7"/>
  <c r="J59" i="7"/>
  <c r="J66" i="7"/>
  <c r="J55" i="7"/>
  <c r="J31" i="7"/>
  <c r="J46" i="7"/>
  <c r="J64" i="7"/>
  <c r="J28" i="7"/>
  <c r="J34" i="7"/>
  <c r="J38" i="7"/>
  <c r="J43" i="7"/>
  <c r="J49" i="7"/>
  <c r="J61" i="7"/>
  <c r="J30" i="7"/>
  <c r="J35" i="7"/>
  <c r="J39" i="7"/>
  <c r="J45" i="7"/>
  <c r="J50" i="7"/>
  <c r="J56" i="7"/>
  <c r="J63" i="7"/>
  <c r="J36" i="7"/>
  <c r="J41" i="7"/>
  <c r="J52" i="7"/>
  <c r="J58" i="7"/>
  <c r="J157" i="7"/>
  <c r="J161" i="7"/>
  <c r="J164" i="7"/>
  <c r="J168" i="7"/>
  <c r="J172" i="7"/>
  <c r="J176" i="7"/>
  <c r="J181" i="7"/>
  <c r="J160" i="7"/>
  <c r="J163" i="7"/>
  <c r="J167" i="7"/>
  <c r="J171" i="7"/>
  <c r="J175" i="7"/>
  <c r="J180" i="7"/>
  <c r="J158" i="7"/>
  <c r="J165" i="7"/>
  <c r="J173" i="7"/>
  <c r="J182" i="7"/>
  <c r="J159" i="7"/>
  <c r="J166" i="7"/>
  <c r="J174" i="7"/>
  <c r="J170" i="7"/>
  <c r="J179" i="7"/>
  <c r="J178" i="7"/>
  <c r="J162" i="7"/>
  <c r="J169" i="7"/>
  <c r="M189" i="7"/>
  <c r="L212" i="7"/>
  <c r="L197" i="7"/>
  <c r="J212" i="7"/>
  <c r="J197" i="7"/>
  <c r="M24" i="7"/>
  <c r="M67" i="7"/>
  <c r="M107" i="7"/>
  <c r="J148" i="7"/>
  <c r="Q130" i="7"/>
  <c r="N130" i="7"/>
  <c r="J70" i="7"/>
  <c r="L193" i="7"/>
  <c r="O111" i="7"/>
  <c r="J156" i="7"/>
  <c r="L27" i="7"/>
  <c r="J193" i="7"/>
  <c r="M213" i="7"/>
  <c r="T214" i="7"/>
  <c r="L70" i="7"/>
  <c r="M130" i="7"/>
  <c r="P130" i="7"/>
  <c r="O156" i="7"/>
  <c r="L5" i="7"/>
  <c r="Q70" i="7"/>
  <c r="O70" i="7"/>
  <c r="K145" i="7"/>
  <c r="Q186" i="7"/>
  <c r="O186" i="7"/>
  <c r="L186" i="7"/>
  <c r="J5" i="7"/>
  <c r="O5" i="7"/>
  <c r="J27" i="7"/>
  <c r="O27" i="7"/>
  <c r="I145" i="7"/>
  <c r="J143" i="7" s="1"/>
  <c r="L156" i="7"/>
  <c r="J186" i="7"/>
  <c r="J133" i="7" l="1"/>
  <c r="J114" i="7"/>
  <c r="J122" i="7"/>
  <c r="J126" i="7"/>
  <c r="J121" i="7"/>
  <c r="J120" i="7"/>
  <c r="J123" i="7"/>
  <c r="J139" i="7"/>
  <c r="J124" i="7"/>
  <c r="J125" i="7"/>
  <c r="J142" i="7"/>
  <c r="J131" i="7"/>
  <c r="J127" i="7"/>
  <c r="J117" i="7"/>
  <c r="J134" i="7"/>
  <c r="J136" i="7"/>
  <c r="J115" i="7"/>
  <c r="J137" i="7"/>
  <c r="J144" i="7"/>
  <c r="J112" i="7"/>
  <c r="J113" i="7"/>
  <c r="J116" i="7"/>
  <c r="J132" i="7"/>
  <c r="J138" i="7"/>
  <c r="J140" i="7"/>
  <c r="J118" i="7"/>
  <c r="J135" i="7"/>
  <c r="J119" i="7"/>
  <c r="M145" i="7"/>
  <c r="O130" i="7"/>
  <c r="K214" i="7"/>
  <c r="J111" i="7"/>
  <c r="J130" i="7"/>
  <c r="L111" i="7"/>
  <c r="L130" i="7"/>
  <c r="I214" i="7"/>
  <c r="J145" i="7" s="1"/>
  <c r="L213" i="7" l="1"/>
  <c r="L183" i="7"/>
  <c r="L153" i="7"/>
  <c r="L107" i="7"/>
  <c r="L189" i="7"/>
  <c r="L67" i="7"/>
  <c r="L24" i="7"/>
  <c r="L145" i="7"/>
  <c r="J213" i="7"/>
  <c r="J153" i="7"/>
  <c r="J107" i="7"/>
  <c r="J183" i="7"/>
  <c r="J67" i="7"/>
  <c r="J24" i="7"/>
  <c r="J189" i="7"/>
</calcChain>
</file>

<file path=xl/sharedStrings.xml><?xml version="1.0" encoding="utf-8"?>
<sst xmlns="http://schemas.openxmlformats.org/spreadsheetml/2006/main" count="437" uniqueCount="293">
  <si>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</si>
  <si>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</si>
  <si>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</si>
  <si>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</si>
  <si>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</si>
  <si>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</si>
  <si>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</si>
  <si>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</si>
  <si>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</si>
  <si>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</si>
  <si>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</si>
  <si>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</si>
  <si>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</si>
  <si>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</si>
  <si>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</si>
  <si>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</si>
  <si>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</si>
  <si>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</si>
  <si>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</si>
  <si>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</si>
  <si>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</si>
  <si>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</si>
  <si>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</si>
  <si>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</si>
  <si>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</si>
  <si>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</si>
  <si>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</si>
  <si>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</si>
  <si>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</si>
  <si>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</si>
  <si>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</si>
  <si>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</si>
  <si>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</si>
  <si>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</si>
  <si>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</si>
  <si>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</si>
  <si>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</si>
  <si>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</si>
  <si>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</si>
  <si>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</si>
  <si>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</si>
  <si>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</si>
  <si>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</si>
  <si>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</si>
  <si>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</si>
  <si>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</si>
  <si>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</si>
  <si>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</si>
  <si>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</si>
  <si>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</si>
  <si>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</si>
  <si>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</si>
  <si>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</si>
  <si>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</si>
  <si>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</si>
  <si>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</si>
  <si>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</si>
  <si>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</si>
  <si>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</si>
  <si>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</si>
  <si>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</si>
  <si>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</si>
  <si>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</si>
  <si>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</si>
  <si>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</si>
  <si>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</si>
  <si>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</si>
  <si>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</si>
  <si>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</si>
  <si>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</si>
  <si>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</si>
  <si>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</si>
  <si>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</si>
  <si>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</si>
  <si>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</si>
  <si>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</si>
  <si>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</si>
  <si>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</si>
  <si>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</si>
  <si>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</si>
  <si>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</si>
  <si>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</si>
  <si>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</si>
  <si>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</si>
  <si>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</si>
  <si>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</si>
  <si>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</si>
  <si>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</si>
  <si>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</si>
  <si>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</si>
  <si>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</si>
  <si>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</si>
  <si>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</si>
  <si>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</si>
  <si>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</si>
  <si>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</si>
  <si>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</si>
  <si>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</si>
  <si>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</si>
  <si>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</si>
  <si>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</si>
  <si>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</si>
  <si>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</si>
  <si>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</si>
  <si>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</si>
  <si>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</si>
  <si>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</si>
  <si>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</si>
  <si>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</si>
  <si>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</si>
  <si>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</si>
  <si>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</si>
  <si>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</si>
  <si>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</si>
  <si>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</si>
  <si>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</si>
  <si>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</si>
  <si>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</si>
  <si>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</si>
  <si>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</si>
  <si>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</si>
  <si>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</si>
  <si>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</si>
  <si>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</si>
  <si>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</si>
  <si>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</si>
  <si>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</si>
  <si>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</si>
  <si>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</si>
  <si>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</si>
  <si>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</si>
  <si>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</si>
  <si>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</si>
  <si>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</si>
  <si>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</si>
  <si>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</si>
  <si>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</si>
  <si>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</si>
  <si>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</si>
  <si>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</si>
  <si>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</si>
  <si>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</si>
  <si>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</si>
  <si>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</si>
  <si>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</si>
  <si>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</si>
  <si>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</si>
  <si>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</si>
  <si>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</si>
  <si>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</si>
  <si>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</si>
  <si>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</si>
  <si>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</si>
  <si>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</si>
  <si>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</si>
  <si>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</si>
  <si>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</si>
  <si>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</si>
  <si>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</si>
  <si>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</si>
  <si>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</si>
  <si>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</si>
  <si>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</si>
  <si>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</si>
  <si>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</si>
  <si>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</si>
  <si>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</si>
  <si>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</si>
  <si>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</si>
  <si>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</si>
  <si>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</si>
  <si>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</si>
  <si>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</si>
  <si>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</si>
  <si>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</si>
  <si>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</si>
  <si>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</si>
  <si>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</si>
  <si>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</si>
  <si>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</si>
  <si>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</si>
  <si>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</si>
  <si>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</si>
  <si>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</si>
  <si>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</si>
  <si>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</si>
  <si>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</si>
  <si>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</si>
  <si>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</si>
  <si>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</si>
  <si>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</si>
  <si>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</si>
  <si>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</si>
  <si>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</si>
  <si>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</si>
  <si>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</si>
  <si>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</si>
  <si>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</si>
  <si>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</si>
  <si>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</si>
  <si>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</si>
  <si>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</si>
  <si>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</si>
  <si>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</si>
  <si>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</si>
  <si>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</si>
  <si>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</si>
  <si>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</si>
  <si>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</si>
  <si>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</si>
  <si>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</si>
  <si>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</si>
  <si>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</si>
  <si>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</si>
  <si>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</si>
  <si>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</si>
  <si>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</si>
  <si>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</si>
  <si>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</si>
  <si>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</si>
  <si>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</si>
  <si>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</si>
  <si>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</si>
  <si>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</si>
  <si>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</si>
  <si>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</si>
  <si>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</si>
  <si>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</si>
  <si>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</si>
  <si>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</si>
  <si>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</si>
  <si>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</si>
  <si>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</si>
  <si>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</si>
  <si>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</si>
  <si>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</si>
  <si>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</si>
  <si>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</si>
  <si>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</si>
  <si>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</si>
  <si>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</si>
  <si>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</si>
  <si>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</si>
  <si>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</si>
  <si>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</si>
  <si>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</si>
  <si>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</si>
  <si>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</si>
  <si>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</si>
  <si>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</si>
  <si>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</si>
  <si>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</si>
  <si>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</si>
  <si>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</si>
  <si>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</si>
  <si>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</si>
  <si>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</si>
  <si>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</si>
  <si>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</si>
  <si>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</si>
  <si>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</si>
  <si>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</si>
  <si>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</si>
  <si>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</si>
  <si>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</si>
  <si>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</si>
  <si>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</si>
  <si>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</si>
  <si>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</si>
  <si>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</si>
  <si>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</si>
  <si>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</si>
  <si>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</si>
  <si>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</si>
  <si>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</si>
  <si>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</si>
  <si>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Feb 2025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</si>
  <si>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28th March, 2025 = N1,536.8158</t>
    </r>
  </si>
  <si>
    <t>MONTHLY UPDATE ON REGISTERED MUTUAL FUNDS AS AT 31ST MARCH, 2025</t>
  </si>
  <si>
    <t>Halo Nigeria Capital Management Limited</t>
  </si>
  <si>
    <t>Mango Naira Money Maket Fund</t>
  </si>
  <si>
    <t>Mango Asset Management Limited</t>
  </si>
  <si>
    <t>NET ASSET VALUE (N) PREVIOUS - FEBRUARY</t>
  </si>
  <si>
    <t>Zedcrest Money Market Fund</t>
  </si>
  <si>
    <t>Zedcrest Investment Managers Limited</t>
  </si>
  <si>
    <t>Zedcrest Fixed Income Fund</t>
  </si>
  <si>
    <t>Zedcrest Dollar Fund</t>
  </si>
  <si>
    <t>STL Money Market Fund</t>
  </si>
  <si>
    <t>STL Asset Management Limited</t>
  </si>
  <si>
    <t>STL Dollar Fund</t>
  </si>
  <si>
    <t>STL Balanced Fund</t>
  </si>
  <si>
    <t>Jan 2025</t>
  </si>
  <si>
    <t>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</si>
</sst>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sz val="8"/>
      <color theme="1"/>
      <name val="Century Gothic"/>
      <family val="2"/>
    </font>
    <font>
      <b/>
      <sz val="10"/>
      <name val="Calibri"/>
      <family val="2"/>
    </font>
    <font>
      <b/>
      <sz val="8"/>
      <name val="Times New Roman"/>
      <family val="1"/>
    </font>
    <font>
      <b/>
      <sz val="9"/>
      <name val="Century Gothic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4">
    <xf numFmtId="0" fontId="0" fillId="0" borderId="0"/>
    <xf numFmtId="164" fontId="9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27" borderId="0" applyNumberFormat="0" applyBorder="0" applyAlignment="0" applyProtection="0"/>
    <xf numFmtId="17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49" fontId="5" fillId="0" borderId="0"/>
    <xf numFmtId="49" fontId="5" fillId="0" borderId="0"/>
    <xf numFmtId="49" fontId="5" fillId="0" borderId="0"/>
    <xf numFmtId="49" fontId="5" fillId="0" borderId="0"/>
    <xf numFmtId="0" fontId="5" fillId="0" borderId="0"/>
    <xf numFmtId="37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8" fillId="0" borderId="0" xfId="0" applyFont="1"/>
    <xf numFmtId="0" fontId="4" fillId="2" borderId="0" xfId="0" applyFont="1" applyFill="1"/>
    <xf numFmtId="164" fontId="4" fillId="2" borderId="0" xfId="1" applyFont="1" applyFill="1" applyBorder="1" applyAlignment="1"/>
    <xf numFmtId="172" fontId="7" fillId="2" borderId="0" xfId="0" applyNumberFormat="1" applyFont="1" applyFill="1"/>
    <xf numFmtId="175" fontId="7" fillId="2" borderId="0" xfId="0" applyNumberFormat="1" applyFont="1" applyFill="1"/>
    <xf numFmtId="164" fontId="17" fillId="2" borderId="2" xfId="1" applyFont="1" applyFill="1" applyBorder="1"/>
    <xf numFmtId="172" fontId="17" fillId="2" borderId="2" xfId="0" applyNumberFormat="1" applyFont="1" applyFill="1" applyBorder="1" applyAlignment="1">
      <alignment horizontal="right"/>
    </xf>
    <xf numFmtId="164" fontId="17" fillId="2" borderId="2" xfId="1" applyFont="1" applyFill="1" applyBorder="1" applyAlignment="1"/>
    <xf numFmtId="10" fontId="17" fillId="2" borderId="2" xfId="0" applyNumberFormat="1" applyFont="1" applyFill="1" applyBorder="1" applyAlignment="1">
      <alignment horizontal="center"/>
    </xf>
    <xf numFmtId="0" fontId="19" fillId="2" borderId="0" xfId="0" applyFont="1" applyFill="1"/>
    <xf numFmtId="0" fontId="20" fillId="0" borderId="0" xfId="0" applyFont="1"/>
    <xf numFmtId="164" fontId="17" fillId="2" borderId="2" xfId="1" applyFont="1" applyFill="1" applyBorder="1" applyAlignment="1">
      <alignment horizontal="right"/>
    </xf>
    <xf numFmtId="164" fontId="17" fillId="0" borderId="2" xfId="1" applyFont="1" applyBorder="1"/>
    <xf numFmtId="164" fontId="17" fillId="0" borderId="2" xfId="1" applyFont="1" applyFill="1" applyBorder="1"/>
    <xf numFmtId="49" fontId="17" fillId="2" borderId="2" xfId="0" applyNumberFormat="1" applyFont="1" applyFill="1" applyBorder="1" applyAlignment="1">
      <alignment wrapText="1"/>
    </xf>
    <xf numFmtId="10" fontId="18" fillId="6" borderId="2" xfId="0" applyNumberFormat="1" applyFont="1" applyFill="1" applyBorder="1" applyAlignment="1">
      <alignment horizontal="center" vertical="center"/>
    </xf>
    <xf numFmtId="10" fontId="17" fillId="6" borderId="2" xfId="0" applyNumberFormat="1" applyFont="1" applyFill="1" applyBorder="1" applyAlignment="1">
      <alignment horizontal="center" vertical="center"/>
    </xf>
    <xf numFmtId="172" fontId="17" fillId="6" borderId="2" xfId="0" applyNumberFormat="1" applyFont="1" applyFill="1" applyBorder="1" applyAlignment="1">
      <alignment horizontal="right" vertical="center"/>
    </xf>
    <xf numFmtId="172" fontId="17" fillId="2" borderId="2" xfId="0" applyNumberFormat="1" applyFont="1" applyFill="1" applyBorder="1"/>
    <xf numFmtId="172" fontId="17" fillId="6" borderId="2" xfId="0" applyNumberFormat="1" applyFont="1" applyFill="1" applyBorder="1" applyAlignment="1">
      <alignment horizontal="center" vertical="center"/>
    </xf>
    <xf numFmtId="164" fontId="17" fillId="2" borderId="2" xfId="1" applyFont="1" applyFill="1" applyBorder="1" applyAlignment="1">
      <alignment wrapText="1"/>
    </xf>
    <xf numFmtId="172" fontId="18" fillId="2" borderId="2" xfId="0" applyNumberFormat="1" applyFont="1" applyFill="1" applyBorder="1"/>
    <xf numFmtId="164" fontId="17" fillId="2" borderId="2" xfId="1" applyFont="1" applyFill="1" applyBorder="1" applyAlignment="1">
      <alignment horizontal="right" vertical="top" wrapText="1"/>
    </xf>
    <xf numFmtId="164" fontId="17" fillId="2" borderId="2" xfId="1" applyFont="1" applyFill="1" applyBorder="1" applyAlignment="1">
      <alignment horizontal="center" vertical="top" wrapText="1"/>
    </xf>
    <xf numFmtId="164" fontId="17" fillId="2" borderId="2" xfId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center" vertical="top" wrapText="1"/>
    </xf>
    <xf numFmtId="171" fontId="17" fillId="0" borderId="2" xfId="0" applyNumberFormat="1" applyFont="1" applyBorder="1"/>
    <xf numFmtId="174" fontId="17" fillId="0" borderId="2" xfId="0" applyNumberFormat="1" applyFont="1" applyBorder="1"/>
    <xf numFmtId="164" fontId="6" fillId="5" borderId="2" xfId="1" applyFont="1" applyFill="1" applyBorder="1" applyAlignment="1">
      <alignment horizontal="center" vertical="top" wrapText="1"/>
    </xf>
    <xf numFmtId="172" fontId="18" fillId="2" borderId="2" xfId="0" applyNumberFormat="1" applyFont="1" applyFill="1" applyBorder="1" applyAlignment="1">
      <alignment horizontal="left"/>
    </xf>
    <xf numFmtId="10" fontId="18" fillId="2" borderId="2" xfId="0" applyNumberFormat="1" applyFont="1" applyFill="1" applyBorder="1" applyAlignment="1">
      <alignment horizontal="center"/>
    </xf>
    <xf numFmtId="172" fontId="18" fillId="6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/>
    <xf numFmtId="164" fontId="18" fillId="2" borderId="2" xfId="1" applyFont="1" applyFill="1" applyBorder="1" applyAlignment="1">
      <alignment wrapText="1"/>
    </xf>
    <xf numFmtId="10" fontId="18" fillId="6" borderId="2" xfId="0" applyNumberFormat="1" applyFont="1" applyFill="1" applyBorder="1" applyAlignment="1">
      <alignment horizontal="right" vertical="center"/>
    </xf>
    <xf numFmtId="173" fontId="17" fillId="2" borderId="2" xfId="0" applyNumberFormat="1" applyFont="1" applyFill="1" applyBorder="1"/>
    <xf numFmtId="10" fontId="18" fillId="5" borderId="2" xfId="0" applyNumberFormat="1" applyFont="1" applyFill="1" applyBorder="1"/>
    <xf numFmtId="10" fontId="18" fillId="5" borderId="2" xfId="0" applyNumberFormat="1" applyFont="1" applyFill="1" applyBorder="1" applyAlignment="1">
      <alignment horizontal="right" vertical="center"/>
    </xf>
    <xf numFmtId="172" fontId="18" fillId="5" borderId="2" xfId="0" applyNumberFormat="1" applyFont="1" applyFill="1" applyBorder="1" applyAlignment="1">
      <alignment horizontal="right" vertical="center"/>
    </xf>
    <xf numFmtId="164" fontId="18" fillId="5" borderId="2" xfId="1" applyFont="1" applyFill="1" applyBorder="1"/>
    <xf numFmtId="0" fontId="21" fillId="9" borderId="0" xfId="0" applyFont="1" applyFill="1" applyAlignment="1">
      <alignment horizontal="left"/>
    </xf>
    <xf numFmtId="164" fontId="17" fillId="0" borderId="2" xfId="1" applyFont="1" applyBorder="1" applyAlignment="1"/>
    <xf numFmtId="164" fontId="17" fillId="7" borderId="2" xfId="1" applyFont="1" applyFill="1" applyBorder="1"/>
    <xf numFmtId="164" fontId="6" fillId="5" borderId="2" xfId="1" applyFont="1" applyFill="1" applyBorder="1"/>
    <xf numFmtId="10" fontId="6" fillId="5" borderId="2" xfId="0" applyNumberFormat="1" applyFont="1" applyFill="1" applyBorder="1"/>
    <xf numFmtId="0" fontId="23" fillId="0" borderId="0" xfId="0" applyFont="1" applyAlignment="1">
      <alignment horizontal="right"/>
    </xf>
    <xf numFmtId="164" fontId="25" fillId="2" borderId="0" xfId="1" applyFont="1" applyFill="1" applyBorder="1"/>
    <xf numFmtId="4" fontId="2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4" fontId="25" fillId="2" borderId="0" xfId="0" applyNumberFormat="1" applyFont="1" applyFill="1"/>
    <xf numFmtId="164" fontId="26" fillId="2" borderId="0" xfId="1" applyFont="1" applyFill="1" applyBorder="1" applyAlignment="1">
      <alignment horizontal="right" vertical="top" wrapText="1"/>
    </xf>
    <xf numFmtId="164" fontId="25" fillId="2" borderId="0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left"/>
    </xf>
    <xf numFmtId="164" fontId="17" fillId="0" borderId="2" xfId="1" applyFont="1" applyFill="1" applyBorder="1" applyAlignment="1" applyProtection="1"/>
    <xf numFmtId="0" fontId="29" fillId="0" borderId="0" xfId="0" applyFont="1"/>
    <xf numFmtId="4" fontId="17" fillId="2" borderId="2" xfId="0" applyNumberFormat="1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173" fontId="17" fillId="2" borderId="2" xfId="0" applyNumberFormat="1" applyFont="1" applyFill="1" applyBorder="1" applyAlignment="1">
      <alignment horizontal="right" wrapText="1"/>
    </xf>
    <xf numFmtId="0" fontId="17" fillId="2" borderId="2" xfId="0" applyFont="1" applyFill="1" applyBorder="1" applyAlignment="1">
      <alignment horizontal="right" wrapText="1"/>
    </xf>
    <xf numFmtId="2" fontId="17" fillId="2" borderId="2" xfId="0" applyNumberFormat="1" applyFont="1" applyFill="1" applyBorder="1"/>
    <xf numFmtId="2" fontId="17" fillId="2" borderId="2" xfId="0" applyNumberFormat="1" applyFont="1" applyFill="1" applyBorder="1" applyAlignment="1">
      <alignment wrapText="1"/>
    </xf>
    <xf numFmtId="49" fontId="17" fillId="2" borderId="2" xfId="0" applyNumberFormat="1" applyFont="1" applyFill="1" applyBorder="1"/>
    <xf numFmtId="2" fontId="17" fillId="2" borderId="2" xfId="463" applyNumberFormat="1" applyFont="1" applyFill="1" applyBorder="1" applyAlignment="1">
      <alignment wrapText="1"/>
    </xf>
    <xf numFmtId="174" fontId="17" fillId="2" borderId="2" xfId="1" applyNumberFormat="1" applyFont="1" applyFill="1" applyBorder="1" applyAlignment="1">
      <alignment horizontal="center" wrapText="1"/>
    </xf>
    <xf numFmtId="164" fontId="17" fillId="2" borderId="2" xfId="1" applyFont="1" applyFill="1" applyBorder="1" applyAlignment="1">
      <alignment horizontal="left" vertical="top" wrapText="1"/>
    </xf>
    <xf numFmtId="4" fontId="30" fillId="2" borderId="2" xfId="0" applyNumberFormat="1" applyFont="1" applyFill="1" applyBorder="1" applyAlignment="1">
      <alignment wrapText="1"/>
    </xf>
    <xf numFmtId="0" fontId="30" fillId="2" borderId="2" xfId="0" applyFont="1" applyFill="1" applyBorder="1" applyAlignment="1">
      <alignment wrapText="1"/>
    </xf>
    <xf numFmtId="164" fontId="30" fillId="2" borderId="2" xfId="1" applyFont="1" applyFill="1" applyBorder="1"/>
    <xf numFmtId="164" fontId="30" fillId="2" borderId="2" xfId="1" applyFont="1" applyFill="1" applyBorder="1" applyAlignment="1"/>
    <xf numFmtId="164" fontId="30" fillId="2" borderId="2" xfId="1" applyFont="1" applyFill="1" applyBorder="1" applyAlignment="1">
      <alignment horizontal="left"/>
    </xf>
    <xf numFmtId="164" fontId="30" fillId="0" borderId="2" xfId="1" applyFont="1" applyBorder="1"/>
    <xf numFmtId="49" fontId="17" fillId="0" borderId="2" xfId="0" applyNumberFormat="1" applyFont="1" applyFill="1" applyBorder="1" applyAlignment="1">
      <alignment wrapText="1"/>
    </xf>
    <xf numFmtId="49" fontId="17" fillId="2" borderId="2" xfId="0" applyNumberFormat="1" applyFont="1" applyFill="1" applyBorder="1" applyAlignment="1">
      <alignment vertical="center" wrapText="1"/>
    </xf>
    <xf numFmtId="49" fontId="17" fillId="2" borderId="2" xfId="0" applyNumberFormat="1" applyFont="1" applyFill="1" applyBorder="1" applyAlignment="1">
      <alignment vertical="top" wrapText="1"/>
    </xf>
    <xf numFmtId="0" fontId="17" fillId="2" borderId="2" xfId="0" applyFont="1" applyFill="1" applyBorder="1"/>
    <xf numFmtId="173" fontId="17" fillId="2" borderId="2" xfId="0" applyNumberFormat="1" applyFont="1" applyFill="1" applyBorder="1" applyAlignment="1">
      <alignment horizontal="center" wrapText="1"/>
    </xf>
    <xf numFmtId="0" fontId="31" fillId="2" borderId="0" xfId="0" applyFont="1" applyFill="1"/>
    <xf numFmtId="0" fontId="32" fillId="9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left"/>
    </xf>
    <xf numFmtId="43" fontId="3" fillId="0" borderId="0" xfId="200" applyFont="1"/>
    <xf numFmtId="4" fontId="25" fillId="2" borderId="2" xfId="0" applyNumberFormat="1" applyFont="1" applyFill="1" applyBorder="1"/>
    <xf numFmtId="4" fontId="25" fillId="2" borderId="2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4" fontId="26" fillId="2" borderId="1" xfId="0" applyNumberFormat="1" applyFont="1" applyFill="1" applyBorder="1" applyAlignment="1">
      <alignment horizontal="right"/>
    </xf>
    <xf numFmtId="173" fontId="17" fillId="2" borderId="2" xfId="0" applyNumberFormat="1" applyFont="1" applyFill="1" applyBorder="1" applyAlignment="1">
      <alignment horizontal="center" wrapText="1"/>
    </xf>
    <xf numFmtId="173" fontId="17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right"/>
    </xf>
    <xf numFmtId="49" fontId="6" fillId="5" borderId="2" xfId="0" applyNumberFormat="1" applyFont="1" applyFill="1" applyBorder="1" applyAlignment="1">
      <alignment horizontal="right"/>
    </xf>
    <xf numFmtId="173" fontId="17" fillId="2" borderId="2" xfId="0" applyNumberFormat="1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wrapText="1"/>
    </xf>
    <xf numFmtId="2" fontId="33" fillId="2" borderId="2" xfId="0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center" wrapText="1"/>
    </xf>
    <xf numFmtId="172" fontId="33" fillId="2" borderId="2" xfId="0" applyNumberFormat="1" applyFont="1" applyFill="1" applyBorder="1" applyAlignment="1">
      <alignment horizontal="center" wrapText="1"/>
    </xf>
    <xf numFmtId="49" fontId="27" fillId="4" borderId="2" xfId="0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173" fontId="18" fillId="2" borderId="2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 wrapText="1"/>
    </xf>
    <xf numFmtId="164" fontId="30" fillId="0" borderId="0" xfId="1" applyFont="1"/>
    <xf numFmtId="0" fontId="35" fillId="2" borderId="0" xfId="0" applyFont="1" applyFill="1"/>
    <xf numFmtId="0" fontId="34" fillId="2" borderId="0" xfId="0" applyFont="1" applyFill="1"/>
    <xf numFmtId="0" fontId="36" fillId="2" borderId="1" xfId="0" applyFont="1" applyFill="1" applyBorder="1" applyAlignment="1">
      <alignment horizontal="right"/>
    </xf>
    <xf numFmtId="0" fontId="36" fillId="2" borderId="0" xfId="0" applyFont="1" applyFill="1" applyAlignment="1">
      <alignment horizontal="right"/>
    </xf>
    <xf numFmtId="171" fontId="35" fillId="2" borderId="0" xfId="200" applyNumberFormat="1" applyFont="1" applyFill="1"/>
    <xf numFmtId="0" fontId="37" fillId="0" borderId="2" xfId="0" applyFont="1" applyBorder="1" applyAlignment="1">
      <alignment horizontal="right"/>
    </xf>
    <xf numFmtId="16" fontId="37" fillId="2" borderId="2" xfId="0" quotePrefix="1" applyNumberFormat="1" applyFont="1" applyFill="1" applyBorder="1" applyAlignment="1">
      <alignment horizontal="right"/>
    </xf>
    <xf numFmtId="0" fontId="34" fillId="0" borderId="0" xfId="0" applyFont="1"/>
    <xf numFmtId="164" fontId="28" fillId="2" borderId="2" xfId="1" applyFont="1" applyFill="1" applyBorder="1" applyAlignment="1">
      <alignment horizontal="right" vertical="top" wrapText="1"/>
    </xf>
    <xf numFmtId="164" fontId="28" fillId="2" borderId="2" xfId="1" applyFont="1" applyFill="1" applyBorder="1"/>
    <xf numFmtId="4" fontId="28" fillId="2" borderId="2" xfId="0" applyNumberFormat="1" applyFont="1" applyFill="1" applyBorder="1"/>
    <xf numFmtId="4" fontId="28" fillId="2" borderId="2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164" fontId="39" fillId="2" borderId="2" xfId="1" applyFont="1" applyFill="1" applyBorder="1"/>
    <xf numFmtId="0" fontId="37" fillId="0" borderId="0" xfId="0" applyFont="1" applyAlignment="1">
      <alignment horizontal="right"/>
    </xf>
    <xf numFmtId="16" fontId="37" fillId="2" borderId="0" xfId="0" quotePrefix="1" applyNumberFormat="1" applyFont="1" applyFill="1" applyAlignment="1">
      <alignment horizontal="right" wrapText="1"/>
    </xf>
    <xf numFmtId="0" fontId="37" fillId="0" borderId="0" xfId="0" applyFont="1" applyAlignment="1">
      <alignment horizontal="right" wrapText="1"/>
    </xf>
    <xf numFmtId="43" fontId="28" fillId="0" borderId="0" xfId="200" applyFont="1" applyBorder="1"/>
    <xf numFmtId="2" fontId="28" fillId="0" borderId="0" xfId="0" applyNumberFormat="1" applyFont="1"/>
    <xf numFmtId="164" fontId="28" fillId="0" borderId="0" xfId="1" applyFont="1"/>
    <xf numFmtId="0" fontId="28" fillId="0" borderId="0" xfId="0" applyFont="1"/>
    <xf numFmtId="16" fontId="37" fillId="2" borderId="0" xfId="0" applyNumberFormat="1" applyFont="1" applyFill="1"/>
    <xf numFmtId="164" fontId="28" fillId="0" borderId="0" xfId="1" applyFont="1" applyBorder="1"/>
    <xf numFmtId="4" fontId="28" fillId="2" borderId="0" xfId="0" applyNumberFormat="1" applyFont="1" applyFill="1"/>
    <xf numFmtId="172" fontId="28" fillId="2" borderId="0" xfId="0" applyNumberFormat="1" applyFont="1" applyFill="1"/>
    <xf numFmtId="164" fontId="17" fillId="2" borderId="2" xfId="1" applyFont="1" applyFill="1" applyBorder="1" applyAlignment="1">
      <alignment horizontal="right" wrapText="1"/>
    </xf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36.033458642393697</c:v>
                </c:pt>
                <c:pt idx="1">
                  <c:v>1914.5786195926196</c:v>
                </c:pt>
                <c:pt idx="2">
                  <c:v>190.81975741566711</c:v>
                </c:pt>
                <c:pt idx="3">
                  <c:v>1724.1396101226467</c:v>
                </c:pt>
                <c:pt idx="4">
                  <c:v>100.81898307284</c:v>
                </c:pt>
                <c:pt idx="5">
                  <c:v>55.822649090856117</c:v>
                </c:pt>
                <c:pt idx="6">
                  <c:v>6.0992284225799995</c:v>
                </c:pt>
                <c:pt idx="7">
                  <c:v>54.473855704545414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38.254232063824439</c:v>
                </c:pt>
                <c:pt idx="1">
                  <c:v>2137.5508517731296</c:v>
                </c:pt>
                <c:pt idx="2">
                  <c:v>191.04383083871033</c:v>
                </c:pt>
                <c:pt idx="3">
                  <c:v>1787.1244946161137</c:v>
                </c:pt>
                <c:pt idx="4">
                  <c:v>101.14279538354</c:v>
                </c:pt>
                <c:pt idx="5">
                  <c:v>57.960605376102954</c:v>
                </c:pt>
                <c:pt idx="6">
                  <c:v>6.7148611995100005</c:v>
                </c:pt>
                <c:pt idx="7">
                  <c:v>54.400136303729944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Mar 2025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fld id="{334111C8-6E30-40EB-B585-C30BCB2D110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F1-4DA8-97B5-5A73A367572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_-* #,##0.00_-;\-* #,##0.00_-;_-* "-"??_-;_-@_-</c:formatCode>
                <c:ptCount val="8"/>
                <c:pt idx="0" formatCode="0.00">
                  <c:v>37.698384507219998</c:v>
                </c:pt>
                <c:pt idx="1">
                  <c:v>2499.4910952997884</c:v>
                </c:pt>
                <c:pt idx="2" formatCode="0.00">
                  <c:v>196.72258574835999</c:v>
                </c:pt>
                <c:pt idx="3">
                  <c:v>1843.7035979423324</c:v>
                </c:pt>
                <c:pt idx="4" formatCode="0.00">
                  <c:v>104.25936171309999</c:v>
                </c:pt>
                <c:pt idx="5" formatCode="0.00">
                  <c:v>57.121620599870006</c:v>
                </c:pt>
                <c:pt idx="6" formatCode="0.00">
                  <c:v>6.7067096376599995</c:v>
                </c:pt>
                <c:pt idx="7" formatCode="0.00">
                  <c:v>56.181203712860004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1-4DA8-97B5-5A73A36757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Mar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6706709637.6599998</c:v>
                </c:pt>
                <c:pt idx="1">
                  <c:v>37698384507.220001</c:v>
                </c:pt>
                <c:pt idx="2" formatCode="#,##0.00">
                  <c:v>56181203712.860001</c:v>
                </c:pt>
                <c:pt idx="3" formatCode="#,##0.00">
                  <c:v>57121620599.870003</c:v>
                </c:pt>
                <c:pt idx="4" formatCode="#,##0.00">
                  <c:v>104259361713.09999</c:v>
                </c:pt>
                <c:pt idx="5" formatCode="#,##0.00">
                  <c:v>196722585748.35999</c:v>
                </c:pt>
                <c:pt idx="6" formatCode="#,##0.00">
                  <c:v>1843703597942.3325</c:v>
                </c:pt>
                <c:pt idx="7" formatCode="#,##0.00">
                  <c:v>2499491095299.7886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50732</c:v>
                </c:pt>
                <c:pt idx="1">
                  <c:v>381102</c:v>
                </c:pt>
                <c:pt idx="2">
                  <c:v>44395</c:v>
                </c:pt>
                <c:pt idx="3">
                  <c:v>20581</c:v>
                </c:pt>
                <c:pt idx="4">
                  <c:v>217441</c:v>
                </c:pt>
                <c:pt idx="5">
                  <c:v>68005</c:v>
                </c:pt>
                <c:pt idx="6">
                  <c:v>13504</c:v>
                </c:pt>
                <c:pt idx="7">
                  <c:v>30125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13</xdr:col>
      <xdr:colOff>480060</xdr:colOff>
      <xdr:row>22</xdr:row>
      <xdr:rowOff>139065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18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Update%20on%20Registered%20Mutual%20Funds%20as%20at%20Februar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"/>
      <sheetName val="NAV Comparison"/>
      <sheetName val="Market Share"/>
      <sheetName val="Unitholders"/>
    </sheetNames>
    <sheetDataSet>
      <sheetData sheetId="0">
        <row r="24">
          <cell r="K24">
            <v>38254232063.82444</v>
          </cell>
        </row>
        <row r="65">
          <cell r="K65">
            <v>2137550851773.1294</v>
          </cell>
        </row>
        <row r="104">
          <cell r="K104">
            <v>191043830838.71033</v>
          </cell>
        </row>
        <row r="140">
          <cell r="K140">
            <v>1787124494616.1138</v>
          </cell>
        </row>
        <row r="148">
          <cell r="K148">
            <v>101142795383.54001</v>
          </cell>
        </row>
        <row r="178">
          <cell r="K178">
            <v>57960605376.102951</v>
          </cell>
        </row>
        <row r="184">
          <cell r="K184">
            <v>6714861199.5100002</v>
          </cell>
        </row>
        <row r="208">
          <cell r="K208">
            <v>54400136303.729942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6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5" customWidth="1"/>
    <col min="3" max="3" width="43.88671875" style="15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04" t="s">
        <v>278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282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3" ht="16.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3" ht="15" customHeight="1">
      <c r="A5" s="84">
        <v>1</v>
      </c>
      <c r="B5" s="19" t="s">
        <v>21</v>
      </c>
      <c r="C5" s="19" t="s">
        <v>22</v>
      </c>
      <c r="D5" s="10">
        <v>1588693174.98</v>
      </c>
      <c r="E5" s="10">
        <v>6214208</v>
      </c>
      <c r="F5" s="10">
        <v>528677946.23000002</v>
      </c>
      <c r="G5" s="10">
        <v>2990095.08</v>
      </c>
      <c r="H5" s="12">
        <f>(E5+F5)-G5</f>
        <v>531902059.15000004</v>
      </c>
      <c r="I5" s="29">
        <v>1612952858.3399999</v>
      </c>
      <c r="J5" s="13">
        <f t="shared" ref="J5:J23" si="0">(I5/$I$24)</f>
        <v>4.2164037057361492E-2</v>
      </c>
      <c r="K5" s="29">
        <v>1588678846.1300001</v>
      </c>
      <c r="L5" s="13">
        <f>(K5/$K$24)</f>
        <v>4.2141828274517602E-2</v>
      </c>
      <c r="M5" s="13">
        <f t="shared" ref="M5:M24" si="1">((K5-I5)/I5)</f>
        <v>-1.5049424466739745E-2</v>
      </c>
      <c r="N5" s="20">
        <f t="shared" ref="N5" si="2">(G5/K5)</f>
        <v>1.8821268296508327E-3</v>
      </c>
      <c r="O5" s="21">
        <f t="shared" ref="O5" si="3">H5/K5</f>
        <v>0.33480779356111284</v>
      </c>
      <c r="P5" s="22">
        <f t="shared" ref="P5" si="4">K5/V5</f>
        <v>421.59594560267243</v>
      </c>
      <c r="Q5" s="22">
        <f t="shared" ref="Q5" si="5">H5/V5</f>
        <v>141.15360832154172</v>
      </c>
      <c r="R5" s="10">
        <v>424.94690000000003</v>
      </c>
      <c r="S5" s="10">
        <v>427.26209999999998</v>
      </c>
      <c r="T5" s="10">
        <v>1694</v>
      </c>
      <c r="U5" s="10">
        <v>3795657.44</v>
      </c>
      <c r="V5" s="10">
        <v>3768249.82</v>
      </c>
    </row>
    <row r="6" spans="1:23">
      <c r="A6" s="84">
        <v>2</v>
      </c>
      <c r="B6" s="19" t="s">
        <v>23</v>
      </c>
      <c r="C6" s="19" t="s">
        <v>24</v>
      </c>
      <c r="D6" s="10">
        <v>652647820.88</v>
      </c>
      <c r="E6" s="10">
        <v>2233584.0499999998</v>
      </c>
      <c r="F6" s="10">
        <v>0</v>
      </c>
      <c r="G6" s="10">
        <v>921349.74</v>
      </c>
      <c r="H6" s="12">
        <f t="shared" ref="H6:H23" si="6">(E6+F6)-G6</f>
        <v>1312234.3099999998</v>
      </c>
      <c r="I6" s="29">
        <v>670108103.57000005</v>
      </c>
      <c r="J6" s="13">
        <f t="shared" si="0"/>
        <v>1.7517227961914718E-2</v>
      </c>
      <c r="K6" s="29">
        <v>657961130.13999999</v>
      </c>
      <c r="L6" s="13">
        <f t="shared" ref="L6:L23" si="7">(K6/$K$24)</f>
        <v>1.7453297767016703E-2</v>
      </c>
      <c r="M6" s="13">
        <f t="shared" ref="M6:M23" si="8">((K6-I6)/I6)</f>
        <v>-1.8126886341602321E-2</v>
      </c>
      <c r="N6" s="20">
        <f t="shared" ref="N6:N23" si="9">(G6/K6)</f>
        <v>1.4003102885484383E-3</v>
      </c>
      <c r="O6" s="21">
        <f t="shared" ref="O6:O23" si="10">H6/K6</f>
        <v>1.9943948812307264E-3</v>
      </c>
      <c r="P6" s="22">
        <f t="shared" ref="P6:P23" si="11">K6/V6</f>
        <v>276.3750296270112</v>
      </c>
      <c r="Q6" s="22">
        <f t="shared" ref="Q6:Q23" si="12">H6/V6</f>
        <v>0.55120094438810152</v>
      </c>
      <c r="R6" s="10">
        <v>274.77</v>
      </c>
      <c r="S6" s="10">
        <v>278.08</v>
      </c>
      <c r="T6" s="10">
        <v>354</v>
      </c>
      <c r="U6" s="10">
        <v>2379565.6800000002</v>
      </c>
      <c r="V6" s="10">
        <v>2380682.2599999998</v>
      </c>
    </row>
    <row r="7" spans="1:23">
      <c r="A7" s="84">
        <v>3</v>
      </c>
      <c r="B7" s="19" t="s">
        <v>25</v>
      </c>
      <c r="C7" s="70" t="s">
        <v>26</v>
      </c>
      <c r="D7" s="10">
        <v>3725342920.4400001</v>
      </c>
      <c r="E7" s="10">
        <v>1759446.14</v>
      </c>
      <c r="F7" s="10">
        <v>-107113078.34999999</v>
      </c>
      <c r="G7" s="10">
        <v>9945204.9499999993</v>
      </c>
      <c r="H7" s="12">
        <f t="shared" si="6"/>
        <v>-115298837.16</v>
      </c>
      <c r="I7" s="29">
        <v>4045843175</v>
      </c>
      <c r="J7" s="13">
        <f t="shared" si="0"/>
        <v>0.10576197604097244</v>
      </c>
      <c r="K7" s="29">
        <v>4004923606</v>
      </c>
      <c r="L7" s="13">
        <f t="shared" si="7"/>
        <v>0.10623594772961627</v>
      </c>
      <c r="M7" s="13">
        <f t="shared" si="8"/>
        <v>-1.0113978033763012E-2</v>
      </c>
      <c r="N7" s="20">
        <f t="shared" si="9"/>
        <v>2.4832446079871614E-3</v>
      </c>
      <c r="O7" s="21">
        <f t="shared" si="10"/>
        <v>-2.8789272531257366E-2</v>
      </c>
      <c r="P7" s="22">
        <f t="shared" si="11"/>
        <v>36.272832641737757</v>
      </c>
      <c r="Q7" s="22">
        <f t="shared" si="12"/>
        <v>-1.0442684644036764</v>
      </c>
      <c r="R7" s="10">
        <v>36.0914</v>
      </c>
      <c r="S7" s="10">
        <v>37.179600000000001</v>
      </c>
      <c r="T7" s="10">
        <v>6667</v>
      </c>
      <c r="U7" s="10">
        <v>108458614</v>
      </c>
      <c r="V7" s="10">
        <v>110411107</v>
      </c>
    </row>
    <row r="8" spans="1:23">
      <c r="A8" s="84">
        <v>4</v>
      </c>
      <c r="B8" s="81" t="s">
        <v>27</v>
      </c>
      <c r="C8" s="81" t="s">
        <v>28</v>
      </c>
      <c r="D8" s="10">
        <v>462898175.30000001</v>
      </c>
      <c r="E8" s="10">
        <v>2123214.08</v>
      </c>
      <c r="F8" s="10">
        <v>0</v>
      </c>
      <c r="G8" s="10">
        <v>992827.32</v>
      </c>
      <c r="H8" s="12">
        <f t="shared" si="6"/>
        <v>1130386.7600000002</v>
      </c>
      <c r="I8" s="29">
        <v>594587216.54999995</v>
      </c>
      <c r="J8" s="13">
        <f t="shared" si="0"/>
        <v>1.554304411490927E-2</v>
      </c>
      <c r="K8" s="29">
        <v>592486638.02999997</v>
      </c>
      <c r="L8" s="13">
        <f t="shared" si="7"/>
        <v>1.5716499414358907E-2</v>
      </c>
      <c r="M8" s="13">
        <f t="shared" si="8"/>
        <v>-3.5328349845599807E-3</v>
      </c>
      <c r="N8" s="20">
        <f t="shared" si="9"/>
        <v>1.6756957140858409E-3</v>
      </c>
      <c r="O8" s="21">
        <f t="shared" si="10"/>
        <v>1.9078687812412137E-3</v>
      </c>
      <c r="P8" s="22">
        <f t="shared" si="11"/>
        <v>225.04009593920631</v>
      </c>
      <c r="Q8" s="22">
        <f t="shared" si="12"/>
        <v>0.42934697356993934</v>
      </c>
      <c r="R8" s="10">
        <v>223.91</v>
      </c>
      <c r="S8" s="10">
        <v>227.29</v>
      </c>
      <c r="T8" s="10">
        <v>1943</v>
      </c>
      <c r="U8" s="10">
        <v>2607652.77</v>
      </c>
      <c r="V8" s="10">
        <v>2632804.77</v>
      </c>
    </row>
    <row r="9" spans="1:23">
      <c r="A9" s="84">
        <v>5</v>
      </c>
      <c r="B9" s="19" t="s">
        <v>209</v>
      </c>
      <c r="C9" s="70" t="s">
        <v>103</v>
      </c>
      <c r="D9" s="10">
        <v>1014680873.97</v>
      </c>
      <c r="E9" s="10">
        <v>6830148.2800000003</v>
      </c>
      <c r="F9" s="10">
        <v>-33422819.879999999</v>
      </c>
      <c r="G9" s="10">
        <v>1674096.25</v>
      </c>
      <c r="H9" s="12">
        <f t="shared" si="6"/>
        <v>-28266767.849999998</v>
      </c>
      <c r="I9" s="29">
        <v>1023347637.88</v>
      </c>
      <c r="J9" s="13">
        <f t="shared" si="0"/>
        <v>2.6751226796884013E-2</v>
      </c>
      <c r="K9" s="29">
        <v>1024125069.77</v>
      </c>
      <c r="L9" s="13">
        <f t="shared" si="7"/>
        <v>2.7166285323814324E-2</v>
      </c>
      <c r="M9" s="13">
        <f t="shared" si="8"/>
        <v>7.5969481066134935E-4</v>
      </c>
      <c r="N9" s="20">
        <f t="shared" si="9"/>
        <v>1.6346599643107767E-3</v>
      </c>
      <c r="O9" s="21">
        <f t="shared" si="10"/>
        <v>-2.7600894348136798E-2</v>
      </c>
      <c r="P9" s="22">
        <f t="shared" si="11"/>
        <v>1.3270046091591674</v>
      </c>
      <c r="Q9" s="22">
        <f t="shared" si="12"/>
        <v>-3.662651401689275E-2</v>
      </c>
      <c r="R9" s="10">
        <v>1.3171999999999999</v>
      </c>
      <c r="S9" s="10">
        <v>1.3171999999999999</v>
      </c>
      <c r="T9" s="10">
        <v>511</v>
      </c>
      <c r="U9" s="10">
        <v>750359711.36000001</v>
      </c>
      <c r="V9" s="10">
        <v>771756980.12</v>
      </c>
    </row>
    <row r="10" spans="1:23">
      <c r="A10" s="84">
        <v>6</v>
      </c>
      <c r="B10" s="64" t="s">
        <v>208</v>
      </c>
      <c r="C10" s="65" t="s">
        <v>48</v>
      </c>
      <c r="D10" s="10">
        <v>109680416.84</v>
      </c>
      <c r="E10" s="10">
        <v>224334.32</v>
      </c>
      <c r="F10" s="17">
        <v>0</v>
      </c>
      <c r="G10" s="10">
        <v>83773</v>
      </c>
      <c r="H10" s="12">
        <f t="shared" si="6"/>
        <v>140561.32</v>
      </c>
      <c r="I10" s="17">
        <v>101093677.8</v>
      </c>
      <c r="J10" s="13">
        <f t="shared" si="0"/>
        <v>2.6426795767676751E-3</v>
      </c>
      <c r="K10" s="17">
        <v>111697352.47</v>
      </c>
      <c r="L10" s="13">
        <f t="shared" si="7"/>
        <v>2.9629214601651619E-3</v>
      </c>
      <c r="M10" s="13">
        <f t="shared" si="8"/>
        <v>0.1048895925121838</v>
      </c>
      <c r="N10" s="20">
        <f t="shared" si="9"/>
        <v>7.4999987150545938E-4</v>
      </c>
      <c r="O10" s="21">
        <f t="shared" si="10"/>
        <v>1.2584122800739827E-3</v>
      </c>
      <c r="P10" s="22">
        <f t="shared" si="11"/>
        <v>181.81792095573971</v>
      </c>
      <c r="Q10" s="22">
        <f t="shared" si="12"/>
        <v>0.22880190446822357</v>
      </c>
      <c r="R10" s="10">
        <v>181.5497</v>
      </c>
      <c r="S10" s="10">
        <v>182.46619999999999</v>
      </c>
      <c r="T10" s="10">
        <v>103</v>
      </c>
      <c r="U10" s="10">
        <v>552887.9</v>
      </c>
      <c r="V10" s="10">
        <v>614336.31999999995</v>
      </c>
    </row>
    <row r="11" spans="1:23">
      <c r="A11" s="84">
        <v>7</v>
      </c>
      <c r="B11" s="19" t="s">
        <v>29</v>
      </c>
      <c r="C11" s="19" t="s">
        <v>30</v>
      </c>
      <c r="D11" s="10">
        <v>1482936760.1199999</v>
      </c>
      <c r="E11" s="10">
        <v>6891963.6399999997</v>
      </c>
      <c r="F11" s="10">
        <v>-39860630.93</v>
      </c>
      <c r="G11" s="10">
        <v>2598772.0299999998</v>
      </c>
      <c r="H11" s="12">
        <f t="shared" si="6"/>
        <v>-35567439.32</v>
      </c>
      <c r="I11" s="29">
        <v>1514612124.4100001</v>
      </c>
      <c r="J11" s="13">
        <f t="shared" si="0"/>
        <v>3.9593321907050137E-2</v>
      </c>
      <c r="K11" s="29">
        <v>1460381792.6600001</v>
      </c>
      <c r="L11" s="13">
        <f t="shared" si="7"/>
        <v>3.8738577574333653E-2</v>
      </c>
      <c r="M11" s="13">
        <f t="shared" si="8"/>
        <v>-3.5804765375904282E-2</v>
      </c>
      <c r="N11" s="20">
        <f t="shared" si="9"/>
        <v>1.7795154959214389E-3</v>
      </c>
      <c r="O11" s="21">
        <f t="shared" si="10"/>
        <v>-2.4354890959860563E-2</v>
      </c>
      <c r="P11" s="22">
        <f t="shared" si="11"/>
        <v>356.39939209766504</v>
      </c>
      <c r="Q11" s="22">
        <f t="shared" si="12"/>
        <v>-8.6800683326992214</v>
      </c>
      <c r="R11" s="10">
        <v>356.4</v>
      </c>
      <c r="S11" s="10">
        <v>361.1</v>
      </c>
      <c r="T11" s="10">
        <v>1674</v>
      </c>
      <c r="U11" s="10">
        <v>4197506</v>
      </c>
      <c r="V11" s="10">
        <v>4097599</v>
      </c>
    </row>
    <row r="12" spans="1:23">
      <c r="A12" s="84">
        <v>8</v>
      </c>
      <c r="B12" s="19" t="s">
        <v>31</v>
      </c>
      <c r="C12" s="70" t="s">
        <v>32</v>
      </c>
      <c r="D12" s="10">
        <v>429063597.93000001</v>
      </c>
      <c r="E12" s="10">
        <v>7934143.9199999999</v>
      </c>
      <c r="F12" s="10">
        <v>33397058.780000001</v>
      </c>
      <c r="G12" s="10">
        <v>1443835.22</v>
      </c>
      <c r="H12" s="12">
        <f t="shared" si="6"/>
        <v>39887367.480000004</v>
      </c>
      <c r="I12" s="29">
        <v>442079418.01999998</v>
      </c>
      <c r="J12" s="13">
        <f t="shared" si="0"/>
        <v>1.1556353223413874E-2</v>
      </c>
      <c r="K12" s="29">
        <v>437363974.17000002</v>
      </c>
      <c r="L12" s="13">
        <f t="shared" si="7"/>
        <v>1.1601663569595031E-2</v>
      </c>
      <c r="M12" s="13">
        <f t="shared" si="8"/>
        <v>-1.0666508454792244E-2</v>
      </c>
      <c r="N12" s="20">
        <f t="shared" si="9"/>
        <v>3.3012211916631073E-3</v>
      </c>
      <c r="O12" s="21">
        <f t="shared" si="10"/>
        <v>9.1199481063102134E-2</v>
      </c>
      <c r="P12" s="22">
        <f t="shared" si="11"/>
        <v>217.95956012297242</v>
      </c>
      <c r="Q12" s="22">
        <f t="shared" si="12"/>
        <v>19.877798775957093</v>
      </c>
      <c r="R12" s="10">
        <v>217.96</v>
      </c>
      <c r="S12" s="10">
        <v>226.23</v>
      </c>
      <c r="T12" s="10">
        <v>2475</v>
      </c>
      <c r="U12" s="10">
        <v>1995767</v>
      </c>
      <c r="V12" s="10">
        <v>2006629</v>
      </c>
    </row>
    <row r="13" spans="1:23">
      <c r="A13" s="84">
        <v>9</v>
      </c>
      <c r="B13" s="19" t="s">
        <v>33</v>
      </c>
      <c r="C13" s="19" t="s">
        <v>34</v>
      </c>
      <c r="D13" s="10">
        <v>62955120.549999997</v>
      </c>
      <c r="E13" s="10">
        <v>389595.38</v>
      </c>
      <c r="F13" s="10">
        <v>10077415.140000001</v>
      </c>
      <c r="G13" s="10">
        <v>1662804.05</v>
      </c>
      <c r="H13" s="12">
        <f t="shared" si="6"/>
        <v>8804206.4700000007</v>
      </c>
      <c r="I13" s="29">
        <v>66540915.299999997</v>
      </c>
      <c r="J13" s="13">
        <f t="shared" si="0"/>
        <v>1.7394393171710062E-3</v>
      </c>
      <c r="K13" s="29">
        <v>64707506.880000003</v>
      </c>
      <c r="L13" s="13">
        <f t="shared" si="7"/>
        <v>1.7164530450265636E-3</v>
      </c>
      <c r="M13" s="13">
        <f t="shared" si="8"/>
        <v>-2.7553098897634107E-2</v>
      </c>
      <c r="N13" s="20">
        <f t="shared" si="9"/>
        <v>2.5697235609520055E-2</v>
      </c>
      <c r="O13" s="21">
        <f t="shared" si="10"/>
        <v>0.13606159307493321</v>
      </c>
      <c r="P13" s="22">
        <f t="shared" si="11"/>
        <v>230.52622918481879</v>
      </c>
      <c r="Q13" s="22">
        <f t="shared" si="12"/>
        <v>31.365765988443606</v>
      </c>
      <c r="R13" s="10">
        <v>226.66</v>
      </c>
      <c r="S13" s="10">
        <v>233.82</v>
      </c>
      <c r="T13" s="10">
        <v>18</v>
      </c>
      <c r="U13" s="10">
        <v>276974.62</v>
      </c>
      <c r="V13" s="10">
        <v>280694.77</v>
      </c>
      <c r="W13" s="6"/>
    </row>
    <row r="14" spans="1:23">
      <c r="A14" s="84">
        <v>10</v>
      </c>
      <c r="B14" s="70" t="s">
        <v>35</v>
      </c>
      <c r="C14" s="70" t="s">
        <v>36</v>
      </c>
      <c r="D14" s="10">
        <v>760902474.95000005</v>
      </c>
      <c r="E14" s="10">
        <v>2607697.25</v>
      </c>
      <c r="F14" s="10">
        <v>42903.49</v>
      </c>
      <c r="G14" s="10">
        <v>1200233.98</v>
      </c>
      <c r="H14" s="12">
        <f t="shared" si="6"/>
        <v>1450366.7600000002</v>
      </c>
      <c r="I14" s="29">
        <v>750708793.75999999</v>
      </c>
      <c r="J14" s="13">
        <f t="shared" si="0"/>
        <v>1.962420242830901E-2</v>
      </c>
      <c r="K14" s="29">
        <v>754739132.12</v>
      </c>
      <c r="L14" s="13">
        <f t="shared" si="7"/>
        <v>2.0020463528760822E-2</v>
      </c>
      <c r="M14" s="13">
        <f t="shared" si="8"/>
        <v>5.3687107351089655E-3</v>
      </c>
      <c r="N14" s="20">
        <f t="shared" si="9"/>
        <v>1.5902633491768762E-3</v>
      </c>
      <c r="O14" s="21">
        <f t="shared" si="10"/>
        <v>1.9216795555916646E-3</v>
      </c>
      <c r="P14" s="22">
        <f t="shared" si="11"/>
        <v>2.5496935596037216</v>
      </c>
      <c r="Q14" s="22">
        <f t="shared" si="12"/>
        <v>4.899693986514209E-3</v>
      </c>
      <c r="R14" s="10">
        <v>2.5499999999999998</v>
      </c>
      <c r="S14" s="10">
        <v>2.58</v>
      </c>
      <c r="T14" s="10">
        <v>496</v>
      </c>
      <c r="U14" s="10">
        <v>294803741.45999998</v>
      </c>
      <c r="V14" s="10">
        <v>296011702.76999998</v>
      </c>
    </row>
    <row r="15" spans="1:23">
      <c r="A15" s="84">
        <v>11</v>
      </c>
      <c r="B15" s="74" t="s">
        <v>253</v>
      </c>
      <c r="C15" s="75" t="s">
        <v>279</v>
      </c>
      <c r="D15" s="76">
        <v>32380655.789999999</v>
      </c>
      <c r="E15" s="76">
        <v>182608.2</v>
      </c>
      <c r="F15" s="76">
        <v>1345454.28</v>
      </c>
      <c r="G15" s="76">
        <v>158827.71</v>
      </c>
      <c r="H15" s="77">
        <f t="shared" si="6"/>
        <v>1369234.77</v>
      </c>
      <c r="I15" s="29">
        <v>18553579.690000001</v>
      </c>
      <c r="J15" s="13">
        <f t="shared" si="0"/>
        <v>4.8500724466366717E-4</v>
      </c>
      <c r="K15" s="78">
        <f>40197101.58-1157448.68</f>
        <v>39039652.899999999</v>
      </c>
      <c r="L15" s="13">
        <f t="shared" si="7"/>
        <v>1.0355789355515517E-3</v>
      </c>
      <c r="M15" s="13">
        <f t="shared" si="8"/>
        <v>1.1041574484433088</v>
      </c>
      <c r="N15" s="20">
        <f t="shared" si="9"/>
        <v>4.0683689070401541E-3</v>
      </c>
      <c r="O15" s="21">
        <f t="shared" si="10"/>
        <v>3.5072923765672108E-2</v>
      </c>
      <c r="P15" s="22">
        <f t="shared" si="11"/>
        <v>16.096589010104573</v>
      </c>
      <c r="Q15" s="22">
        <f t="shared" si="12"/>
        <v>0.56455443923875326</v>
      </c>
      <c r="R15" s="76">
        <v>16.096599999999999</v>
      </c>
      <c r="S15" s="76">
        <v>16.573799999999999</v>
      </c>
      <c r="T15" s="76">
        <v>30</v>
      </c>
      <c r="U15" s="79">
        <v>1184540</v>
      </c>
      <c r="V15" s="108">
        <v>2425337</v>
      </c>
    </row>
    <row r="16" spans="1:23">
      <c r="A16" s="84">
        <v>12</v>
      </c>
      <c r="B16" s="19" t="s">
        <v>37</v>
      </c>
      <c r="C16" s="70" t="s">
        <v>38</v>
      </c>
      <c r="D16" s="10">
        <v>1916368322.2</v>
      </c>
      <c r="E16" s="10">
        <v>7385806.29</v>
      </c>
      <c r="F16" s="10">
        <v>0</v>
      </c>
      <c r="G16" s="10">
        <v>3473941.71</v>
      </c>
      <c r="H16" s="12">
        <f t="shared" si="6"/>
        <v>3911864.58</v>
      </c>
      <c r="I16" s="29">
        <v>1907660889.5999999</v>
      </c>
      <c r="J16" s="13">
        <f t="shared" si="0"/>
        <v>4.9867969808339234E-2</v>
      </c>
      <c r="K16" s="29">
        <v>1901377281.3299999</v>
      </c>
      <c r="L16" s="13">
        <f t="shared" si="7"/>
        <v>5.0436571916386702E-2</v>
      </c>
      <c r="M16" s="13">
        <f t="shared" si="8"/>
        <v>-3.2938811631859442E-3</v>
      </c>
      <c r="N16" s="20">
        <f t="shared" si="9"/>
        <v>1.827065961138445E-3</v>
      </c>
      <c r="O16" s="21">
        <f t="shared" si="10"/>
        <v>2.057384727592663E-3</v>
      </c>
      <c r="P16" s="22">
        <f t="shared" si="11"/>
        <v>3.9317131742259139</v>
      </c>
      <c r="Q16" s="22">
        <f t="shared" si="12"/>
        <v>8.0890466379272656E-3</v>
      </c>
      <c r="R16" s="10">
        <v>3.88</v>
      </c>
      <c r="S16" s="10">
        <v>3.96</v>
      </c>
      <c r="T16" s="10">
        <v>3649</v>
      </c>
      <c r="U16" s="10">
        <v>484012781</v>
      </c>
      <c r="V16" s="10">
        <v>483600201</v>
      </c>
    </row>
    <row r="17" spans="1:23">
      <c r="A17" s="84">
        <v>13</v>
      </c>
      <c r="B17" s="19" t="s">
        <v>39</v>
      </c>
      <c r="C17" s="19" t="s">
        <v>40</v>
      </c>
      <c r="D17" s="10">
        <v>970813559.80999994</v>
      </c>
      <c r="E17" s="10">
        <v>8115755.3700000001</v>
      </c>
      <c r="F17" s="10">
        <v>-38870276.600000001</v>
      </c>
      <c r="G17" s="10">
        <v>1422134.33</v>
      </c>
      <c r="H17" s="12">
        <f t="shared" si="6"/>
        <v>-32176655.560000002</v>
      </c>
      <c r="I17" s="29">
        <v>1035665620.75</v>
      </c>
      <c r="J17" s="13">
        <f t="shared" si="0"/>
        <v>2.7073229937593996E-2</v>
      </c>
      <c r="K17" s="29">
        <v>965012628.00999999</v>
      </c>
      <c r="L17" s="13">
        <f t="shared" si="7"/>
        <v>2.5598248854010724E-2</v>
      </c>
      <c r="M17" s="13">
        <f t="shared" si="8"/>
        <v>-6.8219888083989016E-2</v>
      </c>
      <c r="N17" s="20">
        <f t="shared" si="9"/>
        <v>1.4736950468022924E-3</v>
      </c>
      <c r="O17" s="21">
        <f t="shared" si="10"/>
        <v>-3.3343248187697884E-2</v>
      </c>
      <c r="P17" s="22">
        <f t="shared" si="11"/>
        <v>25.459936412949737</v>
      </c>
      <c r="Q17" s="22">
        <f t="shared" si="12"/>
        <v>-0.84891697865998961</v>
      </c>
      <c r="R17" s="10">
        <v>25.53</v>
      </c>
      <c r="S17" s="10">
        <v>25.67</v>
      </c>
      <c r="T17" s="10">
        <v>482</v>
      </c>
      <c r="U17" s="10">
        <v>39108196.649999999</v>
      </c>
      <c r="V17" s="10">
        <v>37903182.960000001</v>
      </c>
    </row>
    <row r="18" spans="1:23">
      <c r="A18" s="84">
        <v>14</v>
      </c>
      <c r="B18" s="81" t="s">
        <v>41</v>
      </c>
      <c r="C18" s="81" t="s">
        <v>42</v>
      </c>
      <c r="D18" s="10">
        <v>138919567.74000001</v>
      </c>
      <c r="E18" s="10">
        <v>2390649.7200000002</v>
      </c>
      <c r="F18" s="10">
        <v>61920788.229999997</v>
      </c>
      <c r="G18" s="10">
        <v>265295.7</v>
      </c>
      <c r="H18" s="12">
        <f t="shared" si="6"/>
        <v>64046142.249999993</v>
      </c>
      <c r="I18" s="29">
        <v>129480225.19</v>
      </c>
      <c r="J18" s="13">
        <f t="shared" si="0"/>
        <v>3.3847294326539226E-3</v>
      </c>
      <c r="K18" s="29">
        <v>140351193.38999999</v>
      </c>
      <c r="L18" s="13">
        <f t="shared" si="7"/>
        <v>3.7230028613857418E-3</v>
      </c>
      <c r="M18" s="13">
        <f t="shared" si="8"/>
        <v>8.3958520955982816E-2</v>
      </c>
      <c r="N18" s="20">
        <f t="shared" si="9"/>
        <v>1.8902276039991428E-3</v>
      </c>
      <c r="O18" s="21">
        <f t="shared" si="10"/>
        <v>0.45632773546878352</v>
      </c>
      <c r="P18" s="22">
        <f t="shared" si="11"/>
        <v>1.508152958503437</v>
      </c>
      <c r="Q18" s="22">
        <f t="shared" si="12"/>
        <v>0.68821202429441974</v>
      </c>
      <c r="R18" s="10">
        <v>1.47</v>
      </c>
      <c r="S18" s="10">
        <v>1.52</v>
      </c>
      <c r="T18" s="10">
        <v>23</v>
      </c>
      <c r="U18" s="10">
        <v>93061643.780000001</v>
      </c>
      <c r="V18" s="10">
        <v>93061643.780000001</v>
      </c>
    </row>
    <row r="19" spans="1:23">
      <c r="A19" s="84">
        <v>15</v>
      </c>
      <c r="B19" s="19" t="s">
        <v>43</v>
      </c>
      <c r="C19" s="19" t="s">
        <v>44</v>
      </c>
      <c r="D19" s="10">
        <v>2534240357.5799999</v>
      </c>
      <c r="E19" s="10">
        <v>20059771.93</v>
      </c>
      <c r="F19" s="10">
        <v>-41258614.159999996</v>
      </c>
      <c r="G19" s="10">
        <v>4537029.67</v>
      </c>
      <c r="H19" s="12">
        <f t="shared" si="6"/>
        <v>-25735871.899999999</v>
      </c>
      <c r="I19" s="29">
        <v>2559075056.5700002</v>
      </c>
      <c r="J19" s="13">
        <f t="shared" si="0"/>
        <v>6.6896521469843317E-2</v>
      </c>
      <c r="K19" s="29">
        <v>2517974551.9099998</v>
      </c>
      <c r="L19" s="13">
        <f t="shared" si="7"/>
        <v>6.67926380619243E-2</v>
      </c>
      <c r="M19" s="13">
        <f t="shared" si="8"/>
        <v>-1.6060687455993761E-2</v>
      </c>
      <c r="N19" s="20">
        <f t="shared" si="9"/>
        <v>1.8018568402760281E-3</v>
      </c>
      <c r="O19" s="21">
        <f t="shared" si="10"/>
        <v>-1.0220862589924967E-2</v>
      </c>
      <c r="P19" s="22">
        <f t="shared" si="11"/>
        <v>33.424108783989695</v>
      </c>
      <c r="Q19" s="22">
        <f t="shared" si="12"/>
        <v>-0.34162322307186271</v>
      </c>
      <c r="R19" s="10">
        <v>33.42</v>
      </c>
      <c r="S19" s="10">
        <v>33.64</v>
      </c>
      <c r="T19" s="10">
        <v>9870</v>
      </c>
      <c r="U19" s="10">
        <v>75243545</v>
      </c>
      <c r="V19" s="10">
        <v>75334082</v>
      </c>
    </row>
    <row r="20" spans="1:23">
      <c r="A20" s="84">
        <v>16</v>
      </c>
      <c r="B20" s="70" t="s">
        <v>45</v>
      </c>
      <c r="C20" s="19" t="s">
        <v>46</v>
      </c>
      <c r="D20" s="10">
        <v>890482684.34000003</v>
      </c>
      <c r="E20" s="10">
        <v>4164804.77</v>
      </c>
      <c r="F20" s="10">
        <v>-16007908.800000001</v>
      </c>
      <c r="G20" s="10">
        <v>1037272.42</v>
      </c>
      <c r="H20" s="12">
        <f t="shared" si="6"/>
        <v>-12880376.450000001</v>
      </c>
      <c r="I20" s="29">
        <v>905099290.22000003</v>
      </c>
      <c r="J20" s="13">
        <f t="shared" si="0"/>
        <v>2.3660108735418E-2</v>
      </c>
      <c r="K20" s="29">
        <v>881134151.67999995</v>
      </c>
      <c r="L20" s="13">
        <f t="shared" si="7"/>
        <v>2.3373260239075894E-2</v>
      </c>
      <c r="M20" s="13">
        <f t="shared" si="8"/>
        <v>-2.6477911096554875E-2</v>
      </c>
      <c r="N20" s="20">
        <f t="shared" si="9"/>
        <v>1.1772014715606036E-3</v>
      </c>
      <c r="O20" s="21">
        <f t="shared" si="10"/>
        <v>-1.461795167675869E-2</v>
      </c>
      <c r="P20" s="22">
        <f t="shared" si="11"/>
        <v>8788.1767616739035</v>
      </c>
      <c r="Q20" s="22">
        <f t="shared" si="12"/>
        <v>-128.4651432289628</v>
      </c>
      <c r="R20" s="10">
        <v>8718.02</v>
      </c>
      <c r="S20" s="10">
        <v>8836.26</v>
      </c>
      <c r="T20" s="10">
        <v>21</v>
      </c>
      <c r="U20" s="10">
        <v>101102.44</v>
      </c>
      <c r="V20" s="10">
        <v>100263.59</v>
      </c>
    </row>
    <row r="21" spans="1:23">
      <c r="A21" s="84">
        <v>17</v>
      </c>
      <c r="B21" s="19" t="s">
        <v>47</v>
      </c>
      <c r="C21" s="19" t="s">
        <v>46</v>
      </c>
      <c r="D21" s="10">
        <v>14307180786.290001</v>
      </c>
      <c r="E21" s="10">
        <v>66808450</v>
      </c>
      <c r="F21" s="10">
        <v>-264606464.74000001</v>
      </c>
      <c r="G21" s="10">
        <v>49779228.219999999</v>
      </c>
      <c r="H21" s="12">
        <f t="shared" si="6"/>
        <v>-247577242.96000001</v>
      </c>
      <c r="I21" s="29">
        <v>14569154518.870001</v>
      </c>
      <c r="J21" s="13">
        <f t="shared" si="0"/>
        <v>0.38085079043182496</v>
      </c>
      <c r="K21" s="29">
        <v>14237823747.969999</v>
      </c>
      <c r="L21" s="13">
        <f t="shared" si="7"/>
        <v>0.37767729132380112</v>
      </c>
      <c r="M21" s="13">
        <f t="shared" si="8"/>
        <v>-2.2741935399947965E-2</v>
      </c>
      <c r="N21" s="20">
        <f t="shared" si="9"/>
        <v>3.4962666416696879E-3</v>
      </c>
      <c r="O21" s="21">
        <f t="shared" si="10"/>
        <v>-1.7388699800087011E-2</v>
      </c>
      <c r="P21" s="22">
        <f t="shared" si="11"/>
        <v>27568.42947824988</v>
      </c>
      <c r="Q21" s="22">
        <f t="shared" si="12"/>
        <v>-479.37914415715647</v>
      </c>
      <c r="R21" s="10">
        <v>27334.03</v>
      </c>
      <c r="S21" s="10">
        <v>27729.08</v>
      </c>
      <c r="T21" s="10">
        <v>17638</v>
      </c>
      <c r="U21" s="10">
        <v>519308.37</v>
      </c>
      <c r="V21" s="10">
        <v>516453.93</v>
      </c>
    </row>
    <row r="22" spans="1:23">
      <c r="A22" s="84">
        <v>18</v>
      </c>
      <c r="B22" s="19" t="s">
        <v>49</v>
      </c>
      <c r="C22" s="19" t="s">
        <v>50</v>
      </c>
      <c r="D22" s="10">
        <v>3354505294</v>
      </c>
      <c r="E22" s="10">
        <v>22630576</v>
      </c>
      <c r="F22" s="10">
        <v>-57535548</v>
      </c>
      <c r="G22" s="10">
        <v>5890585</v>
      </c>
      <c r="H22" s="12">
        <f t="shared" ref="H22" si="13">(E22+F22)-G22</f>
        <v>-40795557</v>
      </c>
      <c r="I22" s="29">
        <v>4231567260.6544323</v>
      </c>
      <c r="J22" s="13">
        <f t="shared" si="0"/>
        <v>0.11061697052483935</v>
      </c>
      <c r="K22" s="29">
        <v>4203059826</v>
      </c>
      <c r="L22" s="13">
        <f t="shared" si="7"/>
        <v>0.11149177560102155</v>
      </c>
      <c r="M22" s="13">
        <f t="shared" si="8"/>
        <v>-6.7368501783009556E-3</v>
      </c>
      <c r="N22" s="20">
        <f t="shared" si="9"/>
        <v>1.4014992038802352E-3</v>
      </c>
      <c r="O22" s="21">
        <f t="shared" si="10"/>
        <v>-9.7061566308525825E-3</v>
      </c>
      <c r="P22" s="22">
        <f t="shared" si="11"/>
        <v>1.6430855179382651</v>
      </c>
      <c r="Q22" s="22">
        <f t="shared" si="12"/>
        <v>-1.594804539499434E-2</v>
      </c>
      <c r="R22" s="10">
        <v>1.64</v>
      </c>
      <c r="S22" s="10">
        <v>1.65</v>
      </c>
      <c r="T22" s="10">
        <v>3050</v>
      </c>
      <c r="U22" s="10">
        <v>2556453631</v>
      </c>
      <c r="V22" s="10">
        <v>2558028648</v>
      </c>
    </row>
    <row r="23" spans="1:23">
      <c r="A23" s="84">
        <v>19</v>
      </c>
      <c r="B23" s="65" t="s">
        <v>254</v>
      </c>
      <c r="C23" s="65" t="s">
        <v>255</v>
      </c>
      <c r="D23" s="10">
        <v>2128816862.6400001</v>
      </c>
      <c r="E23" s="10">
        <v>2460052.4700000002</v>
      </c>
      <c r="F23" s="10">
        <v>28029770.050000001</v>
      </c>
      <c r="G23" s="10">
        <v>5275217.87</v>
      </c>
      <c r="H23" s="12">
        <f t="shared" si="6"/>
        <v>25214604.649999999</v>
      </c>
      <c r="I23" s="29">
        <v>2076101701.6500001</v>
      </c>
      <c r="J23" s="13">
        <f t="shared" si="0"/>
        <v>5.4271163990069739E-2</v>
      </c>
      <c r="K23" s="29">
        <v>2115546425.6600001</v>
      </c>
      <c r="L23" s="13">
        <f t="shared" si="7"/>
        <v>5.6117694519637315E-2</v>
      </c>
      <c r="M23" s="13">
        <f t="shared" si="8"/>
        <v>1.899941798547294E-2</v>
      </c>
      <c r="N23" s="20">
        <f t="shared" si="9"/>
        <v>2.493548619881626E-3</v>
      </c>
      <c r="O23" s="21">
        <f t="shared" si="10"/>
        <v>1.19187196008396E-2</v>
      </c>
      <c r="P23" s="22">
        <f t="shared" si="11"/>
        <v>132.28136837398534</v>
      </c>
      <c r="Q23" s="22">
        <f t="shared" si="12"/>
        <v>1.5766245380649027</v>
      </c>
      <c r="R23" s="10">
        <v>129.49</v>
      </c>
      <c r="S23" s="10">
        <v>134.08000000000001</v>
      </c>
      <c r="T23" s="10">
        <v>34</v>
      </c>
      <c r="U23" s="10">
        <v>15877034</v>
      </c>
      <c r="V23" s="10">
        <v>15992777</v>
      </c>
    </row>
    <row r="24" spans="1:23">
      <c r="A24" s="95" t="s">
        <v>51</v>
      </c>
      <c r="B24" s="95"/>
      <c r="C24" s="95"/>
      <c r="D24" s="95"/>
      <c r="E24" s="95"/>
      <c r="F24" s="95"/>
      <c r="G24" s="95"/>
      <c r="H24" s="95"/>
      <c r="I24" s="34">
        <f>SUM(I5:I23)</f>
        <v>38254232063.82444</v>
      </c>
      <c r="J24" s="35">
        <f>(I24/$I$214)</f>
        <v>8.7465720866254475E-3</v>
      </c>
      <c r="K24" s="61">
        <f>SUM(K5:K23)</f>
        <v>37698384507.220001</v>
      </c>
      <c r="L24" s="35">
        <f>(K24/$K$214)</f>
        <v>7.850747772621439E-3</v>
      </c>
      <c r="M24" s="35">
        <f t="shared" si="1"/>
        <v>-1.453035459389296E-2</v>
      </c>
      <c r="N24" s="20"/>
      <c r="O24" s="20"/>
      <c r="P24" s="36"/>
      <c r="Q24" s="36"/>
      <c r="R24" s="37"/>
      <c r="S24" s="37"/>
      <c r="T24" s="37">
        <f>SUM(T5:T23)</f>
        <v>50732</v>
      </c>
      <c r="U24" s="37"/>
      <c r="V24" s="37"/>
    </row>
    <row r="25" spans="1:23" ht="6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5"/>
    </row>
    <row r="26" spans="1:23">
      <c r="A26" s="98" t="s">
        <v>52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</row>
    <row r="27" spans="1:23" ht="12.9" customHeight="1">
      <c r="A27" s="84">
        <v>20</v>
      </c>
      <c r="B27" s="19" t="s">
        <v>53</v>
      </c>
      <c r="C27" s="19" t="s">
        <v>22</v>
      </c>
      <c r="D27" s="18">
        <v>2684326477.0900002</v>
      </c>
      <c r="E27" s="18">
        <v>44556891.659999996</v>
      </c>
      <c r="F27" s="18">
        <v>0</v>
      </c>
      <c r="G27" s="18">
        <v>4819943.01</v>
      </c>
      <c r="H27" s="12">
        <f>(E27+F27)-G27</f>
        <v>39736948.649999999</v>
      </c>
      <c r="I27" s="49">
        <v>2341503193.8899999</v>
      </c>
      <c r="J27" s="13">
        <f t="shared" ref="J27:J66" si="14">(I27/$I$67)</f>
        <v>1.0954341210286441E-3</v>
      </c>
      <c r="K27" s="49">
        <v>2573627877.8800001</v>
      </c>
      <c r="L27" s="13">
        <f t="shared" ref="L27:L66" si="15">(K27/$K$67)</f>
        <v>1.0296607508302883E-3</v>
      </c>
      <c r="M27" s="13">
        <f t="shared" ref="M27:M67" si="16">((K27-I27)/I27)</f>
        <v>9.9134899578917718E-2</v>
      </c>
      <c r="N27" s="20">
        <f t="shared" ref="N27" si="17">(G27/K27)</f>
        <v>1.8728204848209753E-3</v>
      </c>
      <c r="O27" s="21">
        <f t="shared" ref="O27" si="18">H27/K27</f>
        <v>1.5440052150325985E-2</v>
      </c>
      <c r="P27" s="24">
        <f t="shared" ref="P27" si="19">K27/V27</f>
        <v>100.4986169828171</v>
      </c>
      <c r="Q27" s="24">
        <f t="shared" ref="Q27" si="20">H27/V27</f>
        <v>1.5517038872503328</v>
      </c>
      <c r="R27" s="10">
        <v>100</v>
      </c>
      <c r="S27" s="10">
        <v>100</v>
      </c>
      <c r="T27" s="10">
        <v>838</v>
      </c>
      <c r="U27" s="18">
        <v>23282990</v>
      </c>
      <c r="V27" s="18">
        <v>25608590</v>
      </c>
    </row>
    <row r="28" spans="1:23" ht="15" customHeight="1">
      <c r="A28" s="84">
        <v>21</v>
      </c>
      <c r="B28" s="19" t="s">
        <v>54</v>
      </c>
      <c r="C28" s="19" t="s">
        <v>55</v>
      </c>
      <c r="D28" s="18">
        <v>17339783500.779999</v>
      </c>
      <c r="E28" s="18">
        <v>322011076.02999997</v>
      </c>
      <c r="F28" s="18">
        <v>0</v>
      </c>
      <c r="G28" s="18">
        <v>26517805.629999999</v>
      </c>
      <c r="H28" s="12">
        <f t="shared" ref="H28:H66" si="21">(E28+F28)-G28</f>
        <v>295493270.39999998</v>
      </c>
      <c r="I28" s="49">
        <v>14994288560.01</v>
      </c>
      <c r="J28" s="13">
        <f t="shared" si="14"/>
        <v>7.0148336128880977E-3</v>
      </c>
      <c r="K28" s="49">
        <v>17438432588.220001</v>
      </c>
      <c r="L28" s="13">
        <f t="shared" ref="L28:L66" si="22">(K28/$K$67)</f>
        <v>6.9767932444377992E-3</v>
      </c>
      <c r="M28" s="13">
        <f t="shared" ref="M28:M66" si="23">((K28-I28)/I28)</f>
        <v>0.16300500143291699</v>
      </c>
      <c r="N28" s="20">
        <f t="shared" ref="N28:N66" si="24">(G28/K28)</f>
        <v>1.5206530458427377E-3</v>
      </c>
      <c r="O28" s="21">
        <f t="shared" ref="O28:O66" si="25">H28/K28</f>
        <v>1.6944944386780004E-2</v>
      </c>
      <c r="P28" s="24">
        <f t="shared" ref="P28:P66" si="26">K28/V28</f>
        <v>104.94113507369923</v>
      </c>
      <c r="Q28" s="24">
        <f t="shared" ref="Q28:Q66" si="27">H28/V28</f>
        <v>1.7782216977094019</v>
      </c>
      <c r="R28" s="10">
        <v>100</v>
      </c>
      <c r="S28" s="10">
        <v>100</v>
      </c>
      <c r="T28" s="10">
        <v>2535</v>
      </c>
      <c r="U28" s="18">
        <v>145072322.74000001</v>
      </c>
      <c r="V28" s="18">
        <v>166173470.25999999</v>
      </c>
    </row>
    <row r="29" spans="1:23">
      <c r="A29" s="94">
        <v>22</v>
      </c>
      <c r="B29" s="19" t="s">
        <v>56</v>
      </c>
      <c r="C29" s="19" t="s">
        <v>24</v>
      </c>
      <c r="D29" s="18">
        <v>1780078717.4000001</v>
      </c>
      <c r="E29" s="18">
        <v>30893787.780000001</v>
      </c>
      <c r="F29" s="18">
        <v>0</v>
      </c>
      <c r="G29" s="18">
        <v>2152103.85</v>
      </c>
      <c r="H29" s="12">
        <f t="shared" si="21"/>
        <v>28741683.93</v>
      </c>
      <c r="I29" s="49">
        <v>1508320404.5999999</v>
      </c>
      <c r="J29" s="13">
        <f t="shared" si="14"/>
        <v>7.056431274379848E-4</v>
      </c>
      <c r="K29" s="49">
        <v>1795166374.3</v>
      </c>
      <c r="L29" s="13">
        <f t="shared" si="22"/>
        <v>7.1821275045778389E-4</v>
      </c>
      <c r="M29" s="13">
        <f t="shared" si="23"/>
        <v>0.19017575365631306</v>
      </c>
      <c r="N29" s="20">
        <f t="shared" si="24"/>
        <v>1.1988325320761331E-3</v>
      </c>
      <c r="O29" s="21">
        <f t="shared" si="25"/>
        <v>1.6010596199590367E-2</v>
      </c>
      <c r="P29" s="24">
        <f t="shared" si="26"/>
        <v>172.37407840830514</v>
      </c>
      <c r="Q29" s="24">
        <f t="shared" si="27"/>
        <v>2.7598117646719023</v>
      </c>
      <c r="R29" s="10">
        <v>100</v>
      </c>
      <c r="S29" s="10">
        <v>100</v>
      </c>
      <c r="T29" s="10">
        <v>1518</v>
      </c>
      <c r="U29" s="18">
        <v>7826104.8099999996</v>
      </c>
      <c r="V29" s="18">
        <v>10414363.869999999</v>
      </c>
    </row>
    <row r="30" spans="1:23">
      <c r="A30" s="94">
        <v>23</v>
      </c>
      <c r="B30" s="19" t="s">
        <v>57</v>
      </c>
      <c r="C30" s="70" t="s">
        <v>58</v>
      </c>
      <c r="D30" s="18">
        <v>76582502060.399994</v>
      </c>
      <c r="E30" s="18">
        <v>3245503176.6500001</v>
      </c>
      <c r="F30" s="18">
        <v>0</v>
      </c>
      <c r="G30" s="18">
        <v>375394130.80000001</v>
      </c>
      <c r="H30" s="12">
        <f t="shared" si="21"/>
        <v>2870109045.8499999</v>
      </c>
      <c r="I30" s="49">
        <v>147693842596</v>
      </c>
      <c r="J30" s="13">
        <f t="shared" si="14"/>
        <v>6.9096158001265895E-2</v>
      </c>
      <c r="K30" s="49">
        <v>179543529330</v>
      </c>
      <c r="L30" s="13">
        <f t="shared" si="22"/>
        <v>7.1832033995890499E-2</v>
      </c>
      <c r="M30" s="13">
        <f t="shared" si="23"/>
        <v>0.2156466794700525</v>
      </c>
      <c r="N30" s="20">
        <f t="shared" si="24"/>
        <v>2.0908251731535685E-3</v>
      </c>
      <c r="O30" s="21">
        <f t="shared" si="25"/>
        <v>1.5985588879534364E-2</v>
      </c>
      <c r="P30" s="24">
        <f t="shared" si="26"/>
        <v>1</v>
      </c>
      <c r="Q30" s="24">
        <f t="shared" si="27"/>
        <v>1.5985588879534364E-2</v>
      </c>
      <c r="R30" s="10">
        <v>1</v>
      </c>
      <c r="S30" s="10">
        <v>1</v>
      </c>
      <c r="T30" s="10">
        <v>67778</v>
      </c>
      <c r="U30" s="18">
        <v>147693842596</v>
      </c>
      <c r="V30" s="18">
        <v>179543529330</v>
      </c>
    </row>
    <row r="31" spans="1:23">
      <c r="A31" s="94">
        <v>24</v>
      </c>
      <c r="B31" s="19" t="s">
        <v>271</v>
      </c>
      <c r="C31" s="70" t="s">
        <v>101</v>
      </c>
      <c r="D31" s="18">
        <v>189714509.31</v>
      </c>
      <c r="E31" s="18">
        <v>6900651.2199999997</v>
      </c>
      <c r="F31" s="18">
        <v>0</v>
      </c>
      <c r="G31" s="18">
        <v>698500.57</v>
      </c>
      <c r="H31" s="12">
        <f t="shared" si="21"/>
        <v>6202150.6499999994</v>
      </c>
      <c r="I31" s="49">
        <v>301807698.70999998</v>
      </c>
      <c r="J31" s="13">
        <f t="shared" si="14"/>
        <v>1.4119581473079904E-4</v>
      </c>
      <c r="K31" s="49">
        <v>350223266.38999999</v>
      </c>
      <c r="L31" s="13">
        <f t="shared" si="22"/>
        <v>1.4011782920474628E-4</v>
      </c>
      <c r="M31" s="13">
        <f t="shared" si="23"/>
        <v>0.1604185972953639</v>
      </c>
      <c r="N31" s="20">
        <f t="shared" si="24"/>
        <v>1.994443650760104E-3</v>
      </c>
      <c r="O31" s="21">
        <f t="shared" si="25"/>
        <v>1.7709133701852457E-2</v>
      </c>
      <c r="P31" s="24">
        <f t="shared" si="26"/>
        <v>0.97930308672492128</v>
      </c>
      <c r="Q31" s="24">
        <f t="shared" si="27"/>
        <v>1.7342609297448443E-2</v>
      </c>
      <c r="R31" s="10">
        <v>1</v>
      </c>
      <c r="S31" s="10">
        <v>1</v>
      </c>
      <c r="T31" s="10">
        <v>209</v>
      </c>
      <c r="U31" s="18">
        <v>278945000</v>
      </c>
      <c r="V31" s="18">
        <v>357625000</v>
      </c>
    </row>
    <row r="32" spans="1:23" ht="15" customHeight="1">
      <c r="A32" s="94">
        <v>25</v>
      </c>
      <c r="B32" s="19" t="s">
        <v>59</v>
      </c>
      <c r="C32" s="19" t="s">
        <v>28</v>
      </c>
      <c r="D32" s="18">
        <v>48861031653.080002</v>
      </c>
      <c r="E32" s="18">
        <v>1888670719.24</v>
      </c>
      <c r="F32" s="18">
        <v>0</v>
      </c>
      <c r="G32" s="18">
        <v>149686224.80000001</v>
      </c>
      <c r="H32" s="12">
        <f t="shared" si="21"/>
        <v>1738984494.4400001</v>
      </c>
      <c r="I32" s="49">
        <v>98381564075.229996</v>
      </c>
      <c r="J32" s="13">
        <f t="shared" si="14"/>
        <v>4.6026211900711031E-2</v>
      </c>
      <c r="K32" s="49">
        <v>106308532030.57001</v>
      </c>
      <c r="L32" s="13">
        <f t="shared" si="22"/>
        <v>4.2532070720507763E-2</v>
      </c>
      <c r="M32" s="13">
        <f t="shared" si="23"/>
        <v>8.0573713478253414E-2</v>
      </c>
      <c r="N32" s="20">
        <f t="shared" si="24"/>
        <v>1.4080358550803461E-3</v>
      </c>
      <c r="O32" s="21">
        <f t="shared" si="25"/>
        <v>1.6357901489411394E-2</v>
      </c>
      <c r="P32" s="24">
        <f t="shared" si="26"/>
        <v>1.0451465057575982</v>
      </c>
      <c r="Q32" s="24">
        <f t="shared" si="27"/>
        <v>1.7096403583185329E-2</v>
      </c>
      <c r="R32" s="10">
        <v>1</v>
      </c>
      <c r="S32" s="10">
        <v>1</v>
      </c>
      <c r="T32" s="10">
        <v>32794</v>
      </c>
      <c r="U32" s="18">
        <v>95478320137.800003</v>
      </c>
      <c r="V32" s="18">
        <v>101716392338.23</v>
      </c>
    </row>
    <row r="33" spans="1:22" ht="15" customHeight="1">
      <c r="A33" s="94">
        <v>26</v>
      </c>
      <c r="B33" s="19" t="s">
        <v>266</v>
      </c>
      <c r="C33" s="19" t="s">
        <v>103</v>
      </c>
      <c r="D33" s="18">
        <v>4044396490.4499998</v>
      </c>
      <c r="E33" s="18">
        <v>78919298.939999998</v>
      </c>
      <c r="F33" s="18">
        <v>0</v>
      </c>
      <c r="G33" s="18">
        <v>6072645.9500000002</v>
      </c>
      <c r="H33" s="12">
        <f t="shared" si="21"/>
        <v>72846652.989999995</v>
      </c>
      <c r="I33" s="49">
        <v>4448822437.3599997</v>
      </c>
      <c r="J33" s="13">
        <f t="shared" si="14"/>
        <v>2.0813090962244936E-3</v>
      </c>
      <c r="K33" s="49">
        <v>4396493167.3599997</v>
      </c>
      <c r="L33" s="13">
        <f t="shared" si="22"/>
        <v>1.7589553231965745E-3</v>
      </c>
      <c r="M33" s="13">
        <f t="shared" si="23"/>
        <v>-1.1762499118992261E-2</v>
      </c>
      <c r="N33" s="20">
        <f t="shared" si="24"/>
        <v>1.3812476714586809E-3</v>
      </c>
      <c r="O33" s="21">
        <f t="shared" si="25"/>
        <v>1.6569263323509918E-2</v>
      </c>
      <c r="P33" s="24">
        <f t="shared" si="26"/>
        <v>1</v>
      </c>
      <c r="Q33" s="24">
        <f t="shared" si="27"/>
        <v>1.6569263323509918E-2</v>
      </c>
      <c r="R33" s="10">
        <v>1</v>
      </c>
      <c r="S33" s="10">
        <v>1</v>
      </c>
      <c r="T33" s="10">
        <v>629</v>
      </c>
      <c r="U33" s="18">
        <v>4448822437.3599997</v>
      </c>
      <c r="V33" s="18">
        <v>4396493167.3599997</v>
      </c>
    </row>
    <row r="34" spans="1:22">
      <c r="A34" s="94">
        <v>27</v>
      </c>
      <c r="B34" s="70" t="s">
        <v>261</v>
      </c>
      <c r="C34" s="70" t="s">
        <v>44</v>
      </c>
      <c r="D34" s="18">
        <v>20217244240.330002</v>
      </c>
      <c r="E34" s="18">
        <v>337986517.69</v>
      </c>
      <c r="F34" s="18">
        <v>0</v>
      </c>
      <c r="G34" s="18">
        <v>31104941.440000001</v>
      </c>
      <c r="H34" s="12">
        <f t="shared" si="21"/>
        <v>306881576.25</v>
      </c>
      <c r="I34" s="49">
        <v>15522181493.459999</v>
      </c>
      <c r="J34" s="13">
        <f t="shared" si="14"/>
        <v>7.2617997212666794E-3</v>
      </c>
      <c r="K34" s="49">
        <v>20139965677.360001</v>
      </c>
      <c r="L34" s="13">
        <f t="shared" si="22"/>
        <v>8.057626496542656E-3</v>
      </c>
      <c r="M34" s="13">
        <f t="shared" si="23"/>
        <v>0.29749582465877134</v>
      </c>
      <c r="N34" s="20">
        <f t="shared" si="24"/>
        <v>1.5444386518973115E-3</v>
      </c>
      <c r="O34" s="21">
        <f t="shared" si="25"/>
        <v>1.5237442861929785E-2</v>
      </c>
      <c r="P34" s="24">
        <f t="shared" si="26"/>
        <v>100.00000000178748</v>
      </c>
      <c r="Q34" s="24">
        <f t="shared" si="27"/>
        <v>1.5237442862202153</v>
      </c>
      <c r="R34" s="10">
        <v>100</v>
      </c>
      <c r="S34" s="10">
        <v>100</v>
      </c>
      <c r="T34" s="10">
        <v>2801</v>
      </c>
      <c r="U34" s="18">
        <v>155221814.93000001</v>
      </c>
      <c r="V34" s="18">
        <v>201399656.77000001</v>
      </c>
    </row>
    <row r="35" spans="1:22">
      <c r="A35" s="94">
        <v>28</v>
      </c>
      <c r="B35" s="25" t="s">
        <v>215</v>
      </c>
      <c r="C35" s="25" t="s">
        <v>216</v>
      </c>
      <c r="D35" s="18">
        <v>797262785.47000003</v>
      </c>
      <c r="E35" s="18">
        <v>27272703.18</v>
      </c>
      <c r="F35" s="18">
        <v>0</v>
      </c>
      <c r="G35" s="18">
        <v>751438.67</v>
      </c>
      <c r="H35" s="12">
        <f t="shared" si="21"/>
        <v>26521264.509999998</v>
      </c>
      <c r="I35" s="49">
        <v>562897481.84000003</v>
      </c>
      <c r="J35" s="13">
        <f t="shared" si="14"/>
        <v>2.6334241604182297E-4</v>
      </c>
      <c r="K35" s="49">
        <v>768683214.85000002</v>
      </c>
      <c r="L35" s="13">
        <f t="shared" si="22"/>
        <v>3.0753588852366139E-4</v>
      </c>
      <c r="M35" s="13">
        <f t="shared" si="23"/>
        <v>0.36558296963299125</v>
      </c>
      <c r="N35" s="20">
        <f t="shared" si="24"/>
        <v>9.7756612279693779E-4</v>
      </c>
      <c r="O35" s="21">
        <f t="shared" si="25"/>
        <v>3.4502203245293094E-2</v>
      </c>
      <c r="P35" s="24">
        <f t="shared" si="26"/>
        <v>1.0091761120183993</v>
      </c>
      <c r="Q35" s="24">
        <f t="shared" si="27"/>
        <v>3.4818799327153482E-2</v>
      </c>
      <c r="R35" s="10">
        <v>1</v>
      </c>
      <c r="S35" s="10">
        <v>1</v>
      </c>
      <c r="T35" s="10">
        <v>389</v>
      </c>
      <c r="U35" s="18">
        <v>554643352.39999998</v>
      </c>
      <c r="V35" s="18">
        <v>761693826.97000003</v>
      </c>
    </row>
    <row r="36" spans="1:22">
      <c r="A36" s="94">
        <v>29</v>
      </c>
      <c r="B36" s="19" t="s">
        <v>231</v>
      </c>
      <c r="C36" s="19" t="s">
        <v>60</v>
      </c>
      <c r="D36" s="18">
        <v>50757928346.360001</v>
      </c>
      <c r="E36" s="18">
        <v>907772479.99000001</v>
      </c>
      <c r="F36" s="18">
        <v>0</v>
      </c>
      <c r="G36" s="18">
        <v>72516910.879999995</v>
      </c>
      <c r="H36" s="12">
        <f t="shared" si="21"/>
        <v>835255569.11000001</v>
      </c>
      <c r="I36" s="49">
        <v>40467457967.620003</v>
      </c>
      <c r="J36" s="13">
        <f t="shared" si="14"/>
        <v>1.8932040906328117E-2</v>
      </c>
      <c r="K36" s="49">
        <v>48299889768.220001</v>
      </c>
      <c r="L36" s="13">
        <f t="shared" si="22"/>
        <v>1.9323889514568132E-2</v>
      </c>
      <c r="M36" s="13">
        <f t="shared" si="23"/>
        <v>0.19354889567976102</v>
      </c>
      <c r="N36" s="20">
        <f t="shared" si="24"/>
        <v>1.5013887449431432E-3</v>
      </c>
      <c r="O36" s="21">
        <f t="shared" si="25"/>
        <v>1.7293115431902605E-2</v>
      </c>
      <c r="P36" s="24">
        <f t="shared" si="26"/>
        <v>100.00000000045549</v>
      </c>
      <c r="Q36" s="24">
        <f t="shared" si="27"/>
        <v>1.7293115431981372</v>
      </c>
      <c r="R36" s="10">
        <v>100</v>
      </c>
      <c r="S36" s="10">
        <v>100</v>
      </c>
      <c r="T36" s="10">
        <v>3898</v>
      </c>
      <c r="U36" s="18">
        <v>404674579.68000001</v>
      </c>
      <c r="V36" s="18">
        <v>482998897.68000001</v>
      </c>
    </row>
    <row r="37" spans="1:22">
      <c r="A37" s="94">
        <v>30</v>
      </c>
      <c r="B37" s="19" t="s">
        <v>61</v>
      </c>
      <c r="C37" s="19" t="s">
        <v>62</v>
      </c>
      <c r="D37" s="18">
        <v>8825968884.4300003</v>
      </c>
      <c r="E37" s="18">
        <v>389118550.67000002</v>
      </c>
      <c r="F37" s="18">
        <v>0</v>
      </c>
      <c r="G37" s="18">
        <v>22388103.93</v>
      </c>
      <c r="H37" s="12">
        <f t="shared" si="21"/>
        <v>366730446.74000001</v>
      </c>
      <c r="I37" s="49">
        <v>19337051400</v>
      </c>
      <c r="J37" s="13">
        <f t="shared" si="14"/>
        <v>9.0465244544269581E-3</v>
      </c>
      <c r="K37" s="49">
        <v>20743329100</v>
      </c>
      <c r="L37" s="13">
        <f t="shared" si="22"/>
        <v>8.2990210043185006E-3</v>
      </c>
      <c r="M37" s="13">
        <f t="shared" si="23"/>
        <v>7.2724515796653469E-2</v>
      </c>
      <c r="N37" s="20">
        <f t="shared" si="24"/>
        <v>1.0792917483047598E-3</v>
      </c>
      <c r="O37" s="21">
        <f t="shared" si="25"/>
        <v>1.7679440217722817E-2</v>
      </c>
      <c r="P37" s="24">
        <f t="shared" si="26"/>
        <v>100</v>
      </c>
      <c r="Q37" s="24">
        <f t="shared" si="27"/>
        <v>1.7679440217722815</v>
      </c>
      <c r="R37" s="10">
        <v>100</v>
      </c>
      <c r="S37" s="10">
        <v>100</v>
      </c>
      <c r="T37" s="10">
        <f>6385+266+142</f>
        <v>6793</v>
      </c>
      <c r="U37" s="18">
        <v>193370514</v>
      </c>
      <c r="V37" s="18">
        <v>207433291</v>
      </c>
    </row>
    <row r="38" spans="1:22">
      <c r="A38" s="94">
        <v>31</v>
      </c>
      <c r="B38" s="19" t="s">
        <v>63</v>
      </c>
      <c r="C38" s="19" t="s">
        <v>64</v>
      </c>
      <c r="D38" s="18">
        <v>18686814964.380001</v>
      </c>
      <c r="E38" s="18">
        <v>804607835.04999995</v>
      </c>
      <c r="F38" s="18">
        <v>0</v>
      </c>
      <c r="G38" s="18">
        <v>72201573.519999996</v>
      </c>
      <c r="H38" s="12">
        <f t="shared" si="21"/>
        <v>732406261.52999997</v>
      </c>
      <c r="I38" s="49">
        <v>16030714443.049999</v>
      </c>
      <c r="J38" s="13">
        <f t="shared" si="14"/>
        <v>7.4997085766130428E-3</v>
      </c>
      <c r="K38" s="49">
        <v>19652826125.610001</v>
      </c>
      <c r="L38" s="13">
        <f t="shared" si="22"/>
        <v>7.8627310025494793E-3</v>
      </c>
      <c r="M38" s="13">
        <f t="shared" si="23"/>
        <v>0.22594823801694888</v>
      </c>
      <c r="N38" s="20">
        <f t="shared" si="24"/>
        <v>3.6738519467137934E-3</v>
      </c>
      <c r="O38" s="21">
        <f t="shared" si="25"/>
        <v>3.7267223393158015E-2</v>
      </c>
      <c r="P38" s="24">
        <f t="shared" si="26"/>
        <v>1</v>
      </c>
      <c r="Q38" s="24">
        <f t="shared" si="27"/>
        <v>3.7267223393158015E-2</v>
      </c>
      <c r="R38" s="10">
        <v>1</v>
      </c>
      <c r="S38" s="10">
        <v>1</v>
      </c>
      <c r="T38" s="10">
        <v>4136</v>
      </c>
      <c r="U38" s="18">
        <v>16030934443.049999</v>
      </c>
      <c r="V38" s="18">
        <v>19652826125.610001</v>
      </c>
    </row>
    <row r="39" spans="1:22">
      <c r="A39" s="94">
        <v>32</v>
      </c>
      <c r="B39" s="19" t="s">
        <v>65</v>
      </c>
      <c r="C39" s="19" t="s">
        <v>66</v>
      </c>
      <c r="D39" s="18">
        <v>16440973225.639999</v>
      </c>
      <c r="E39" s="18">
        <v>756673915.22000003</v>
      </c>
      <c r="F39" s="18"/>
      <c r="G39" s="18">
        <v>61009127.759999998</v>
      </c>
      <c r="H39" s="12">
        <f t="shared" si="21"/>
        <v>695664787.46000004</v>
      </c>
      <c r="I39" s="49">
        <v>36404099330.169998</v>
      </c>
      <c r="J39" s="13">
        <f t="shared" si="14"/>
        <v>1.7031064768839109E-2</v>
      </c>
      <c r="K39" s="49">
        <v>43874806230.769997</v>
      </c>
      <c r="L39" s="13">
        <f t="shared" si="22"/>
        <v>1.7553495714897779E-2</v>
      </c>
      <c r="M39" s="13">
        <f t="shared" si="23"/>
        <v>0.20521608934323035</v>
      </c>
      <c r="N39" s="20">
        <f t="shared" si="24"/>
        <v>1.3905275715431758E-3</v>
      </c>
      <c r="O39" s="21">
        <f t="shared" si="25"/>
        <v>1.5855677716295438E-2</v>
      </c>
      <c r="P39" s="24">
        <f t="shared" si="26"/>
        <v>100.00000007013135</v>
      </c>
      <c r="Q39" s="24">
        <f t="shared" si="27"/>
        <v>1.5855677727415238</v>
      </c>
      <c r="R39" s="10">
        <v>100</v>
      </c>
      <c r="S39" s="10">
        <v>100</v>
      </c>
      <c r="T39" s="10">
        <v>6404</v>
      </c>
      <c r="U39" s="18">
        <v>364040994</v>
      </c>
      <c r="V39" s="18">
        <v>438748062</v>
      </c>
    </row>
    <row r="40" spans="1:22">
      <c r="A40" s="94">
        <v>33</v>
      </c>
      <c r="B40" s="19" t="s">
        <v>67</v>
      </c>
      <c r="C40" s="19" t="s">
        <v>66</v>
      </c>
      <c r="D40" s="18">
        <v>1898603277.5999999</v>
      </c>
      <c r="E40" s="18">
        <v>94959948.930000007</v>
      </c>
      <c r="F40" s="18">
        <v>0</v>
      </c>
      <c r="G40" s="18">
        <v>4541964.3899999997</v>
      </c>
      <c r="H40" s="12">
        <f t="shared" si="21"/>
        <v>90417984.540000007</v>
      </c>
      <c r="I40" s="49">
        <v>4217001443.9699998</v>
      </c>
      <c r="J40" s="13">
        <f t="shared" si="14"/>
        <v>1.9728554213404221E-3</v>
      </c>
      <c r="K40" s="49">
        <v>5628612875.0100002</v>
      </c>
      <c r="L40" s="13">
        <f t="shared" si="22"/>
        <v>2.2519035517247583E-3</v>
      </c>
      <c r="M40" s="13">
        <f t="shared" si="23"/>
        <v>0.33474293281509315</v>
      </c>
      <c r="N40" s="20">
        <f t="shared" si="24"/>
        <v>8.0694204608838555E-4</v>
      </c>
      <c r="O40" s="21">
        <f t="shared" si="25"/>
        <v>1.6063990639938863E-2</v>
      </c>
      <c r="P40" s="24">
        <f t="shared" si="26"/>
        <v>999931.22668502398</v>
      </c>
      <c r="Q40" s="24">
        <f t="shared" si="27"/>
        <v>16062.88586605081</v>
      </c>
      <c r="R40" s="10">
        <v>1000000</v>
      </c>
      <c r="S40" s="10">
        <v>1000000</v>
      </c>
      <c r="T40" s="10">
        <v>39</v>
      </c>
      <c r="U40" s="18">
        <v>4217</v>
      </c>
      <c r="V40" s="18">
        <v>5629</v>
      </c>
    </row>
    <row r="41" spans="1:22">
      <c r="A41" s="94">
        <v>34</v>
      </c>
      <c r="B41" s="70" t="s">
        <v>68</v>
      </c>
      <c r="C41" s="70" t="s">
        <v>69</v>
      </c>
      <c r="D41" s="18">
        <v>4187167631.52</v>
      </c>
      <c r="E41" s="18">
        <v>79160409.379999995</v>
      </c>
      <c r="F41" s="18">
        <v>0</v>
      </c>
      <c r="G41" s="18">
        <v>6813442.2199999997</v>
      </c>
      <c r="H41" s="12">
        <f t="shared" si="21"/>
        <v>72346967.159999996</v>
      </c>
      <c r="I41" s="49">
        <v>3980841311.1799998</v>
      </c>
      <c r="J41" s="13">
        <f t="shared" si="14"/>
        <v>1.8623717507821769E-3</v>
      </c>
      <c r="K41" s="49">
        <v>3986592886.6100001</v>
      </c>
      <c r="L41" s="13">
        <f t="shared" si="22"/>
        <v>1.5949618280723856E-3</v>
      </c>
      <c r="M41" s="13">
        <f t="shared" si="23"/>
        <v>1.4448140431640127E-3</v>
      </c>
      <c r="N41" s="20">
        <f t="shared" si="24"/>
        <v>1.709089042647094E-3</v>
      </c>
      <c r="O41" s="21">
        <f t="shared" si="25"/>
        <v>1.8147568416879471E-2</v>
      </c>
      <c r="P41" s="24">
        <f t="shared" si="26"/>
        <v>0.99464450764609258</v>
      </c>
      <c r="Q41" s="24">
        <f t="shared" si="27"/>
        <v>1.805037925298086E-2</v>
      </c>
      <c r="R41" s="10">
        <v>1</v>
      </c>
      <c r="S41" s="10">
        <v>1</v>
      </c>
      <c r="T41" s="10">
        <v>875</v>
      </c>
      <c r="U41" s="18">
        <v>4002231089.7800002</v>
      </c>
      <c r="V41" s="18">
        <v>4008058010.6399999</v>
      </c>
    </row>
    <row r="42" spans="1:22">
      <c r="A42" s="94">
        <v>35</v>
      </c>
      <c r="B42" s="19" t="s">
        <v>70</v>
      </c>
      <c r="C42" s="19" t="s">
        <v>71</v>
      </c>
      <c r="D42" s="18">
        <v>1088847552.8299999</v>
      </c>
      <c r="E42" s="18">
        <v>30302958.109999999</v>
      </c>
      <c r="F42" s="18">
        <v>0</v>
      </c>
      <c r="G42" s="18">
        <v>2094436.07</v>
      </c>
      <c r="H42" s="12">
        <f>(E42+F42)-G42</f>
        <v>28208522.039999999</v>
      </c>
      <c r="I42" s="49">
        <v>1544393214.49</v>
      </c>
      <c r="J42" s="13">
        <f t="shared" si="14"/>
        <v>7.2251920383967346E-4</v>
      </c>
      <c r="K42" s="49">
        <v>1680322422.95</v>
      </c>
      <c r="L42" s="13">
        <f t="shared" si="22"/>
        <v>6.7226581687359938E-4</v>
      </c>
      <c r="M42" s="13">
        <f t="shared" si="23"/>
        <v>8.8014637195157258E-2</v>
      </c>
      <c r="N42" s="20">
        <f t="shared" si="24"/>
        <v>1.2464489203940846E-3</v>
      </c>
      <c r="O42" s="21">
        <f t="shared" si="25"/>
        <v>1.6787565085560591E-2</v>
      </c>
      <c r="P42" s="24">
        <f t="shared" si="26"/>
        <v>1.1159020704665468</v>
      </c>
      <c r="Q42" s="24">
        <f t="shared" si="27"/>
        <v>1.8733278637068976E-2</v>
      </c>
      <c r="R42" s="10">
        <v>1</v>
      </c>
      <c r="S42" s="10">
        <v>1</v>
      </c>
      <c r="T42" s="10">
        <f>1074+35+14</f>
        <v>1123</v>
      </c>
      <c r="U42" s="18">
        <v>1360359945.02</v>
      </c>
      <c r="V42" s="18">
        <v>1505797387.98</v>
      </c>
    </row>
    <row r="43" spans="1:22">
      <c r="A43" s="94">
        <v>36</v>
      </c>
      <c r="B43" s="19" t="s">
        <v>72</v>
      </c>
      <c r="C43" s="19" t="s">
        <v>73</v>
      </c>
      <c r="D43" s="18">
        <v>476979222122.94</v>
      </c>
      <c r="E43" s="18">
        <v>8330190162.3599997</v>
      </c>
      <c r="F43" s="18">
        <v>0</v>
      </c>
      <c r="G43" s="18">
        <v>709755231.15999997</v>
      </c>
      <c r="H43" s="12">
        <f t="shared" ref="H43" si="28">(E43+F43)-G43</f>
        <v>7620434931.1999998</v>
      </c>
      <c r="I43" s="49">
        <v>411077199600.46002</v>
      </c>
      <c r="J43" s="13">
        <f t="shared" si="14"/>
        <v>0.19231577048209705</v>
      </c>
      <c r="K43" s="49">
        <v>452117746259.65997</v>
      </c>
      <c r="L43" s="13">
        <f t="shared" si="22"/>
        <v>0.18088391957460967</v>
      </c>
      <c r="M43" s="13">
        <f t="shared" si="23"/>
        <v>9.9836592005318373E-2</v>
      </c>
      <c r="N43" s="20">
        <f t="shared" si="24"/>
        <v>1.56984599041236E-3</v>
      </c>
      <c r="O43" s="21">
        <f t="shared" si="25"/>
        <v>1.685497858521005E-2</v>
      </c>
      <c r="P43" s="24">
        <f t="shared" si="26"/>
        <v>100.06043243805287</v>
      </c>
      <c r="Q43" s="24">
        <f t="shared" si="27"/>
        <v>1.6865164459702382</v>
      </c>
      <c r="R43" s="10">
        <v>100</v>
      </c>
      <c r="S43" s="10">
        <v>100</v>
      </c>
      <c r="T43" s="10">
        <v>32178</v>
      </c>
      <c r="U43" s="18">
        <v>4108304306</v>
      </c>
      <c r="V43" s="18">
        <v>4518446855</v>
      </c>
    </row>
    <row r="44" spans="1:22">
      <c r="A44" s="94">
        <v>37</v>
      </c>
      <c r="B44" s="19" t="s">
        <v>267</v>
      </c>
      <c r="C44" s="19" t="s">
        <v>268</v>
      </c>
      <c r="D44" s="18">
        <v>923806508.99000001</v>
      </c>
      <c r="E44" s="18">
        <v>23347411.969999999</v>
      </c>
      <c r="F44" s="18">
        <v>0</v>
      </c>
      <c r="G44" s="18">
        <v>19368444.52</v>
      </c>
      <c r="H44" s="12">
        <f t="shared" si="21"/>
        <v>3978967.4499999993</v>
      </c>
      <c r="I44" s="49">
        <v>523163013</v>
      </c>
      <c r="J44" s="13">
        <f t="shared" si="14"/>
        <v>2.4475329215684809E-4</v>
      </c>
      <c r="K44" s="49">
        <v>917256748.30999994</v>
      </c>
      <c r="L44" s="13">
        <f t="shared" si="22"/>
        <v>3.6697740193388618E-4</v>
      </c>
      <c r="M44" s="13">
        <f t="shared" si="23"/>
        <v>0.75329051465264796</v>
      </c>
      <c r="N44" s="20">
        <f t="shared" si="24"/>
        <v>2.1115619542385923E-2</v>
      </c>
      <c r="O44" s="21">
        <f t="shared" si="25"/>
        <v>4.3378993475175296E-3</v>
      </c>
      <c r="P44" s="24">
        <f t="shared" si="26"/>
        <v>1.0004886835178537</v>
      </c>
      <c r="Q44" s="24">
        <f t="shared" si="27"/>
        <v>4.3400192074307701E-3</v>
      </c>
      <c r="R44" s="10">
        <v>1</v>
      </c>
      <c r="S44" s="10">
        <v>1</v>
      </c>
      <c r="T44" s="10">
        <v>142</v>
      </c>
      <c r="U44" s="18">
        <v>533213863</v>
      </c>
      <c r="V44" s="18">
        <v>916808719</v>
      </c>
    </row>
    <row r="45" spans="1:22" ht="16.95" customHeight="1">
      <c r="A45" s="94">
        <v>38</v>
      </c>
      <c r="B45" s="19" t="s">
        <v>74</v>
      </c>
      <c r="C45" s="19" t="s">
        <v>75</v>
      </c>
      <c r="D45" s="18">
        <v>974549132.61000001</v>
      </c>
      <c r="E45" s="18">
        <v>14093090.34</v>
      </c>
      <c r="F45" s="18">
        <v>0</v>
      </c>
      <c r="G45" s="18">
        <v>2356639.9900000002</v>
      </c>
      <c r="H45" s="12">
        <f t="shared" si="21"/>
        <v>11736450.35</v>
      </c>
      <c r="I45" s="49">
        <v>792006290.66999996</v>
      </c>
      <c r="J45" s="13">
        <f t="shared" si="14"/>
        <v>3.705272395669456E-4</v>
      </c>
      <c r="K45" s="49">
        <v>931158181.85000002</v>
      </c>
      <c r="L45" s="13">
        <f t="shared" si="22"/>
        <v>3.7253910750112797E-4</v>
      </c>
      <c r="M45" s="13">
        <f t="shared" si="23"/>
        <v>0.17569543679038727</v>
      </c>
      <c r="N45" s="20">
        <f t="shared" si="24"/>
        <v>2.5308696588133839E-3</v>
      </c>
      <c r="O45" s="21">
        <f t="shared" si="25"/>
        <v>1.2604142431184287E-2</v>
      </c>
      <c r="P45" s="24">
        <f t="shared" si="26"/>
        <v>9.9414843049615094</v>
      </c>
      <c r="Q45" s="24">
        <f t="shared" si="27"/>
        <v>0.12530388415711799</v>
      </c>
      <c r="R45" s="10">
        <v>10</v>
      </c>
      <c r="S45" s="10">
        <v>10</v>
      </c>
      <c r="T45" s="10">
        <v>439</v>
      </c>
      <c r="U45" s="18">
        <v>78654877</v>
      </c>
      <c r="V45" s="18">
        <v>93663899</v>
      </c>
    </row>
    <row r="46" spans="1:22">
      <c r="A46" s="94">
        <v>39</v>
      </c>
      <c r="B46" s="19" t="s">
        <v>76</v>
      </c>
      <c r="C46" s="19" t="s">
        <v>77</v>
      </c>
      <c r="D46" s="18">
        <v>1813617093.47</v>
      </c>
      <c r="E46" s="18">
        <v>190275889.52000001</v>
      </c>
      <c r="F46" s="18">
        <v>0</v>
      </c>
      <c r="G46" s="18">
        <v>11651155.560000001</v>
      </c>
      <c r="H46" s="12">
        <f t="shared" si="21"/>
        <v>178624733.96000001</v>
      </c>
      <c r="I46" s="49">
        <v>6165091381.3999996</v>
      </c>
      <c r="J46" s="13">
        <f t="shared" si="14"/>
        <v>2.8842375599007807E-3</v>
      </c>
      <c r="K46" s="49">
        <v>6539263298.6499996</v>
      </c>
      <c r="L46" s="13">
        <f t="shared" si="22"/>
        <v>2.6162378857627743E-3</v>
      </c>
      <c r="M46" s="13">
        <f t="shared" si="23"/>
        <v>6.0692031001985114E-2</v>
      </c>
      <c r="N46" s="20">
        <f t="shared" si="24"/>
        <v>1.7817229598944774E-3</v>
      </c>
      <c r="O46" s="21">
        <f t="shared" si="25"/>
        <v>2.7315727445456472E-2</v>
      </c>
      <c r="P46" s="24">
        <f t="shared" si="26"/>
        <v>105.20826211910479</v>
      </c>
      <c r="Q46" s="24">
        <f t="shared" si="27"/>
        <v>2.8738402130556091</v>
      </c>
      <c r="R46" s="10">
        <v>100</v>
      </c>
      <c r="S46" s="10">
        <v>100</v>
      </c>
      <c r="T46" s="10">
        <v>1618</v>
      </c>
      <c r="U46" s="18">
        <v>60290271.439999998</v>
      </c>
      <c r="V46" s="18">
        <v>62155416</v>
      </c>
    </row>
    <row r="47" spans="1:22">
      <c r="A47" s="94">
        <v>40</v>
      </c>
      <c r="B47" s="64" t="s">
        <v>251</v>
      </c>
      <c r="C47" s="64" t="s">
        <v>227</v>
      </c>
      <c r="D47" s="18">
        <v>95317404.980000004</v>
      </c>
      <c r="E47" s="18">
        <v>7034579.7199999997</v>
      </c>
      <c r="F47" s="18">
        <v>0</v>
      </c>
      <c r="G47" s="18">
        <v>93747.19</v>
      </c>
      <c r="H47" s="12">
        <f t="shared" si="21"/>
        <v>6940832.5299999993</v>
      </c>
      <c r="I47" s="49">
        <v>85453634.680000007</v>
      </c>
      <c r="J47" s="13">
        <f t="shared" si="14"/>
        <v>3.9978090757533368E-5</v>
      </c>
      <c r="K47" s="49">
        <v>94923812.299999997</v>
      </c>
      <c r="L47" s="13">
        <f t="shared" si="22"/>
        <v>3.7977255641558844E-5</v>
      </c>
      <c r="M47" s="13">
        <f t="shared" si="23"/>
        <v>0.11082240861331598</v>
      </c>
      <c r="N47" s="20">
        <f t="shared" si="24"/>
        <v>9.8760456126349662E-4</v>
      </c>
      <c r="O47" s="21">
        <f t="shared" si="25"/>
        <v>7.3120035550868823E-2</v>
      </c>
      <c r="P47" s="24">
        <f t="shared" si="26"/>
        <v>1.0367634678187925</v>
      </c>
      <c r="Q47" s="24">
        <f t="shared" si="27"/>
        <v>7.5808181624752141E-2</v>
      </c>
      <c r="R47" s="10">
        <v>1</v>
      </c>
      <c r="S47" s="10">
        <v>1</v>
      </c>
      <c r="T47" s="10">
        <v>67</v>
      </c>
      <c r="U47" s="18">
        <v>80019675</v>
      </c>
      <c r="V47" s="18">
        <v>91557829</v>
      </c>
    </row>
    <row r="48" spans="1:22">
      <c r="A48" s="94">
        <v>41</v>
      </c>
      <c r="B48" s="70" t="s">
        <v>269</v>
      </c>
      <c r="C48" s="70" t="s">
        <v>36</v>
      </c>
      <c r="D48" s="18">
        <v>347579045.23000002</v>
      </c>
      <c r="E48" s="18">
        <v>6134474.1900000004</v>
      </c>
      <c r="F48" s="18">
        <v>0</v>
      </c>
      <c r="G48" s="18">
        <v>766569.53</v>
      </c>
      <c r="H48" s="12">
        <f t="shared" si="21"/>
        <v>5367904.66</v>
      </c>
      <c r="I48" s="49">
        <v>342328641.39999998</v>
      </c>
      <c r="J48" s="13">
        <f t="shared" si="14"/>
        <v>1.6015287759310899E-4</v>
      </c>
      <c r="K48" s="49">
        <v>327959603</v>
      </c>
      <c r="L48" s="13">
        <f t="shared" si="22"/>
        <v>1.3121055066638059E-4</v>
      </c>
      <c r="M48" s="13">
        <f t="shared" si="23"/>
        <v>-4.1974397296223362E-2</v>
      </c>
      <c r="N48" s="20">
        <f t="shared" si="24"/>
        <v>2.3373901022803716E-3</v>
      </c>
      <c r="O48" s="21">
        <f t="shared" si="25"/>
        <v>1.6367578844763999E-2</v>
      </c>
      <c r="P48" s="24">
        <f t="shared" si="26"/>
        <v>100</v>
      </c>
      <c r="Q48" s="24">
        <f t="shared" si="27"/>
        <v>1.6367578844764001</v>
      </c>
      <c r="R48" s="10">
        <v>100</v>
      </c>
      <c r="S48" s="10">
        <v>100</v>
      </c>
      <c r="T48" s="10">
        <v>1660</v>
      </c>
      <c r="U48" s="18">
        <v>3423286.41</v>
      </c>
      <c r="V48" s="18">
        <v>3279596.03</v>
      </c>
    </row>
    <row r="49" spans="1:22">
      <c r="A49" s="94">
        <v>42</v>
      </c>
      <c r="B49" s="70" t="s">
        <v>78</v>
      </c>
      <c r="C49" s="70" t="s">
        <v>36</v>
      </c>
      <c r="D49" s="18">
        <v>77293841414.770004</v>
      </c>
      <c r="E49" s="18">
        <v>1254292812.75</v>
      </c>
      <c r="F49" s="18">
        <v>0</v>
      </c>
      <c r="G49" s="18">
        <v>78206631.75</v>
      </c>
      <c r="H49" s="12">
        <f t="shared" si="21"/>
        <v>1176086181</v>
      </c>
      <c r="I49" s="49">
        <v>64286175422.290001</v>
      </c>
      <c r="J49" s="13">
        <f t="shared" si="14"/>
        <v>3.0075239808243347E-2</v>
      </c>
      <c r="K49" s="49">
        <v>73255755935.789993</v>
      </c>
      <c r="L49" s="13">
        <f t="shared" si="22"/>
        <v>2.9308268420537704E-2</v>
      </c>
      <c r="M49" s="13">
        <f t="shared" si="23"/>
        <v>0.13952580713628768</v>
      </c>
      <c r="N49" s="20">
        <f t="shared" si="24"/>
        <v>1.0675834376557324E-3</v>
      </c>
      <c r="O49" s="21">
        <f t="shared" si="25"/>
        <v>1.6054522487364147E-2</v>
      </c>
      <c r="P49" s="24">
        <f t="shared" si="26"/>
        <v>99.999999999713324</v>
      </c>
      <c r="Q49" s="24">
        <f t="shared" si="27"/>
        <v>1.6054522487318121</v>
      </c>
      <c r="R49" s="10">
        <v>100</v>
      </c>
      <c r="S49" s="10">
        <v>100</v>
      </c>
      <c r="T49" s="10">
        <v>11127</v>
      </c>
      <c r="U49" s="18">
        <v>642861754.22000003</v>
      </c>
      <c r="V49" s="18">
        <v>732557559.36000001</v>
      </c>
    </row>
    <row r="50" spans="1:22">
      <c r="A50" s="94">
        <v>43</v>
      </c>
      <c r="B50" s="19" t="s">
        <v>79</v>
      </c>
      <c r="C50" s="19" t="s">
        <v>38</v>
      </c>
      <c r="D50" s="18">
        <v>14997337684.959999</v>
      </c>
      <c r="E50" s="18">
        <v>277500486.56</v>
      </c>
      <c r="F50" s="18">
        <v>0</v>
      </c>
      <c r="G50" s="18">
        <v>19963065.93</v>
      </c>
      <c r="H50" s="12">
        <f t="shared" si="21"/>
        <v>257537420.63</v>
      </c>
      <c r="I50" s="49">
        <v>12066771445.82</v>
      </c>
      <c r="J50" s="13">
        <f t="shared" si="14"/>
        <v>5.6452424267017035E-3</v>
      </c>
      <c r="K50" s="49">
        <v>14920650466.879999</v>
      </c>
      <c r="L50" s="13">
        <f t="shared" si="22"/>
        <v>5.9694753443762195E-3</v>
      </c>
      <c r="M50" s="13">
        <f t="shared" si="23"/>
        <v>0.2365072574610336</v>
      </c>
      <c r="N50" s="20">
        <f t="shared" si="24"/>
        <v>1.3379487693457376E-3</v>
      </c>
      <c r="O50" s="21">
        <f t="shared" si="25"/>
        <v>1.7260468717611659E-2</v>
      </c>
      <c r="P50" s="24">
        <f t="shared" si="26"/>
        <v>0.99980956246484409</v>
      </c>
      <c r="Q50" s="24">
        <f t="shared" si="27"/>
        <v>1.7257181676493438E-2</v>
      </c>
      <c r="R50" s="10">
        <v>1</v>
      </c>
      <c r="S50" s="10">
        <v>1</v>
      </c>
      <c r="T50" s="10">
        <v>1507</v>
      </c>
      <c r="U50" s="18">
        <v>12072492862</v>
      </c>
      <c r="V50" s="18">
        <v>14923492460</v>
      </c>
    </row>
    <row r="51" spans="1:22">
      <c r="A51" s="94">
        <v>44</v>
      </c>
      <c r="B51" s="19" t="s">
        <v>280</v>
      </c>
      <c r="C51" s="70" t="s">
        <v>281</v>
      </c>
      <c r="D51" s="18">
        <v>1382207513.5699999</v>
      </c>
      <c r="E51" s="18">
        <v>16355267.800000001</v>
      </c>
      <c r="F51" s="18"/>
      <c r="G51" s="18">
        <v>1953781.55</v>
      </c>
      <c r="H51" s="12">
        <f t="shared" si="21"/>
        <v>14401486.25</v>
      </c>
      <c r="I51" s="49">
        <v>0</v>
      </c>
      <c r="J51" s="13">
        <f t="shared" si="14"/>
        <v>0</v>
      </c>
      <c r="K51" s="49">
        <v>1380253732.02</v>
      </c>
      <c r="L51" s="13">
        <f t="shared" si="22"/>
        <v>5.5221390250820345E-4</v>
      </c>
      <c r="M51" s="13" t="e">
        <f t="shared" si="23"/>
        <v>#DIV/0!</v>
      </c>
      <c r="N51" s="20">
        <f t="shared" si="24"/>
        <v>1.4155234683847894E-3</v>
      </c>
      <c r="O51" s="21">
        <f t="shared" si="25"/>
        <v>1.0433941177556853E-2</v>
      </c>
      <c r="P51" s="24">
        <f t="shared" si="26"/>
        <v>101.14897338444598</v>
      </c>
      <c r="Q51" s="24">
        <f t="shared" si="27"/>
        <v>1.0553824384635733</v>
      </c>
      <c r="R51" s="10">
        <v>100</v>
      </c>
      <c r="S51" s="10">
        <v>100</v>
      </c>
      <c r="T51" s="10">
        <v>105</v>
      </c>
      <c r="U51" s="18">
        <v>11249533.939999999</v>
      </c>
      <c r="V51" s="18">
        <v>13645751.27</v>
      </c>
    </row>
    <row r="52" spans="1:22">
      <c r="A52" s="94">
        <v>45</v>
      </c>
      <c r="B52" s="19" t="s">
        <v>80</v>
      </c>
      <c r="C52" s="19" t="s">
        <v>40</v>
      </c>
      <c r="D52" s="18">
        <v>33248862313.18</v>
      </c>
      <c r="E52" s="18">
        <v>612320741</v>
      </c>
      <c r="F52" s="18">
        <v>0</v>
      </c>
      <c r="G52" s="18">
        <v>44665068.159999996</v>
      </c>
      <c r="H52" s="12">
        <f t="shared" si="21"/>
        <v>567655672.84000003</v>
      </c>
      <c r="I52" s="49">
        <v>26953286605.18</v>
      </c>
      <c r="J52" s="13">
        <f t="shared" si="14"/>
        <v>1.2609656009961242E-2</v>
      </c>
      <c r="K52" s="49">
        <v>34576633284.25</v>
      </c>
      <c r="L52" s="13">
        <f t="shared" si="22"/>
        <v>1.3833469280714874E-2</v>
      </c>
      <c r="M52" s="13">
        <f t="shared" si="23"/>
        <v>0.28283551430069059</v>
      </c>
      <c r="N52" s="20">
        <f t="shared" si="24"/>
        <v>1.2917703060565291E-3</v>
      </c>
      <c r="O52" s="21">
        <f t="shared" si="25"/>
        <v>1.6417320569454424E-2</v>
      </c>
      <c r="P52" s="24">
        <f t="shared" si="26"/>
        <v>9.9711405628390199</v>
      </c>
      <c r="Q52" s="24">
        <f t="shared" si="27"/>
        <v>0.16369941106321842</v>
      </c>
      <c r="R52" s="10">
        <v>10</v>
      </c>
      <c r="S52" s="10">
        <v>10</v>
      </c>
      <c r="T52" s="10">
        <v>4255</v>
      </c>
      <c r="U52" s="18">
        <v>2687589774.6700001</v>
      </c>
      <c r="V52" s="18">
        <v>3467670831.27</v>
      </c>
    </row>
    <row r="53" spans="1:22" ht="14.1" customHeight="1">
      <c r="A53" s="94">
        <v>46</v>
      </c>
      <c r="B53" s="19" t="s">
        <v>81</v>
      </c>
      <c r="C53" s="19" t="s">
        <v>262</v>
      </c>
      <c r="D53" s="18">
        <v>8081484536.6300001</v>
      </c>
      <c r="E53" s="18">
        <v>312009877.61000001</v>
      </c>
      <c r="F53" s="18">
        <v>0</v>
      </c>
      <c r="G53" s="18">
        <v>20689718.329999998</v>
      </c>
      <c r="H53" s="12">
        <f t="shared" si="21"/>
        <v>291320159.28000003</v>
      </c>
      <c r="I53" s="49">
        <v>15644888836</v>
      </c>
      <c r="J53" s="13">
        <f t="shared" si="14"/>
        <v>7.3192063523017424E-3</v>
      </c>
      <c r="K53" s="49">
        <v>16968530636</v>
      </c>
      <c r="L53" s="13">
        <f t="shared" si="22"/>
        <v>6.7887941941096605E-3</v>
      </c>
      <c r="M53" s="13">
        <f t="shared" si="23"/>
        <v>8.4605382235392185E-2</v>
      </c>
      <c r="N53" s="20">
        <f t="shared" si="24"/>
        <v>1.2192993473521638E-3</v>
      </c>
      <c r="O53" s="21">
        <f t="shared" si="25"/>
        <v>1.7168260795778194E-2</v>
      </c>
      <c r="P53" s="24">
        <f t="shared" si="26"/>
        <v>100.00000021215745</v>
      </c>
      <c r="Q53" s="24">
        <f t="shared" si="27"/>
        <v>1.7168260832201936</v>
      </c>
      <c r="R53" s="10">
        <v>100</v>
      </c>
      <c r="S53" s="10">
        <v>100</v>
      </c>
      <c r="T53" s="10">
        <f>3614+106+77</f>
        <v>3797</v>
      </c>
      <c r="U53" s="18">
        <v>156448888</v>
      </c>
      <c r="V53" s="18">
        <v>169685306</v>
      </c>
    </row>
    <row r="54" spans="1:22">
      <c r="A54" s="94">
        <v>47</v>
      </c>
      <c r="B54" s="19" t="s">
        <v>82</v>
      </c>
      <c r="C54" s="70" t="s">
        <v>83</v>
      </c>
      <c r="D54" s="18">
        <v>253984668.00999999</v>
      </c>
      <c r="E54" s="18">
        <v>4136610.79</v>
      </c>
      <c r="F54" s="18">
        <v>0</v>
      </c>
      <c r="G54" s="18">
        <v>3911092.28</v>
      </c>
      <c r="H54" s="12">
        <f t="shared" si="21"/>
        <v>225518.51000000024</v>
      </c>
      <c r="I54" s="49">
        <v>231533093.31</v>
      </c>
      <c r="J54" s="13">
        <f t="shared" si="14"/>
        <v>1.083189855221688E-4</v>
      </c>
      <c r="K54" s="49">
        <v>237967307.69</v>
      </c>
      <c r="L54" s="13">
        <f t="shared" si="22"/>
        <v>9.5206303450126215E-5</v>
      </c>
      <c r="M54" s="13">
        <f t="shared" si="23"/>
        <v>2.7789610064014546E-2</v>
      </c>
      <c r="N54" s="20">
        <f t="shared" si="24"/>
        <v>1.6435418452920347E-2</v>
      </c>
      <c r="O54" s="21">
        <f t="shared" si="25"/>
        <v>9.4768694149274986E-4</v>
      </c>
      <c r="P54" s="24">
        <f t="shared" si="26"/>
        <v>1.0122401741023455</v>
      </c>
      <c r="Q54" s="24">
        <f t="shared" si="27"/>
        <v>9.5928679465114041E-4</v>
      </c>
      <c r="R54" s="10">
        <v>1</v>
      </c>
      <c r="S54" s="10">
        <v>1</v>
      </c>
      <c r="T54" s="10">
        <v>88</v>
      </c>
      <c r="U54" s="18">
        <v>228757334</v>
      </c>
      <c r="V54" s="18">
        <v>235089768</v>
      </c>
    </row>
    <row r="55" spans="1:22" ht="15" customHeight="1">
      <c r="A55" s="94">
        <v>48</v>
      </c>
      <c r="B55" s="70" t="s">
        <v>84</v>
      </c>
      <c r="C55" s="70" t="s">
        <v>42</v>
      </c>
      <c r="D55" s="18">
        <v>1382744254.4000001</v>
      </c>
      <c r="E55" s="18">
        <v>65638591.649999999</v>
      </c>
      <c r="F55" s="18">
        <v>0</v>
      </c>
      <c r="G55" s="18">
        <v>1531752.84</v>
      </c>
      <c r="H55" s="12">
        <f t="shared" si="21"/>
        <v>64106838.809999995</v>
      </c>
      <c r="I55" s="49">
        <v>1273888549.8399999</v>
      </c>
      <c r="J55" s="13">
        <f t="shared" si="14"/>
        <v>5.9596800359862801E-4</v>
      </c>
      <c r="K55" s="49">
        <v>1395926030.3199999</v>
      </c>
      <c r="L55" s="13">
        <f t="shared" si="22"/>
        <v>5.584840982010271E-4</v>
      </c>
      <c r="M55" s="13">
        <f t="shared" si="23"/>
        <v>9.5799181565238103E-2</v>
      </c>
      <c r="N55" s="20">
        <f t="shared" si="24"/>
        <v>1.0973022973494258E-3</v>
      </c>
      <c r="O55" s="21">
        <f t="shared" si="25"/>
        <v>4.5924237687081627E-2</v>
      </c>
      <c r="P55" s="24">
        <f t="shared" si="26"/>
        <v>12.878399706070562</v>
      </c>
      <c r="Q55" s="24">
        <f t="shared" si="27"/>
        <v>0.59143068913082664</v>
      </c>
      <c r="R55" s="10">
        <v>10</v>
      </c>
      <c r="S55" s="10">
        <v>10</v>
      </c>
      <c r="T55" s="10">
        <v>751</v>
      </c>
      <c r="U55" s="18">
        <v>104874934.59999999</v>
      </c>
      <c r="V55" s="18">
        <v>108392817.59999999</v>
      </c>
    </row>
    <row r="56" spans="1:22" ht="15" customHeight="1">
      <c r="A56" s="94">
        <v>49</v>
      </c>
      <c r="B56" s="10" t="s">
        <v>210</v>
      </c>
      <c r="C56" s="10" t="s">
        <v>211</v>
      </c>
      <c r="D56" s="18">
        <v>408752247.22000003</v>
      </c>
      <c r="E56" s="18">
        <v>14624227.039999999</v>
      </c>
      <c r="F56" s="18">
        <v>0</v>
      </c>
      <c r="G56" s="18">
        <v>1815302.1</v>
      </c>
      <c r="H56" s="12">
        <f t="shared" si="21"/>
        <v>12808924.939999999</v>
      </c>
      <c r="I56" s="49">
        <v>776361894.16999996</v>
      </c>
      <c r="J56" s="13">
        <f t="shared" si="14"/>
        <v>3.6320826354602019E-4</v>
      </c>
      <c r="K56" s="49">
        <v>788893322</v>
      </c>
      <c r="L56" s="13">
        <f t="shared" si="22"/>
        <v>3.1562157732167487E-4</v>
      </c>
      <c r="M56" s="13">
        <f t="shared" si="23"/>
        <v>1.6141219609184007E-2</v>
      </c>
      <c r="N56" s="20">
        <f t="shared" si="24"/>
        <v>2.3010742382732455E-3</v>
      </c>
      <c r="O56" s="21">
        <f t="shared" si="25"/>
        <v>1.62365741765019E-2</v>
      </c>
      <c r="P56" s="24">
        <f t="shared" si="26"/>
        <v>1</v>
      </c>
      <c r="Q56" s="24">
        <f t="shared" si="27"/>
        <v>1.62365741765019E-2</v>
      </c>
      <c r="R56" s="10">
        <v>1</v>
      </c>
      <c r="S56" s="10">
        <v>1</v>
      </c>
      <c r="T56" s="10">
        <v>77</v>
      </c>
      <c r="U56" s="18">
        <v>776356825</v>
      </c>
      <c r="V56" s="18">
        <v>788893322</v>
      </c>
    </row>
    <row r="57" spans="1:22" ht="15" customHeight="1">
      <c r="A57" s="94">
        <v>50</v>
      </c>
      <c r="B57" s="64" t="s">
        <v>212</v>
      </c>
      <c r="C57" s="65" t="s">
        <v>213</v>
      </c>
      <c r="D57" s="18">
        <v>10057943503.540001</v>
      </c>
      <c r="E57" s="18">
        <v>191606374.15000001</v>
      </c>
      <c r="F57" s="18">
        <v>0</v>
      </c>
      <c r="G57" s="18">
        <v>13426560.23</v>
      </c>
      <c r="H57" s="12">
        <f t="shared" si="21"/>
        <v>178179813.92000002</v>
      </c>
      <c r="I57" s="49">
        <v>9070703445.4099998</v>
      </c>
      <c r="J57" s="13">
        <f t="shared" si="14"/>
        <v>4.2435808252418682E-3</v>
      </c>
      <c r="K57" s="49">
        <v>9899185780.6599998</v>
      </c>
      <c r="L57" s="13">
        <f t="shared" si="22"/>
        <v>3.9604805151236969E-3</v>
      </c>
      <c r="M57" s="13">
        <f t="shared" si="23"/>
        <v>9.1336062328135376E-2</v>
      </c>
      <c r="N57" s="20">
        <f t="shared" si="24"/>
        <v>1.3563297555473116E-3</v>
      </c>
      <c r="O57" s="21">
        <f t="shared" si="25"/>
        <v>1.7999441354874784E-2</v>
      </c>
      <c r="P57" s="24">
        <f t="shared" si="26"/>
        <v>183.66231610630425</v>
      </c>
      <c r="Q57" s="24">
        <f t="shared" si="27"/>
        <v>3.3058190878558973</v>
      </c>
      <c r="R57" s="10">
        <v>100</v>
      </c>
      <c r="S57" s="10">
        <v>100</v>
      </c>
      <c r="T57" s="10">
        <v>107</v>
      </c>
      <c r="U57" s="18">
        <v>150000000</v>
      </c>
      <c r="V57" s="18">
        <v>53898839.950000003</v>
      </c>
    </row>
    <row r="58" spans="1:22" ht="15" customHeight="1">
      <c r="A58" s="94">
        <v>51</v>
      </c>
      <c r="B58" s="64" t="s">
        <v>214</v>
      </c>
      <c r="C58" s="65" t="s">
        <v>110</v>
      </c>
      <c r="D58" s="18">
        <v>50000000</v>
      </c>
      <c r="E58" s="18">
        <v>1010761.85</v>
      </c>
      <c r="F58" s="18">
        <v>0</v>
      </c>
      <c r="G58" s="18">
        <v>59926.58</v>
      </c>
      <c r="H58" s="12">
        <f t="shared" si="21"/>
        <v>950835.27</v>
      </c>
      <c r="I58" s="49">
        <v>52474888.850000001</v>
      </c>
      <c r="J58" s="13">
        <f t="shared" si="14"/>
        <v>2.4549521817212604E-5</v>
      </c>
      <c r="K58" s="49">
        <v>52595835.259999998</v>
      </c>
      <c r="L58" s="13">
        <f t="shared" si="22"/>
        <v>2.1042617578796238E-5</v>
      </c>
      <c r="M58" s="13">
        <f t="shared" si="23"/>
        <v>2.3048435670959297E-3</v>
      </c>
      <c r="N58" s="20">
        <f t="shared" si="24"/>
        <v>1.1393788063971512E-3</v>
      </c>
      <c r="O58" s="21">
        <f t="shared" si="25"/>
        <v>1.8078147543425856E-2</v>
      </c>
      <c r="P58" s="24">
        <f t="shared" si="26"/>
        <v>1018.4109838319295</v>
      </c>
      <c r="Q58" s="24">
        <f t="shared" si="27"/>
        <v>18.410984025559106</v>
      </c>
      <c r="R58" s="10">
        <v>1000</v>
      </c>
      <c r="S58" s="10">
        <v>1000</v>
      </c>
      <c r="T58" s="10">
        <v>32</v>
      </c>
      <c r="U58" s="18">
        <v>51625</v>
      </c>
      <c r="V58" s="18">
        <v>51645</v>
      </c>
    </row>
    <row r="59" spans="1:22">
      <c r="A59" s="94">
        <v>52</v>
      </c>
      <c r="B59" s="19" t="s">
        <v>85</v>
      </c>
      <c r="C59" s="19" t="s">
        <v>46</v>
      </c>
      <c r="D59" s="18">
        <v>1180904862913.1399</v>
      </c>
      <c r="E59" s="18">
        <v>21757257684.830002</v>
      </c>
      <c r="F59" s="18">
        <v>0</v>
      </c>
      <c r="G59" s="18">
        <v>1837980078.25</v>
      </c>
      <c r="H59" s="12">
        <f t="shared" si="21"/>
        <v>19919277606.580002</v>
      </c>
      <c r="I59" s="49">
        <v>1000033677468.4399</v>
      </c>
      <c r="J59" s="13">
        <f t="shared" si="14"/>
        <v>0.46784946325729698</v>
      </c>
      <c r="K59" s="49">
        <v>1189850824865.2</v>
      </c>
      <c r="L59" s="13">
        <f t="shared" si="22"/>
        <v>0.47603723298021566</v>
      </c>
      <c r="M59" s="13">
        <f t="shared" si="23"/>
        <v>0.18981075505104722</v>
      </c>
      <c r="N59" s="20">
        <f t="shared" si="24"/>
        <v>1.5447147153578916E-3</v>
      </c>
      <c r="O59" s="21">
        <f t="shared" si="25"/>
        <v>1.6740987349264297E-2</v>
      </c>
      <c r="P59" s="24">
        <f t="shared" si="26"/>
        <v>1</v>
      </c>
      <c r="Q59" s="24">
        <f t="shared" si="27"/>
        <v>1.6740987349264297E-2</v>
      </c>
      <c r="R59" s="10">
        <v>100</v>
      </c>
      <c r="S59" s="10">
        <v>100</v>
      </c>
      <c r="T59" s="10">
        <v>169701</v>
      </c>
      <c r="U59" s="18">
        <v>1000033677468.4399</v>
      </c>
      <c r="V59" s="18">
        <v>1189850824865.2</v>
      </c>
    </row>
    <row r="60" spans="1:22">
      <c r="A60" s="94">
        <v>53</v>
      </c>
      <c r="B60" s="19" t="s">
        <v>287</v>
      </c>
      <c r="C60" s="19" t="s">
        <v>288</v>
      </c>
      <c r="D60" s="18">
        <v>1597265932.47</v>
      </c>
      <c r="E60" s="18">
        <v>91493560.799999997</v>
      </c>
      <c r="F60" s="18">
        <v>0</v>
      </c>
      <c r="G60" s="18">
        <v>16216859.460000001</v>
      </c>
      <c r="H60" s="12">
        <f t="shared" si="21"/>
        <v>75276701.340000004</v>
      </c>
      <c r="I60" s="49">
        <v>0</v>
      </c>
      <c r="J60" s="13">
        <f t="shared" si="14"/>
        <v>0</v>
      </c>
      <c r="K60" s="49">
        <v>2754940914.7789998</v>
      </c>
      <c r="L60" s="13">
        <f t="shared" si="22"/>
        <v>1.1022007319648293E-3</v>
      </c>
      <c r="M60" s="13" t="e">
        <f t="shared" si="23"/>
        <v>#DIV/0!</v>
      </c>
      <c r="N60" s="20">
        <f t="shared" si="24"/>
        <v>5.8864636163352742E-3</v>
      </c>
      <c r="O60" s="21">
        <f t="shared" si="25"/>
        <v>2.7324252558802581E-2</v>
      </c>
      <c r="P60" s="24">
        <f t="shared" si="26"/>
        <v>99.999999991978044</v>
      </c>
      <c r="Q60" s="24">
        <f t="shared" si="27"/>
        <v>2.732425255661064</v>
      </c>
      <c r="R60" s="10">
        <v>100</v>
      </c>
      <c r="S60" s="10">
        <v>100</v>
      </c>
      <c r="T60" s="10">
        <v>455</v>
      </c>
      <c r="U60" s="18">
        <v>21091173.75</v>
      </c>
      <c r="V60" s="18">
        <v>27549409.149999999</v>
      </c>
    </row>
    <row r="61" spans="1:22">
      <c r="A61" s="94">
        <v>54</v>
      </c>
      <c r="B61" s="19" t="s">
        <v>86</v>
      </c>
      <c r="C61" s="19" t="s">
        <v>87</v>
      </c>
      <c r="D61" s="18">
        <v>4531759852.0900002</v>
      </c>
      <c r="E61" s="18">
        <v>81567965.560000002</v>
      </c>
      <c r="F61" s="18">
        <v>0</v>
      </c>
      <c r="G61" s="18">
        <v>6299339.5800000001</v>
      </c>
      <c r="H61" s="12">
        <f t="shared" si="21"/>
        <v>75268625.980000004</v>
      </c>
      <c r="I61" s="49">
        <v>3891445650.2199998</v>
      </c>
      <c r="J61" s="13">
        <f t="shared" si="14"/>
        <v>1.8205494472538167E-3</v>
      </c>
      <c r="K61" s="49">
        <v>4531727167.8599997</v>
      </c>
      <c r="L61" s="13">
        <f t="shared" si="22"/>
        <v>1.8130599370334885E-3</v>
      </c>
      <c r="M61" s="13">
        <f t="shared" si="23"/>
        <v>0.16453564438290486</v>
      </c>
      <c r="N61" s="20">
        <f t="shared" si="24"/>
        <v>1.3900526988200644E-3</v>
      </c>
      <c r="O61" s="21">
        <f t="shared" si="25"/>
        <v>1.660925805812441E-2</v>
      </c>
      <c r="P61" s="24">
        <f t="shared" si="26"/>
        <v>1.0445513163984284</v>
      </c>
      <c r="Q61" s="24">
        <f t="shared" si="27"/>
        <v>1.7349222369015056E-2</v>
      </c>
      <c r="R61" s="10">
        <v>1</v>
      </c>
      <c r="S61" s="10">
        <v>1</v>
      </c>
      <c r="T61" s="10">
        <v>448</v>
      </c>
      <c r="U61" s="18">
        <v>3771946306.8800001</v>
      </c>
      <c r="V61" s="18">
        <v>4338443786.0699997</v>
      </c>
    </row>
    <row r="62" spans="1:22">
      <c r="A62" s="94">
        <v>55</v>
      </c>
      <c r="B62" s="19" t="s">
        <v>88</v>
      </c>
      <c r="C62" s="19" t="s">
        <v>50</v>
      </c>
      <c r="D62" s="18">
        <v>35524513303</v>
      </c>
      <c r="E62" s="18">
        <v>2061098959</v>
      </c>
      <c r="F62" s="18">
        <v>0</v>
      </c>
      <c r="G62" s="18">
        <v>153257179</v>
      </c>
      <c r="H62" s="12">
        <f t="shared" si="21"/>
        <v>1907841780</v>
      </c>
      <c r="I62" s="49">
        <v>98844216092.389252</v>
      </c>
      <c r="J62" s="13">
        <f t="shared" si="14"/>
        <v>4.6242656109320886E-2</v>
      </c>
      <c r="K62" s="49">
        <v>116631764588</v>
      </c>
      <c r="L62" s="13">
        <f t="shared" si="22"/>
        <v>4.6662204481273097E-2</v>
      </c>
      <c r="M62" s="13">
        <f t="shared" si="23"/>
        <v>0.17995538028228991</v>
      </c>
      <c r="N62" s="20">
        <f t="shared" si="24"/>
        <v>1.3140260677816094E-3</v>
      </c>
      <c r="O62" s="21">
        <f t="shared" si="25"/>
        <v>1.6357823160263615E-2</v>
      </c>
      <c r="P62" s="24">
        <f t="shared" si="26"/>
        <v>1.0313655685246759</v>
      </c>
      <c r="Q62" s="24">
        <f t="shared" si="27"/>
        <v>1.6870895583511392E-2</v>
      </c>
      <c r="R62" s="10">
        <v>1</v>
      </c>
      <c r="S62" s="10">
        <v>1</v>
      </c>
      <c r="T62" s="10">
        <v>12817</v>
      </c>
      <c r="U62" s="18">
        <v>97305010097.149994</v>
      </c>
      <c r="V62" s="18">
        <v>113084795680</v>
      </c>
    </row>
    <row r="63" spans="1:22">
      <c r="A63" s="94">
        <v>56</v>
      </c>
      <c r="B63" s="82" t="s">
        <v>89</v>
      </c>
      <c r="C63" s="19" t="s">
        <v>90</v>
      </c>
      <c r="D63" s="18">
        <v>1005404578.59</v>
      </c>
      <c r="E63" s="18">
        <v>29161274.079999998</v>
      </c>
      <c r="F63" s="18">
        <v>0</v>
      </c>
      <c r="G63" s="18">
        <v>2502471.9500000002</v>
      </c>
      <c r="H63" s="12">
        <f t="shared" si="21"/>
        <v>26658802.129999999</v>
      </c>
      <c r="I63" s="49">
        <v>1568846781.6199999</v>
      </c>
      <c r="J63" s="13">
        <f t="shared" si="14"/>
        <v>7.339594068190954E-4</v>
      </c>
      <c r="K63" s="49">
        <v>1445679274.8399999</v>
      </c>
      <c r="L63" s="13">
        <f t="shared" si="22"/>
        <v>5.7838944797945172E-4</v>
      </c>
      <c r="M63" s="13">
        <f t="shared" si="23"/>
        <v>-7.8508308282862732E-2</v>
      </c>
      <c r="N63" s="20">
        <f t="shared" si="24"/>
        <v>1.7310007783551855E-3</v>
      </c>
      <c r="O63" s="21">
        <f t="shared" si="25"/>
        <v>1.8440329465849507E-2</v>
      </c>
      <c r="P63" s="24">
        <f t="shared" si="26"/>
        <v>1.0704377016587951</v>
      </c>
      <c r="Q63" s="24">
        <f t="shared" si="27"/>
        <v>1.9739223891254903E-2</v>
      </c>
      <c r="R63" s="10">
        <v>1</v>
      </c>
      <c r="S63" s="10">
        <v>1</v>
      </c>
      <c r="T63" s="10">
        <v>152</v>
      </c>
      <c r="U63" s="18">
        <v>1451439437.7</v>
      </c>
      <c r="V63" s="18">
        <v>1350549660.76</v>
      </c>
    </row>
    <row r="64" spans="1:22">
      <c r="A64" s="94">
        <v>57</v>
      </c>
      <c r="B64" s="19" t="s">
        <v>91</v>
      </c>
      <c r="C64" s="19" t="s">
        <v>92</v>
      </c>
      <c r="D64" s="18">
        <v>4154252423.1500001</v>
      </c>
      <c r="E64" s="18">
        <v>66572608.299999997</v>
      </c>
      <c r="F64" s="18">
        <v>0</v>
      </c>
      <c r="G64" s="18">
        <v>5491042.96</v>
      </c>
      <c r="H64" s="12">
        <f t="shared" si="21"/>
        <v>61081565.339999996</v>
      </c>
      <c r="I64" s="49">
        <v>3535352693.5900002</v>
      </c>
      <c r="J64" s="13">
        <f t="shared" si="14"/>
        <v>1.6539571590312965E-3</v>
      </c>
      <c r="K64" s="49">
        <v>4138759633.1799998</v>
      </c>
      <c r="L64" s="13">
        <f t="shared" si="22"/>
        <v>1.6558409193626663E-3</v>
      </c>
      <c r="M64" s="13">
        <f t="shared" si="23"/>
        <v>0.1706780035508326</v>
      </c>
      <c r="N64" s="20">
        <f t="shared" si="24"/>
        <v>1.3267363767586035E-3</v>
      </c>
      <c r="O64" s="21">
        <f t="shared" si="25"/>
        <v>1.4758422994733863E-2</v>
      </c>
      <c r="P64" s="24">
        <f t="shared" si="26"/>
        <v>1.0373673147442908</v>
      </c>
      <c r="Q64" s="24">
        <f t="shared" si="27"/>
        <v>1.5309905631907463E-2</v>
      </c>
      <c r="R64" s="10">
        <v>1</v>
      </c>
      <c r="S64" s="10">
        <v>1</v>
      </c>
      <c r="T64" s="10">
        <v>380</v>
      </c>
      <c r="U64" s="18">
        <v>3445516474.3699999</v>
      </c>
      <c r="V64" s="18">
        <v>3989676148.8000002</v>
      </c>
    </row>
    <row r="65" spans="1:24">
      <c r="A65" s="94">
        <v>58</v>
      </c>
      <c r="B65" s="19" t="s">
        <v>283</v>
      </c>
      <c r="C65" s="19" t="s">
        <v>284</v>
      </c>
      <c r="D65" s="18">
        <v>2538944404.8699999</v>
      </c>
      <c r="E65" s="18">
        <v>96408132.209999993</v>
      </c>
      <c r="F65" s="18">
        <v>0</v>
      </c>
      <c r="G65" s="18">
        <v>8435260.6400000006</v>
      </c>
      <c r="H65" s="12">
        <f t="shared" si="21"/>
        <v>87972871.569999993</v>
      </c>
      <c r="I65" s="49">
        <v>0</v>
      </c>
      <c r="J65" s="13">
        <f t="shared" si="14"/>
        <v>0</v>
      </c>
      <c r="K65" s="49">
        <v>5495751881.8500004</v>
      </c>
      <c r="L65" s="13">
        <f t="shared" si="22"/>
        <v>2.1987483340847195E-3</v>
      </c>
      <c r="M65" s="13" t="e">
        <f t="shared" si="23"/>
        <v>#DIV/0!</v>
      </c>
      <c r="N65" s="20">
        <f t="shared" si="24"/>
        <v>1.5348692629042948E-3</v>
      </c>
      <c r="O65" s="21">
        <f t="shared" si="25"/>
        <v>1.6007431460021853E-2</v>
      </c>
      <c r="P65" s="24">
        <f t="shared" si="26"/>
        <v>0.9994967304614033</v>
      </c>
      <c r="Q65" s="24">
        <f t="shared" si="27"/>
        <v>1.5999375407376847E-2</v>
      </c>
      <c r="R65" s="10">
        <v>1</v>
      </c>
      <c r="S65" s="10">
        <v>1</v>
      </c>
      <c r="T65" s="10">
        <v>1463</v>
      </c>
      <c r="U65" s="18">
        <v>3851052660.5100002</v>
      </c>
      <c r="V65" s="18">
        <v>5498519119.0299997</v>
      </c>
    </row>
    <row r="66" spans="1:24">
      <c r="A66" s="94">
        <v>59</v>
      </c>
      <c r="B66" s="19" t="s">
        <v>93</v>
      </c>
      <c r="C66" s="19" t="s">
        <v>94</v>
      </c>
      <c r="D66" s="18">
        <v>79723890051.639999</v>
      </c>
      <c r="E66" s="18">
        <v>1480868921.9300001</v>
      </c>
      <c r="F66" s="18">
        <v>0</v>
      </c>
      <c r="G66" s="18">
        <v>72301372.129999995</v>
      </c>
      <c r="H66" s="12">
        <f t="shared" si="21"/>
        <v>1408567549.8000002</v>
      </c>
      <c r="I66" s="49">
        <v>72559996044.25</v>
      </c>
      <c r="J66" s="13">
        <f t="shared" si="14"/>
        <v>3.3946011987506582E-2</v>
      </c>
      <c r="K66" s="49">
        <v>83055913803.339996</v>
      </c>
      <c r="L66" s="13">
        <f t="shared" si="22"/>
        <v>3.3229129705452415E-2</v>
      </c>
      <c r="M66" s="13">
        <f t="shared" si="23"/>
        <v>0.14465157567937523</v>
      </c>
      <c r="N66" s="20">
        <f t="shared" si="24"/>
        <v>8.7051443803502499E-4</v>
      </c>
      <c r="O66" s="21">
        <f t="shared" si="25"/>
        <v>1.6959268585440043E-2</v>
      </c>
      <c r="P66" s="24">
        <f t="shared" si="26"/>
        <v>1.0440814889540782</v>
      </c>
      <c r="Q66" s="24">
        <f t="shared" si="27"/>
        <v>1.7706858396258365E-2</v>
      </c>
      <c r="R66" s="10">
        <v>1</v>
      </c>
      <c r="S66" s="10">
        <v>1</v>
      </c>
      <c r="T66" s="10">
        <v>4977</v>
      </c>
      <c r="U66" s="18">
        <v>70366558915.240005</v>
      </c>
      <c r="V66" s="18">
        <v>79549263809.419998</v>
      </c>
    </row>
    <row r="67" spans="1:24" ht="15" customHeight="1">
      <c r="A67" s="95" t="s">
        <v>51</v>
      </c>
      <c r="B67" s="95"/>
      <c r="C67" s="95"/>
      <c r="D67" s="95"/>
      <c r="E67" s="95"/>
      <c r="F67" s="95"/>
      <c r="G67" s="95"/>
      <c r="H67" s="95"/>
      <c r="I67" s="26">
        <f>SUM(I27:I66)</f>
        <v>2137511648524.5696</v>
      </c>
      <c r="J67" s="35">
        <f>(I67/$I$214)</f>
        <v>0.48872761812677296</v>
      </c>
      <c r="K67" s="37">
        <f>SUM(K27:K66)</f>
        <v>2499491095299.7886</v>
      </c>
      <c r="L67" s="35">
        <f>(K67/$K$214)</f>
        <v>0.52052294562791568</v>
      </c>
      <c r="M67" s="35">
        <f t="shared" si="16"/>
        <v>0.1693461867331004</v>
      </c>
      <c r="N67" s="20"/>
      <c r="O67" s="20"/>
      <c r="P67" s="38"/>
      <c r="Q67" s="38"/>
      <c r="R67" s="37"/>
      <c r="S67" s="37"/>
      <c r="T67" s="37">
        <f>SUM(T27:T66)</f>
        <v>381102</v>
      </c>
      <c r="U67" s="37"/>
      <c r="V67" s="37"/>
    </row>
    <row r="68" spans="1:24" ht="6.9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5"/>
    </row>
    <row r="69" spans="1:24">
      <c r="A69" s="98" t="s">
        <v>95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4">
      <c r="A70" s="84">
        <v>60</v>
      </c>
      <c r="B70" s="19" t="s">
        <v>96</v>
      </c>
      <c r="C70" s="19" t="s">
        <v>24</v>
      </c>
      <c r="D70" s="10">
        <v>536591529.57999998</v>
      </c>
      <c r="E70" s="10">
        <v>8240360.4800000004</v>
      </c>
      <c r="F70" s="10">
        <v>0</v>
      </c>
      <c r="G70" s="10">
        <v>782568.36</v>
      </c>
      <c r="H70" s="12">
        <f>(E70+F70)-G70</f>
        <v>7457792.1200000001</v>
      </c>
      <c r="I70" s="10">
        <v>544697235.75999999</v>
      </c>
      <c r="J70" s="13">
        <f t="shared" ref="J70:J106" si="29">(I70/$I$107)</f>
        <v>2.8511637008570207E-3</v>
      </c>
      <c r="K70" s="10">
        <v>549174732.63</v>
      </c>
      <c r="L70" s="13">
        <f t="shared" ref="L70" si="30">(K70/$K$107)</f>
        <v>2.7916201413318311E-3</v>
      </c>
      <c r="M70" s="13">
        <f t="shared" ref="M70:M107" si="31">((K70-I70)/I70)</f>
        <v>8.2201571369325665E-3</v>
      </c>
      <c r="N70" s="20">
        <f t="shared" ref="N70" si="32">(G70/K70)</f>
        <v>1.4249897409742015E-3</v>
      </c>
      <c r="O70" s="21">
        <f t="shared" ref="O70" si="33">H70/K70</f>
        <v>1.3579998635925225E-2</v>
      </c>
      <c r="P70" s="24">
        <f t="shared" ref="P70" si="34">K70/V70</f>
        <v>1.4852364284253083</v>
      </c>
      <c r="Q70" s="24">
        <f t="shared" ref="Q70" si="35">H70/V70</f>
        <v>2.016950867204214E-2</v>
      </c>
      <c r="R70" s="10">
        <v>1.43</v>
      </c>
      <c r="S70" s="10">
        <v>1.43</v>
      </c>
      <c r="T70" s="17">
        <v>363</v>
      </c>
      <c r="U70" s="10">
        <v>369868074.52999997</v>
      </c>
      <c r="V70" s="10">
        <v>369755765.56</v>
      </c>
    </row>
    <row r="71" spans="1:24" ht="12.9" customHeight="1">
      <c r="A71" s="84">
        <v>61</v>
      </c>
      <c r="B71" s="19" t="s">
        <v>97</v>
      </c>
      <c r="C71" s="70" t="s">
        <v>26</v>
      </c>
      <c r="D71" s="10">
        <v>959162353.65999997</v>
      </c>
      <c r="E71" s="10">
        <v>15334822.33</v>
      </c>
      <c r="F71" s="10">
        <v>-3834906.39</v>
      </c>
      <c r="G71" s="10">
        <v>2767503.98</v>
      </c>
      <c r="H71" s="12">
        <f t="shared" ref="H71:H106" si="36">(E71+F71)-G71</f>
        <v>8732411.959999999</v>
      </c>
      <c r="I71" s="10">
        <v>1328339630</v>
      </c>
      <c r="J71" s="13">
        <f t="shared" si="29"/>
        <v>6.9530621542103453E-3</v>
      </c>
      <c r="K71" s="10">
        <v>1297235739</v>
      </c>
      <c r="L71" s="13">
        <f t="shared" ref="L71:L106" si="37">(K71/$K$107)</f>
        <v>6.5942389587099791E-3</v>
      </c>
      <c r="M71" s="13">
        <f t="shared" ref="M71:M106" si="38">((K71-I71)/I71)</f>
        <v>-2.3415616230617164E-2</v>
      </c>
      <c r="N71" s="20">
        <f t="shared" ref="N71:N106" si="39">(G71/K71)</f>
        <v>2.1333855495943902E-3</v>
      </c>
      <c r="O71" s="21">
        <f t="shared" ref="O71:O106" si="40">H71/K71</f>
        <v>6.7315536393805749E-3</v>
      </c>
      <c r="P71" s="24">
        <f t="shared" ref="P71:P106" si="41">K71/V71</f>
        <v>1.2302817736810678</v>
      </c>
      <c r="Q71" s="24">
        <f t="shared" ref="Q71:Q106" si="42">H71/V71</f>
        <v>8.2817077510863816E-3</v>
      </c>
      <c r="R71" s="10">
        <v>1.2302999999999999</v>
      </c>
      <c r="S71" s="10">
        <v>1.2302999999999999</v>
      </c>
      <c r="T71" s="17">
        <v>901</v>
      </c>
      <c r="U71" s="10">
        <v>1086820904</v>
      </c>
      <c r="V71" s="10">
        <v>1054421651</v>
      </c>
    </row>
    <row r="72" spans="1:24" ht="15" customHeight="1">
      <c r="A72" s="93">
        <v>62</v>
      </c>
      <c r="B72" s="19" t="s">
        <v>98</v>
      </c>
      <c r="C72" s="19" t="s">
        <v>99</v>
      </c>
      <c r="D72" s="10">
        <v>609596538.08000004</v>
      </c>
      <c r="E72" s="10">
        <v>10307443.539999999</v>
      </c>
      <c r="F72" s="10">
        <v>0</v>
      </c>
      <c r="G72" s="10">
        <v>2093714.23</v>
      </c>
      <c r="H72" s="12">
        <f t="shared" si="36"/>
        <v>8213729.3099999987</v>
      </c>
      <c r="I72" s="10">
        <v>844796989</v>
      </c>
      <c r="J72" s="13">
        <f t="shared" si="29"/>
        <v>4.422006119178085E-3</v>
      </c>
      <c r="K72" s="10">
        <v>792842850</v>
      </c>
      <c r="L72" s="13">
        <f t="shared" si="37"/>
        <v>4.0302583812830434E-3</v>
      </c>
      <c r="M72" s="13">
        <f t="shared" si="38"/>
        <v>-6.149896327341195E-2</v>
      </c>
      <c r="N72" s="20">
        <f t="shared" si="39"/>
        <v>2.6407682556511673E-3</v>
      </c>
      <c r="O72" s="21">
        <f t="shared" si="40"/>
        <v>1.0359845346401242E-2</v>
      </c>
      <c r="P72" s="24">
        <f t="shared" si="41"/>
        <v>1.1049121398720425</v>
      </c>
      <c r="Q72" s="24">
        <f t="shared" si="42"/>
        <v>1.1446718890435619E-2</v>
      </c>
      <c r="R72" s="10">
        <v>1.1049</v>
      </c>
      <c r="S72" s="10">
        <v>1.1049</v>
      </c>
      <c r="T72" s="17">
        <v>236</v>
      </c>
      <c r="U72" s="10">
        <v>772106906</v>
      </c>
      <c r="V72" s="10">
        <v>717561896</v>
      </c>
    </row>
    <row r="73" spans="1:24">
      <c r="A73" s="93">
        <v>63</v>
      </c>
      <c r="B73" s="19" t="s">
        <v>100</v>
      </c>
      <c r="C73" s="70" t="s">
        <v>101</v>
      </c>
      <c r="D73" s="10">
        <v>232657475.47999999</v>
      </c>
      <c r="E73" s="10">
        <v>3897243.52</v>
      </c>
      <c r="F73" s="10">
        <v>0</v>
      </c>
      <c r="G73" s="10">
        <v>458834.77</v>
      </c>
      <c r="H73" s="12">
        <f t="shared" si="36"/>
        <v>3438408.75</v>
      </c>
      <c r="I73" s="10">
        <v>274499174.75999999</v>
      </c>
      <c r="J73" s="13">
        <f t="shared" si="29"/>
        <v>1.436838727295765E-3</v>
      </c>
      <c r="K73" s="10">
        <v>278485521.95999998</v>
      </c>
      <c r="L73" s="13">
        <f t="shared" si="37"/>
        <v>1.4156255668387157E-3</v>
      </c>
      <c r="M73" s="13">
        <f t="shared" si="38"/>
        <v>1.4522255680678565E-2</v>
      </c>
      <c r="N73" s="20">
        <f t="shared" si="39"/>
        <v>1.6476072679494783E-3</v>
      </c>
      <c r="O73" s="21">
        <f t="shared" si="40"/>
        <v>1.234681331295159E-2</v>
      </c>
      <c r="P73" s="24">
        <f t="shared" si="41"/>
        <v>1111.4080774234744</v>
      </c>
      <c r="Q73" s="24">
        <f t="shared" si="42"/>
        <v>13.722348046454085</v>
      </c>
      <c r="R73" s="10">
        <v>1111.4100000000001</v>
      </c>
      <c r="S73" s="10">
        <v>1111.4100000000001</v>
      </c>
      <c r="T73" s="17">
        <v>110</v>
      </c>
      <c r="U73" s="10">
        <v>250700</v>
      </c>
      <c r="V73" s="10">
        <v>250570</v>
      </c>
    </row>
    <row r="74" spans="1:24">
      <c r="A74" s="93">
        <v>64</v>
      </c>
      <c r="B74" s="19" t="s">
        <v>102</v>
      </c>
      <c r="C74" s="70" t="s">
        <v>103</v>
      </c>
      <c r="D74" s="10">
        <v>1609922248.7</v>
      </c>
      <c r="E74" s="10">
        <v>44476704.060000002</v>
      </c>
      <c r="F74" s="10">
        <v>0</v>
      </c>
      <c r="G74" s="10">
        <v>2460776.12</v>
      </c>
      <c r="H74" s="12">
        <f t="shared" si="36"/>
        <v>42015927.940000005</v>
      </c>
      <c r="I74" s="10">
        <f>1713009987.63-17822372.7</f>
        <v>1695187614.9300001</v>
      </c>
      <c r="J74" s="13">
        <f t="shared" si="29"/>
        <v>8.8732915765344471E-3</v>
      </c>
      <c r="K74" s="10">
        <v>1618942596.27</v>
      </c>
      <c r="L74" s="13">
        <f t="shared" si="37"/>
        <v>8.2295715568769991E-3</v>
      </c>
      <c r="M74" s="13">
        <f t="shared" si="38"/>
        <v>-4.4977333475356054E-2</v>
      </c>
      <c r="N74" s="20">
        <f t="shared" si="39"/>
        <v>1.5199897301297538E-3</v>
      </c>
      <c r="O74" s="21">
        <f t="shared" si="40"/>
        <v>2.5952697789781778E-2</v>
      </c>
      <c r="P74" s="24">
        <f t="shared" si="41"/>
        <v>1.0740245659429382</v>
      </c>
      <c r="Q74" s="24">
        <f t="shared" si="42"/>
        <v>2.7873834978718624E-2</v>
      </c>
      <c r="R74" s="10">
        <v>1.0768</v>
      </c>
      <c r="S74" s="10">
        <v>1.0768</v>
      </c>
      <c r="T74" s="17">
        <v>889</v>
      </c>
      <c r="U74" s="10">
        <v>1618942596.27</v>
      </c>
      <c r="V74" s="10">
        <v>1507360862.6900001</v>
      </c>
    </row>
    <row r="75" spans="1:24">
      <c r="A75" s="93">
        <v>65</v>
      </c>
      <c r="B75" s="19" t="s">
        <v>104</v>
      </c>
      <c r="C75" s="19" t="s">
        <v>105</v>
      </c>
      <c r="D75" s="10">
        <v>440878416.55000001</v>
      </c>
      <c r="E75" s="10">
        <v>6132773.2599999998</v>
      </c>
      <c r="F75" s="10">
        <v>0</v>
      </c>
      <c r="G75" s="10">
        <v>858321.34</v>
      </c>
      <c r="H75" s="12">
        <f t="shared" si="36"/>
        <v>5274451.92</v>
      </c>
      <c r="I75" s="10">
        <v>437413237.39999998</v>
      </c>
      <c r="J75" s="13">
        <f t="shared" si="29"/>
        <v>2.2895962433316583E-3</v>
      </c>
      <c r="K75" s="10">
        <v>443614164.31999999</v>
      </c>
      <c r="L75" s="13">
        <f t="shared" si="37"/>
        <v>2.2550240615861685E-3</v>
      </c>
      <c r="M75" s="13">
        <f t="shared" si="38"/>
        <v>1.4176358623389063E-2</v>
      </c>
      <c r="N75" s="20">
        <f t="shared" si="39"/>
        <v>1.9348375436020839E-3</v>
      </c>
      <c r="O75" s="21">
        <f t="shared" si="40"/>
        <v>1.1889728381610662E-2</v>
      </c>
      <c r="P75" s="24">
        <f t="shared" si="41"/>
        <v>2.5464842504582768</v>
      </c>
      <c r="Q75" s="24">
        <f t="shared" si="42"/>
        <v>3.0277006065998327E-2</v>
      </c>
      <c r="R75" s="10">
        <v>2.5436000000000001</v>
      </c>
      <c r="S75" s="10">
        <v>2.5436000000000001</v>
      </c>
      <c r="T75" s="17">
        <v>1391</v>
      </c>
      <c r="U75" s="10">
        <v>173840253.90000001</v>
      </c>
      <c r="V75" s="10">
        <v>174206521.88999999</v>
      </c>
    </row>
    <row r="76" spans="1:24">
      <c r="A76" s="93">
        <v>66</v>
      </c>
      <c r="B76" s="64" t="s">
        <v>247</v>
      </c>
      <c r="C76" s="65" t="s">
        <v>216</v>
      </c>
      <c r="D76" s="10">
        <v>154440050.53999999</v>
      </c>
      <c r="E76" s="10">
        <v>5195483.2699999996</v>
      </c>
      <c r="F76" s="10">
        <v>0</v>
      </c>
      <c r="G76" s="10">
        <v>364016.85</v>
      </c>
      <c r="H76" s="12">
        <f t="shared" si="36"/>
        <v>4831466.42</v>
      </c>
      <c r="I76" s="10">
        <v>149343134.22</v>
      </c>
      <c r="J76" s="13">
        <f t="shared" si="29"/>
        <v>7.8172183610620573E-4</v>
      </c>
      <c r="K76" s="10">
        <v>153943187.21000001</v>
      </c>
      <c r="L76" s="13">
        <f t="shared" si="37"/>
        <v>7.8253946604239051E-4</v>
      </c>
      <c r="M76" s="13">
        <f t="shared" si="38"/>
        <v>3.0801904714438298E-2</v>
      </c>
      <c r="N76" s="20">
        <f t="shared" si="39"/>
        <v>2.3646181204721333E-3</v>
      </c>
      <c r="O76" s="21">
        <f t="shared" si="40"/>
        <v>3.1384736847166902E-2</v>
      </c>
      <c r="P76" s="24">
        <f t="shared" si="41"/>
        <v>11.841374311663506</v>
      </c>
      <c r="Q76" s="24">
        <f t="shared" si="42"/>
        <v>0.37163841668036129</v>
      </c>
      <c r="R76" s="10">
        <v>11.8</v>
      </c>
      <c r="S76" s="10">
        <v>11.84</v>
      </c>
      <c r="T76" s="17">
        <v>30</v>
      </c>
      <c r="U76" s="10">
        <v>13000449.369999999</v>
      </c>
      <c r="V76" s="10">
        <v>13000449.369999999</v>
      </c>
    </row>
    <row r="77" spans="1:24">
      <c r="A77" s="93">
        <v>67</v>
      </c>
      <c r="B77" s="70" t="s">
        <v>106</v>
      </c>
      <c r="C77" s="19" t="s">
        <v>60</v>
      </c>
      <c r="D77" s="10">
        <v>2073115078.9100001</v>
      </c>
      <c r="E77" s="10">
        <v>22497354.670000002</v>
      </c>
      <c r="F77" s="10">
        <v>0</v>
      </c>
      <c r="G77" s="10">
        <v>3810796.98</v>
      </c>
      <c r="H77" s="12">
        <f t="shared" si="36"/>
        <v>18686557.690000001</v>
      </c>
      <c r="I77" s="10">
        <v>2037860878</v>
      </c>
      <c r="J77" s="13">
        <f t="shared" si="29"/>
        <v>1.0666980813007638E-2</v>
      </c>
      <c r="K77" s="10">
        <v>2046162947.45</v>
      </c>
      <c r="L77" s="13">
        <f t="shared" si="37"/>
        <v>1.0401260941473053E-2</v>
      </c>
      <c r="M77" s="13">
        <f t="shared" si="38"/>
        <v>4.0739137492780547E-3</v>
      </c>
      <c r="N77" s="20">
        <f t="shared" si="39"/>
        <v>1.8624112926827986E-3</v>
      </c>
      <c r="O77" s="21">
        <f t="shared" si="40"/>
        <v>9.132487573039012E-3</v>
      </c>
      <c r="P77" s="24">
        <f t="shared" si="41"/>
        <v>4518.3799339357702</v>
      </c>
      <c r="Q77" s="24">
        <f t="shared" si="42"/>
        <v>41.264048596937251</v>
      </c>
      <c r="R77" s="10">
        <v>4518.38</v>
      </c>
      <c r="S77" s="10">
        <v>4518.38</v>
      </c>
      <c r="T77" s="17">
        <v>1080</v>
      </c>
      <c r="U77" s="10">
        <v>455453.3</v>
      </c>
      <c r="V77" s="10">
        <v>452853.23</v>
      </c>
    </row>
    <row r="78" spans="1:24">
      <c r="A78" s="93">
        <v>68</v>
      </c>
      <c r="B78" s="19" t="s">
        <v>107</v>
      </c>
      <c r="C78" s="19" t="s">
        <v>62</v>
      </c>
      <c r="D78" s="10">
        <v>310678055.10000002</v>
      </c>
      <c r="E78" s="10">
        <v>4987107.8</v>
      </c>
      <c r="F78" s="10">
        <v>0</v>
      </c>
      <c r="G78" s="10">
        <v>779431.09</v>
      </c>
      <c r="H78" s="12">
        <f t="shared" si="36"/>
        <v>4207676.71</v>
      </c>
      <c r="I78" s="10">
        <v>363956727.31999999</v>
      </c>
      <c r="J78" s="13">
        <f t="shared" si="29"/>
        <v>1.90509542088942E-3</v>
      </c>
      <c r="K78" s="10">
        <v>335738368.06999999</v>
      </c>
      <c r="L78" s="13">
        <f t="shared" si="37"/>
        <v>1.7066589827131678E-3</v>
      </c>
      <c r="M78" s="13">
        <f t="shared" si="38"/>
        <v>-7.7532182075012737E-2</v>
      </c>
      <c r="N78" s="20">
        <f t="shared" si="39"/>
        <v>2.3215430946441364E-3</v>
      </c>
      <c r="O78" s="21">
        <f t="shared" si="40"/>
        <v>1.2532606071173603E-2</v>
      </c>
      <c r="P78" s="24">
        <f t="shared" si="41"/>
        <v>113.73994575864886</v>
      </c>
      <c r="Q78" s="24">
        <f t="shared" si="42"/>
        <v>1.4254579347497991</v>
      </c>
      <c r="R78" s="10">
        <v>113.58</v>
      </c>
      <c r="S78" s="10">
        <v>113.58</v>
      </c>
      <c r="T78" s="17">
        <v>136</v>
      </c>
      <c r="U78" s="10">
        <v>3244137</v>
      </c>
      <c r="V78" s="10">
        <v>2951807</v>
      </c>
      <c r="W78" s="15"/>
      <c r="X78" s="15"/>
    </row>
    <row r="79" spans="1:24">
      <c r="A79" s="93">
        <v>69</v>
      </c>
      <c r="B79" s="70" t="s">
        <v>108</v>
      </c>
      <c r="C79" s="70" t="s">
        <v>64</v>
      </c>
      <c r="D79" s="10">
        <v>304604644.79000002</v>
      </c>
      <c r="E79" s="10">
        <v>10623780.866599999</v>
      </c>
      <c r="F79" s="10">
        <v>4838852.5599999996</v>
      </c>
      <c r="G79" s="10">
        <v>2187182.5320000001</v>
      </c>
      <c r="H79" s="12">
        <f t="shared" si="36"/>
        <v>13275450.894599998</v>
      </c>
      <c r="I79" s="10">
        <v>359748140.76999998</v>
      </c>
      <c r="J79" s="13">
        <f t="shared" si="29"/>
        <v>1.8830659916661695E-3</v>
      </c>
      <c r="K79" s="10">
        <v>328642337.44999999</v>
      </c>
      <c r="L79" s="13">
        <f t="shared" si="37"/>
        <v>1.670587727381678E-3</v>
      </c>
      <c r="M79" s="13">
        <f t="shared" si="38"/>
        <v>-8.6465501262693284E-2</v>
      </c>
      <c r="N79" s="20">
        <f t="shared" si="39"/>
        <v>6.6552062310984523E-3</v>
      </c>
      <c r="O79" s="21">
        <f t="shared" si="40"/>
        <v>4.0394828607923164E-2</v>
      </c>
      <c r="P79" s="24">
        <f t="shared" si="41"/>
        <v>1.2743587591115217</v>
      </c>
      <c r="Q79" s="24">
        <f t="shared" si="42"/>
        <v>5.1477503659315561E-2</v>
      </c>
      <c r="R79" s="10">
        <v>1.4005000000000001</v>
      </c>
      <c r="S79" s="10">
        <v>1.4005000000000001</v>
      </c>
      <c r="T79" s="17">
        <v>250</v>
      </c>
      <c r="U79" s="10">
        <v>256874940.24000001</v>
      </c>
      <c r="V79" s="10">
        <v>257888396.88999999</v>
      </c>
    </row>
    <row r="80" spans="1:24">
      <c r="A80" s="93">
        <v>70</v>
      </c>
      <c r="B80" s="64" t="s">
        <v>259</v>
      </c>
      <c r="C80" s="65" t="s">
        <v>64</v>
      </c>
      <c r="D80" s="16">
        <v>20368754.82</v>
      </c>
      <c r="E80" s="10">
        <v>132234.41</v>
      </c>
      <c r="F80" s="10">
        <v>0</v>
      </c>
      <c r="G80" s="10">
        <v>1092237.01</v>
      </c>
      <c r="H80" s="12">
        <f t="shared" si="36"/>
        <v>-960002.6</v>
      </c>
      <c r="I80" s="10">
        <v>22332661.829999998</v>
      </c>
      <c r="J80" s="13">
        <f t="shared" si="29"/>
        <v>1.1689810517280957E-4</v>
      </c>
      <c r="K80" s="10">
        <v>22261252.260000002</v>
      </c>
      <c r="L80" s="13">
        <f t="shared" si="37"/>
        <v>1.1316063265087286E-4</v>
      </c>
      <c r="M80" s="13">
        <f t="shared" si="38"/>
        <v>-3.197539574260261E-3</v>
      </c>
      <c r="N80" s="20">
        <f t="shared" si="39"/>
        <v>4.9064490947913993E-2</v>
      </c>
      <c r="O80" s="21">
        <f t="shared" si="40"/>
        <v>-4.3124375429902245E-2</v>
      </c>
      <c r="P80" s="24">
        <f t="shared" si="41"/>
        <v>0.8884659338041504</v>
      </c>
      <c r="Q80" s="24">
        <f t="shared" si="42"/>
        <v>-3.8314538486048863E-2</v>
      </c>
      <c r="R80" s="17">
        <v>0.89559999999999995</v>
      </c>
      <c r="S80" s="18">
        <v>0.89559999999999995</v>
      </c>
      <c r="T80" s="17">
        <v>1</v>
      </c>
      <c r="U80" s="10">
        <v>25055830.969999999</v>
      </c>
      <c r="V80" s="10">
        <v>25055830.969999999</v>
      </c>
    </row>
    <row r="81" spans="1:22">
      <c r="A81" s="93">
        <v>71</v>
      </c>
      <c r="B81" s="19" t="s">
        <v>241</v>
      </c>
      <c r="C81" s="19" t="s">
        <v>48</v>
      </c>
      <c r="D81" s="10">
        <v>110112312.22</v>
      </c>
      <c r="E81" s="10">
        <v>650429.98</v>
      </c>
      <c r="F81" s="10">
        <v>0</v>
      </c>
      <c r="G81" s="10">
        <v>141768.76999999999</v>
      </c>
      <c r="H81" s="12">
        <f t="shared" si="36"/>
        <v>508661.20999999996</v>
      </c>
      <c r="I81" s="10">
        <v>128786472.63</v>
      </c>
      <c r="J81" s="13">
        <f t="shared" si="29"/>
        <v>6.7412002818729381E-4</v>
      </c>
      <c r="K81" s="10">
        <v>133469504.06</v>
      </c>
      <c r="L81" s="13">
        <f t="shared" si="37"/>
        <v>6.7846558417409728E-4</v>
      </c>
      <c r="M81" s="13">
        <f t="shared" si="38"/>
        <v>3.6362758714995079E-2</v>
      </c>
      <c r="N81" s="20">
        <f t="shared" si="39"/>
        <v>1.0621809903202243E-3</v>
      </c>
      <c r="O81" s="21">
        <f t="shared" si="40"/>
        <v>3.8110669068743669E-3</v>
      </c>
      <c r="P81" s="24">
        <f t="shared" si="41"/>
        <v>135.38921481470061</v>
      </c>
      <c r="Q81" s="24">
        <f t="shared" si="42"/>
        <v>0.51597735612801021</v>
      </c>
      <c r="R81" s="10">
        <v>135.38919999999999</v>
      </c>
      <c r="S81" s="10">
        <v>135.38919999999999</v>
      </c>
      <c r="T81" s="17">
        <v>36</v>
      </c>
      <c r="U81" s="10">
        <v>962943.05</v>
      </c>
      <c r="V81" s="10">
        <v>985820.8</v>
      </c>
    </row>
    <row r="82" spans="1:22">
      <c r="A82" s="93">
        <v>72</v>
      </c>
      <c r="B82" s="19" t="s">
        <v>109</v>
      </c>
      <c r="C82" s="19" t="s">
        <v>110</v>
      </c>
      <c r="D82" s="10">
        <v>1295251068.49</v>
      </c>
      <c r="E82" s="10">
        <v>22440847.940000001</v>
      </c>
      <c r="F82" s="10">
        <v>0</v>
      </c>
      <c r="G82" s="10">
        <v>2607916.0699999998</v>
      </c>
      <c r="H82" s="12">
        <f t="shared" si="36"/>
        <v>19832931.870000001</v>
      </c>
      <c r="I82" s="10">
        <v>1621009109.5</v>
      </c>
      <c r="J82" s="13">
        <f t="shared" si="29"/>
        <v>8.4850115409826794E-3</v>
      </c>
      <c r="K82" s="10">
        <v>1618641578.4200001</v>
      </c>
      <c r="L82" s="13">
        <f t="shared" si="37"/>
        <v>8.2280413927178879E-3</v>
      </c>
      <c r="M82" s="13">
        <f t="shared" si="38"/>
        <v>-1.4605291642871695E-3</v>
      </c>
      <c r="N82" s="20">
        <f t="shared" si="39"/>
        <v>1.6111757567389671E-3</v>
      </c>
      <c r="O82" s="21">
        <f t="shared" si="40"/>
        <v>1.225282492085707E-2</v>
      </c>
      <c r="P82" s="24">
        <f t="shared" si="41"/>
        <v>1060.474580007394</v>
      </c>
      <c r="Q82" s="24">
        <f t="shared" si="42"/>
        <v>12.993809361850033</v>
      </c>
      <c r="R82" s="10">
        <v>1000</v>
      </c>
      <c r="S82" s="10">
        <v>1000</v>
      </c>
      <c r="T82" s="17">
        <v>338</v>
      </c>
      <c r="U82" s="10">
        <v>1528663.99</v>
      </c>
      <c r="V82" s="10">
        <v>1526336.99</v>
      </c>
    </row>
    <row r="83" spans="1:22">
      <c r="A83" s="93">
        <v>73</v>
      </c>
      <c r="B83" s="19" t="s">
        <v>111</v>
      </c>
      <c r="C83" s="19" t="s">
        <v>66</v>
      </c>
      <c r="D83" s="10">
        <v>159362119.06</v>
      </c>
      <c r="E83" s="10">
        <v>2026997.38</v>
      </c>
      <c r="F83" s="10">
        <v>0</v>
      </c>
      <c r="G83" s="10">
        <v>596939.78</v>
      </c>
      <c r="H83" s="12">
        <f t="shared" si="36"/>
        <v>1430057.5999999999</v>
      </c>
      <c r="I83" s="10">
        <v>174454971.08000001</v>
      </c>
      <c r="J83" s="13">
        <f t="shared" si="29"/>
        <v>9.1316725755611792E-4</v>
      </c>
      <c r="K83" s="10">
        <v>174570001.56</v>
      </c>
      <c r="L83" s="13">
        <f t="shared" si="37"/>
        <v>8.8739175980181181E-4</v>
      </c>
      <c r="M83" s="13">
        <f t="shared" si="38"/>
        <v>6.5937060599574214E-4</v>
      </c>
      <c r="N83" s="20">
        <f t="shared" si="39"/>
        <v>3.4194865937194302E-3</v>
      </c>
      <c r="O83" s="21">
        <f t="shared" si="40"/>
        <v>8.1918862761107703E-3</v>
      </c>
      <c r="P83" s="24">
        <f t="shared" si="41"/>
        <v>1051.4174986900196</v>
      </c>
      <c r="Q83" s="24">
        <f t="shared" si="42"/>
        <v>8.6130925779814849</v>
      </c>
      <c r="R83" s="10">
        <v>1051.42</v>
      </c>
      <c r="S83" s="10">
        <v>1061.04</v>
      </c>
      <c r="T83" s="17">
        <v>281</v>
      </c>
      <c r="U83" s="10">
        <v>166941</v>
      </c>
      <c r="V83" s="10">
        <v>166033</v>
      </c>
    </row>
    <row r="84" spans="1:22">
      <c r="A84" s="93">
        <v>74</v>
      </c>
      <c r="B84" s="19" t="s">
        <v>112</v>
      </c>
      <c r="C84" s="70" t="s">
        <v>69</v>
      </c>
      <c r="D84" s="10">
        <v>669124418.16999996</v>
      </c>
      <c r="E84" s="10">
        <v>6410751.5999999996</v>
      </c>
      <c r="F84" s="10">
        <v>0</v>
      </c>
      <c r="G84" s="10">
        <v>1143943.3600000001</v>
      </c>
      <c r="H84" s="12">
        <f t="shared" si="36"/>
        <v>5266808.2399999993</v>
      </c>
      <c r="I84" s="10">
        <v>644634392.96000004</v>
      </c>
      <c r="J84" s="13">
        <f t="shared" si="29"/>
        <v>3.3742748464054605E-3</v>
      </c>
      <c r="K84" s="10">
        <v>661198783.96000004</v>
      </c>
      <c r="L84" s="13">
        <f t="shared" si="37"/>
        <v>3.3610720469371027E-3</v>
      </c>
      <c r="M84" s="13">
        <f t="shared" si="38"/>
        <v>2.5695791569451416E-2</v>
      </c>
      <c r="N84" s="20">
        <f t="shared" si="39"/>
        <v>1.7301050572851692E-3</v>
      </c>
      <c r="O84" s="21">
        <f t="shared" si="40"/>
        <v>7.9655443533281217E-3</v>
      </c>
      <c r="P84" s="24">
        <f t="shared" si="41"/>
        <v>1.190049159399357</v>
      </c>
      <c r="Q84" s="24">
        <f t="shared" si="42"/>
        <v>9.4793893618364267E-3</v>
      </c>
      <c r="R84" s="10">
        <v>1.1780999999999999</v>
      </c>
      <c r="S84" s="10">
        <v>1.1780999999999999</v>
      </c>
      <c r="T84" s="17">
        <v>48</v>
      </c>
      <c r="U84" s="10">
        <v>550797925.19000006</v>
      </c>
      <c r="V84" s="10">
        <v>555606277.88999999</v>
      </c>
    </row>
    <row r="85" spans="1:22">
      <c r="A85" s="93">
        <v>75</v>
      </c>
      <c r="B85" s="19" t="s">
        <v>248</v>
      </c>
      <c r="C85" s="19" t="s">
        <v>30</v>
      </c>
      <c r="D85" s="10">
        <v>12718227879.93</v>
      </c>
      <c r="E85" s="10">
        <v>121985043.33</v>
      </c>
      <c r="F85" s="10">
        <v>0</v>
      </c>
      <c r="G85" s="10">
        <v>15082729.1</v>
      </c>
      <c r="H85" s="12">
        <f t="shared" si="36"/>
        <v>106902314.23</v>
      </c>
      <c r="I85" s="10">
        <v>13031085733.559999</v>
      </c>
      <c r="J85" s="13">
        <f t="shared" si="29"/>
        <v>6.8209926886158165E-2</v>
      </c>
      <c r="K85" s="10">
        <v>12403953866</v>
      </c>
      <c r="L85" s="13">
        <f t="shared" si="37"/>
        <v>6.3053023722790341E-2</v>
      </c>
      <c r="M85" s="13">
        <f t="shared" si="38"/>
        <v>-4.8125833900769799E-2</v>
      </c>
      <c r="N85" s="20">
        <f t="shared" si="39"/>
        <v>1.215961399319832E-3</v>
      </c>
      <c r="O85" s="21">
        <f t="shared" si="40"/>
        <v>8.6184063069619943E-3</v>
      </c>
      <c r="P85" s="24">
        <f t="shared" si="41"/>
        <v>1703.9529376998337</v>
      </c>
      <c r="Q85" s="24">
        <f t="shared" si="42"/>
        <v>14.685358745038664</v>
      </c>
      <c r="R85" s="10">
        <v>1703.95</v>
      </c>
      <c r="S85" s="10">
        <v>1703.95</v>
      </c>
      <c r="T85" s="17">
        <v>2124</v>
      </c>
      <c r="U85" s="10">
        <v>7661967.0099999998</v>
      </c>
      <c r="V85" s="10">
        <v>7279516.7000000002</v>
      </c>
    </row>
    <row r="86" spans="1:22" ht="14.4" customHeight="1">
      <c r="A86" s="93">
        <v>76</v>
      </c>
      <c r="B86" s="19" t="s">
        <v>113</v>
      </c>
      <c r="C86" s="19" t="s">
        <v>75</v>
      </c>
      <c r="D86" s="10">
        <v>23166650.420000002</v>
      </c>
      <c r="E86" s="10">
        <v>303007.62</v>
      </c>
      <c r="F86" s="10">
        <v>0</v>
      </c>
      <c r="G86" s="10">
        <v>246827.95</v>
      </c>
      <c r="H86" s="12">
        <f t="shared" si="36"/>
        <v>56179.669999999984</v>
      </c>
      <c r="I86" s="10">
        <v>23619927.739999998</v>
      </c>
      <c r="J86" s="13">
        <f t="shared" si="29"/>
        <v>1.236361710101031E-4</v>
      </c>
      <c r="K86" s="10">
        <v>23293182.989999998</v>
      </c>
      <c r="L86" s="13">
        <f t="shared" si="37"/>
        <v>1.184062465496247E-4</v>
      </c>
      <c r="M86" s="13">
        <f t="shared" si="38"/>
        <v>-1.3833435630993172E-2</v>
      </c>
      <c r="N86" s="20">
        <f t="shared" si="39"/>
        <v>1.0596574547410106E-2</v>
      </c>
      <c r="O86" s="21">
        <f t="shared" si="40"/>
        <v>2.4118502835837633E-3</v>
      </c>
      <c r="P86" s="24">
        <f t="shared" si="41"/>
        <v>0.71046068615331892</v>
      </c>
      <c r="Q86" s="24">
        <f t="shared" si="42"/>
        <v>1.7135248073739972E-3</v>
      </c>
      <c r="R86" s="10">
        <v>0.70809999999999995</v>
      </c>
      <c r="S86" s="10">
        <v>0.70809999999999995</v>
      </c>
      <c r="T86" s="17">
        <v>746</v>
      </c>
      <c r="U86" s="10">
        <v>32786026.649999999</v>
      </c>
      <c r="V86" s="10">
        <v>32786026.649999999</v>
      </c>
    </row>
    <row r="87" spans="1:22" ht="14.4" customHeight="1">
      <c r="A87" s="93">
        <v>77</v>
      </c>
      <c r="B87" s="19" t="s">
        <v>242</v>
      </c>
      <c r="C87" s="70" t="s">
        <v>36</v>
      </c>
      <c r="D87" s="10">
        <v>10961972120.84</v>
      </c>
      <c r="E87" s="10">
        <v>224799251.56</v>
      </c>
      <c r="F87" s="10">
        <v>0</v>
      </c>
      <c r="G87" s="10">
        <v>3152527.35</v>
      </c>
      <c r="H87" s="12">
        <f t="shared" si="36"/>
        <v>221646724.21000001</v>
      </c>
      <c r="I87" s="10">
        <v>9785999432.7600002</v>
      </c>
      <c r="J87" s="13">
        <f t="shared" si="29"/>
        <v>5.1223844234058923E-2</v>
      </c>
      <c r="K87" s="10">
        <v>9758644393.0400009</v>
      </c>
      <c r="L87" s="13">
        <f t="shared" si="37"/>
        <v>4.9606121004951036E-2</v>
      </c>
      <c r="M87" s="13">
        <f t="shared" si="38"/>
        <v>-2.7953240655649841E-3</v>
      </c>
      <c r="N87" s="20">
        <f t="shared" si="39"/>
        <v>3.23049721152707E-4</v>
      </c>
      <c r="O87" s="21">
        <f t="shared" si="40"/>
        <v>2.2712860032903903E-2</v>
      </c>
      <c r="P87" s="24">
        <f t="shared" si="41"/>
        <v>1</v>
      </c>
      <c r="Q87" s="24">
        <f t="shared" si="42"/>
        <v>2.2712860032903903E-2</v>
      </c>
      <c r="R87" s="10">
        <v>1</v>
      </c>
      <c r="S87" s="10">
        <v>1</v>
      </c>
      <c r="T87" s="17">
        <v>4277</v>
      </c>
      <c r="U87" s="10">
        <v>9785999432.7600002</v>
      </c>
      <c r="V87" s="10">
        <v>9758644393.0400009</v>
      </c>
    </row>
    <row r="88" spans="1:22">
      <c r="A88" s="93">
        <v>78</v>
      </c>
      <c r="B88" s="70" t="s">
        <v>114</v>
      </c>
      <c r="C88" s="70" t="s">
        <v>115</v>
      </c>
      <c r="D88" s="10">
        <v>1600170270.74</v>
      </c>
      <c r="E88" s="10">
        <v>82291948</v>
      </c>
      <c r="F88" s="10">
        <v>0</v>
      </c>
      <c r="G88" s="10">
        <v>3910058.78</v>
      </c>
      <c r="H88" s="12">
        <f t="shared" si="36"/>
        <v>78381889.219999999</v>
      </c>
      <c r="I88" s="10">
        <v>1120925974.0899999</v>
      </c>
      <c r="J88" s="13">
        <f t="shared" si="29"/>
        <v>5.8673759271313346E-3</v>
      </c>
      <c r="K88" s="10">
        <v>1586027595.2</v>
      </c>
      <c r="L88" s="13">
        <f t="shared" si="37"/>
        <v>8.0622547185750498E-3</v>
      </c>
      <c r="M88" s="13">
        <f t="shared" si="38"/>
        <v>0.41492625905790348</v>
      </c>
      <c r="N88" s="20">
        <f t="shared" si="39"/>
        <v>2.4653157308444792E-3</v>
      </c>
      <c r="O88" s="21">
        <f t="shared" si="40"/>
        <v>4.9420255648273223E-2</v>
      </c>
      <c r="P88" s="24">
        <f t="shared" si="41"/>
        <v>346.57357987560295</v>
      </c>
      <c r="Q88" s="24">
        <f t="shared" si="42"/>
        <v>17.127754918389538</v>
      </c>
      <c r="R88" s="10">
        <v>248.70820000000001</v>
      </c>
      <c r="S88" s="10">
        <v>250.92590000000001</v>
      </c>
      <c r="T88" s="17">
        <v>520</v>
      </c>
      <c r="U88" s="10">
        <v>4628867.63</v>
      </c>
      <c r="V88" s="10">
        <v>4576308.43</v>
      </c>
    </row>
    <row r="89" spans="1:22">
      <c r="A89" s="93">
        <v>79</v>
      </c>
      <c r="B89" s="19" t="s">
        <v>116</v>
      </c>
      <c r="C89" s="70" t="s">
        <v>38</v>
      </c>
      <c r="D89" s="10">
        <v>1125937114.74</v>
      </c>
      <c r="E89" s="10">
        <v>13314498.710000001</v>
      </c>
      <c r="F89" s="10">
        <v>0</v>
      </c>
      <c r="G89" s="10">
        <v>1682319.99</v>
      </c>
      <c r="H89" s="12">
        <f t="shared" si="36"/>
        <v>11632178.720000001</v>
      </c>
      <c r="I89" s="10">
        <v>1104298631.8299999</v>
      </c>
      <c r="J89" s="13">
        <f t="shared" si="29"/>
        <v>5.7803417518480843E-3</v>
      </c>
      <c r="K89" s="10">
        <v>1114749388.1400001</v>
      </c>
      <c r="L89" s="13">
        <f t="shared" si="37"/>
        <v>5.666606017297602E-3</v>
      </c>
      <c r="M89" s="13">
        <f t="shared" si="38"/>
        <v>9.4637048428481731E-3</v>
      </c>
      <c r="N89" s="20">
        <f t="shared" si="39"/>
        <v>1.5091463676934706E-3</v>
      </c>
      <c r="O89" s="21">
        <f t="shared" si="40"/>
        <v>1.0434792648246E-2</v>
      </c>
      <c r="P89" s="24">
        <f t="shared" si="41"/>
        <v>3.7078735421209497</v>
      </c>
      <c r="Q89" s="24">
        <f t="shared" si="42"/>
        <v>3.869089157794954E-2</v>
      </c>
      <c r="R89" s="10">
        <v>3.71</v>
      </c>
      <c r="S89" s="10">
        <v>3.71</v>
      </c>
      <c r="T89" s="17">
        <v>773</v>
      </c>
      <c r="U89" s="10">
        <v>300286812</v>
      </c>
      <c r="V89" s="10">
        <v>300643853</v>
      </c>
    </row>
    <row r="90" spans="1:22">
      <c r="A90" s="93">
        <v>80</v>
      </c>
      <c r="B90" s="64" t="s">
        <v>246</v>
      </c>
      <c r="C90" s="65" t="s">
        <v>40</v>
      </c>
      <c r="D90" s="10">
        <v>608031894.25999999</v>
      </c>
      <c r="E90" s="10">
        <v>8183947.2599999998</v>
      </c>
      <c r="F90" s="10">
        <v>0</v>
      </c>
      <c r="G90" s="10">
        <v>1233464.49</v>
      </c>
      <c r="H90" s="12">
        <f t="shared" si="36"/>
        <v>6950482.7699999996</v>
      </c>
      <c r="I90" s="10">
        <v>601533815.53999996</v>
      </c>
      <c r="J90" s="13">
        <f t="shared" si="29"/>
        <v>3.1486691451861003E-3</v>
      </c>
      <c r="K90" s="10">
        <v>603131484.53999996</v>
      </c>
      <c r="L90" s="13">
        <f t="shared" si="37"/>
        <v>3.0658985202212758E-3</v>
      </c>
      <c r="M90" s="13">
        <f t="shared" si="38"/>
        <v>2.6559919970014726E-3</v>
      </c>
      <c r="N90" s="20">
        <f t="shared" si="39"/>
        <v>2.0451004824275525E-3</v>
      </c>
      <c r="O90" s="21">
        <f t="shared" si="40"/>
        <v>1.1523992608843885E-2</v>
      </c>
      <c r="P90" s="24">
        <f t="shared" si="41"/>
        <v>112.78203754961109</v>
      </c>
      <c r="Q90" s="24">
        <f t="shared" si="42"/>
        <v>1.2996993671320718</v>
      </c>
      <c r="R90" s="10">
        <v>108.07</v>
      </c>
      <c r="S90" s="10">
        <v>108.07</v>
      </c>
      <c r="T90" s="17">
        <v>57</v>
      </c>
      <c r="U90" s="10">
        <v>5282574.05</v>
      </c>
      <c r="V90" s="10">
        <v>5347761.91</v>
      </c>
    </row>
    <row r="91" spans="1:22">
      <c r="A91" s="93">
        <v>81</v>
      </c>
      <c r="B91" s="19" t="s">
        <v>245</v>
      </c>
      <c r="C91" s="19" t="s">
        <v>44</v>
      </c>
      <c r="D91" s="10">
        <v>1426659287.24</v>
      </c>
      <c r="E91" s="10">
        <v>15791590.66</v>
      </c>
      <c r="F91" s="10">
        <v>0</v>
      </c>
      <c r="G91" s="10">
        <v>2763806.93</v>
      </c>
      <c r="H91" s="12">
        <f t="shared" si="36"/>
        <v>13027783.73</v>
      </c>
      <c r="I91" s="10">
        <v>1415907755.26</v>
      </c>
      <c r="J91" s="13">
        <f t="shared" si="29"/>
        <v>7.4114288278452024E-3</v>
      </c>
      <c r="K91" s="10">
        <v>1437538201.97</v>
      </c>
      <c r="L91" s="13">
        <f t="shared" si="37"/>
        <v>7.307438525685322E-3</v>
      </c>
      <c r="M91" s="13">
        <f t="shared" si="38"/>
        <v>1.5276734398582405E-2</v>
      </c>
      <c r="N91" s="20">
        <f t="shared" si="39"/>
        <v>1.9225972055646825E-3</v>
      </c>
      <c r="O91" s="21">
        <f t="shared" si="40"/>
        <v>9.0625652328033771E-3</v>
      </c>
      <c r="P91" s="24">
        <f t="shared" si="41"/>
        <v>99.609831001774566</v>
      </c>
      <c r="Q91" s="24">
        <f t="shared" si="42"/>
        <v>0.90272059128210214</v>
      </c>
      <c r="R91" s="10">
        <v>99.61</v>
      </c>
      <c r="S91" s="10">
        <v>99.61</v>
      </c>
      <c r="T91" s="17">
        <v>367</v>
      </c>
      <c r="U91" s="10">
        <v>14316469</v>
      </c>
      <c r="V91" s="10">
        <v>14431690</v>
      </c>
    </row>
    <row r="92" spans="1:22">
      <c r="A92" s="93">
        <v>82</v>
      </c>
      <c r="B92" s="19" t="s">
        <v>119</v>
      </c>
      <c r="C92" s="19" t="s">
        <v>22</v>
      </c>
      <c r="D92" s="10">
        <v>1426085805.1400001</v>
      </c>
      <c r="E92" s="10">
        <v>17507102.59</v>
      </c>
      <c r="F92" s="10">
        <v>72455463.700000003</v>
      </c>
      <c r="G92" s="10">
        <v>2145722.48</v>
      </c>
      <c r="H92" s="12">
        <f t="shared" si="36"/>
        <v>87816843.810000002</v>
      </c>
      <c r="I92" s="10">
        <v>1387665181.98</v>
      </c>
      <c r="J92" s="13">
        <f t="shared" si="29"/>
        <v>7.2635958768621171E-3</v>
      </c>
      <c r="K92" s="10">
        <v>1406125809.4000001</v>
      </c>
      <c r="L92" s="13">
        <f t="shared" si="37"/>
        <v>7.1477598977814499E-3</v>
      </c>
      <c r="M92" s="13">
        <f t="shared" si="38"/>
        <v>1.3303372931544911E-2</v>
      </c>
      <c r="N92" s="20">
        <f t="shared" si="39"/>
        <v>1.5259818614065473E-3</v>
      </c>
      <c r="O92" s="21">
        <f t="shared" si="40"/>
        <v>6.2453048811807119E-2</v>
      </c>
      <c r="P92" s="24">
        <f t="shared" si="41"/>
        <v>354.27288948042411</v>
      </c>
      <c r="Q92" s="24">
        <f t="shared" si="42"/>
        <v>22.125422059420877</v>
      </c>
      <c r="R92" s="10">
        <v>354.27</v>
      </c>
      <c r="S92" s="10">
        <v>354.27</v>
      </c>
      <c r="T92" s="17">
        <v>92</v>
      </c>
      <c r="U92" s="10">
        <v>3961052.54</v>
      </c>
      <c r="V92" s="10">
        <v>3969047.17</v>
      </c>
    </row>
    <row r="93" spans="1:22">
      <c r="A93" s="93">
        <v>83</v>
      </c>
      <c r="B93" s="64" t="s">
        <v>249</v>
      </c>
      <c r="C93" s="65" t="s">
        <v>250</v>
      </c>
      <c r="D93" s="10">
        <v>1342786554.26</v>
      </c>
      <c r="E93" s="10">
        <v>18800244.41</v>
      </c>
      <c r="F93" s="10">
        <v>0</v>
      </c>
      <c r="G93" s="10">
        <v>1729341.84</v>
      </c>
      <c r="H93" s="12">
        <f t="shared" si="36"/>
        <v>17070902.57</v>
      </c>
      <c r="I93" s="10">
        <v>1343452577.8800001</v>
      </c>
      <c r="J93" s="13">
        <f t="shared" si="29"/>
        <v>7.0321693821886163E-3</v>
      </c>
      <c r="K93" s="10">
        <v>1523789854.21</v>
      </c>
      <c r="L93" s="13">
        <f t="shared" si="37"/>
        <v>7.7458815845333276E-3</v>
      </c>
      <c r="M93" s="13">
        <f t="shared" si="38"/>
        <v>0.13423419575745382</v>
      </c>
      <c r="N93" s="20">
        <f t="shared" si="39"/>
        <v>1.1348952319259057E-3</v>
      </c>
      <c r="O93" s="21">
        <f t="shared" si="40"/>
        <v>1.1202924420867936E-2</v>
      </c>
      <c r="P93" s="24">
        <f t="shared" si="41"/>
        <v>104.31154668397218</v>
      </c>
      <c r="Q93" s="24">
        <f t="shared" si="42"/>
        <v>1.1685943737243776</v>
      </c>
      <c r="R93" s="10">
        <v>104.31</v>
      </c>
      <c r="S93" s="10">
        <v>104.31</v>
      </c>
      <c r="T93" s="17">
        <f>363+16+10</f>
        <v>389</v>
      </c>
      <c r="U93" s="10">
        <v>13037921</v>
      </c>
      <c r="V93" s="10">
        <v>14608065</v>
      </c>
    </row>
    <row r="94" spans="1:22">
      <c r="A94" s="93">
        <v>84</v>
      </c>
      <c r="B94" s="70" t="s">
        <v>120</v>
      </c>
      <c r="C94" s="70" t="s">
        <v>42</v>
      </c>
      <c r="D94" s="10">
        <v>58160493.640000001</v>
      </c>
      <c r="E94" s="10">
        <v>2757623.9</v>
      </c>
      <c r="F94" s="10">
        <v>0</v>
      </c>
      <c r="G94" s="10">
        <v>161796.78</v>
      </c>
      <c r="H94" s="12">
        <f t="shared" si="36"/>
        <v>2595827.12</v>
      </c>
      <c r="I94" s="10">
        <v>61056360.93</v>
      </c>
      <c r="J94" s="13">
        <f t="shared" si="29"/>
        <v>3.1959347057664022E-4</v>
      </c>
      <c r="K94" s="10">
        <v>59423775.020000003</v>
      </c>
      <c r="L94" s="13">
        <f t="shared" si="37"/>
        <v>3.0206889968400797E-4</v>
      </c>
      <c r="M94" s="13">
        <f t="shared" si="38"/>
        <v>-2.6738997954229966E-2</v>
      </c>
      <c r="N94" s="20">
        <f t="shared" si="39"/>
        <v>2.7227617219798767E-3</v>
      </c>
      <c r="O94" s="21">
        <f t="shared" si="40"/>
        <v>4.3683308896587836E-2</v>
      </c>
      <c r="P94" s="24">
        <f t="shared" si="41"/>
        <v>12.351382965105746</v>
      </c>
      <c r="Q94" s="24">
        <f t="shared" si="42"/>
        <v>0.53954927736476721</v>
      </c>
      <c r="R94" s="10">
        <v>12.47</v>
      </c>
      <c r="S94" s="10">
        <v>12.85</v>
      </c>
      <c r="T94" s="17">
        <v>58</v>
      </c>
      <c r="U94" s="10">
        <v>4811102.95</v>
      </c>
      <c r="V94" s="10">
        <v>4811102.95</v>
      </c>
    </row>
    <row r="95" spans="1:22">
      <c r="A95" s="93">
        <v>85</v>
      </c>
      <c r="B95" s="64" t="s">
        <v>264</v>
      </c>
      <c r="C95" s="65" t="s">
        <v>265</v>
      </c>
      <c r="D95" s="10">
        <v>524194289.70999998</v>
      </c>
      <c r="E95" s="10">
        <v>7189999.0300000003</v>
      </c>
      <c r="F95" s="10">
        <v>0</v>
      </c>
      <c r="G95" s="10">
        <v>737374.88</v>
      </c>
      <c r="H95" s="12">
        <f t="shared" si="36"/>
        <v>6452624.1500000004</v>
      </c>
      <c r="I95" s="10">
        <v>430503966.43000001</v>
      </c>
      <c r="J95" s="13">
        <f t="shared" si="29"/>
        <v>2.2534303491508973E-3</v>
      </c>
      <c r="K95" s="10">
        <v>509997661.80000001</v>
      </c>
      <c r="L95" s="13">
        <f t="shared" si="37"/>
        <v>2.5924713212765998E-3</v>
      </c>
      <c r="M95" s="13">
        <f t="shared" si="38"/>
        <v>0.18465264334080342</v>
      </c>
      <c r="N95" s="20">
        <f t="shared" si="39"/>
        <v>1.4458397267891161E-3</v>
      </c>
      <c r="O95" s="21">
        <f t="shared" si="40"/>
        <v>1.2652262222587312E-2</v>
      </c>
      <c r="P95" s="24">
        <f t="shared" si="41"/>
        <v>137.04184134196137</v>
      </c>
      <c r="Q95" s="24">
        <f t="shared" si="42"/>
        <v>1.7338893121247019</v>
      </c>
      <c r="R95" s="10">
        <v>137.04</v>
      </c>
      <c r="S95" s="10">
        <v>137.04</v>
      </c>
      <c r="T95" s="17">
        <v>131</v>
      </c>
      <c r="U95" s="10">
        <v>3191945.94</v>
      </c>
      <c r="V95" s="10">
        <v>3721474.09</v>
      </c>
    </row>
    <row r="96" spans="1:22">
      <c r="A96" s="93">
        <v>86</v>
      </c>
      <c r="B96" s="19" t="s">
        <v>121</v>
      </c>
      <c r="C96" s="19" t="s">
        <v>122</v>
      </c>
      <c r="D96" s="10">
        <v>9074000104.9500008</v>
      </c>
      <c r="E96" s="10">
        <v>138333709.80000001</v>
      </c>
      <c r="F96" s="10">
        <v>0</v>
      </c>
      <c r="G96" s="10">
        <v>10397197.689999999</v>
      </c>
      <c r="H96" s="12">
        <f t="shared" si="36"/>
        <v>127936512.11000001</v>
      </c>
      <c r="I96" s="10">
        <v>7997083636</v>
      </c>
      <c r="J96" s="13">
        <f t="shared" si="29"/>
        <v>4.1859941778238187E-2</v>
      </c>
      <c r="K96" s="10">
        <v>8358858641</v>
      </c>
      <c r="L96" s="13">
        <f t="shared" si="37"/>
        <v>4.2490589523321604E-2</v>
      </c>
      <c r="M96" s="13">
        <f t="shared" si="38"/>
        <v>4.5238367068142042E-2</v>
      </c>
      <c r="N96" s="20">
        <f t="shared" si="39"/>
        <v>1.2438537528319949E-3</v>
      </c>
      <c r="O96" s="21">
        <f t="shared" si="40"/>
        <v>1.5305500141188476E-2</v>
      </c>
      <c r="P96" s="24">
        <f t="shared" si="41"/>
        <v>1.0399999999850698</v>
      </c>
      <c r="Q96" s="24">
        <f t="shared" si="42"/>
        <v>1.59177201466075E-2</v>
      </c>
      <c r="R96" s="10">
        <v>1.04</v>
      </c>
      <c r="S96" s="10">
        <v>1.04</v>
      </c>
      <c r="T96" s="17">
        <v>4673</v>
      </c>
      <c r="U96" s="10">
        <v>7764158870</v>
      </c>
      <c r="V96" s="10">
        <v>8037364078</v>
      </c>
    </row>
    <row r="97" spans="1:23">
      <c r="A97" s="93">
        <v>87</v>
      </c>
      <c r="B97" s="70" t="s">
        <v>123</v>
      </c>
      <c r="C97" s="19" t="s">
        <v>46</v>
      </c>
      <c r="D97" s="10">
        <v>4619261583.3999996</v>
      </c>
      <c r="E97" s="10">
        <v>52612047.770000003</v>
      </c>
      <c r="F97" s="10">
        <v>0</v>
      </c>
      <c r="G97" s="10">
        <v>6381830.8200000003</v>
      </c>
      <c r="H97" s="12">
        <f t="shared" si="36"/>
        <v>46230216.950000003</v>
      </c>
      <c r="I97" s="10">
        <v>4718551691.8800001</v>
      </c>
      <c r="J97" s="13">
        <f t="shared" si="29"/>
        <v>2.4698791220657944E-2</v>
      </c>
      <c r="K97" s="10">
        <v>4595337522.9399996</v>
      </c>
      <c r="L97" s="13">
        <f t="shared" si="37"/>
        <v>2.3359481095974306E-2</v>
      </c>
      <c r="M97" s="13">
        <f t="shared" si="38"/>
        <v>-2.6112709362077293E-2</v>
      </c>
      <c r="N97" s="20">
        <f t="shared" si="39"/>
        <v>1.3887621503625789E-3</v>
      </c>
      <c r="O97" s="21">
        <f t="shared" si="40"/>
        <v>1.0060244045016934E-2</v>
      </c>
      <c r="P97" s="24">
        <f t="shared" si="41"/>
        <v>5171.1830393108085</v>
      </c>
      <c r="Q97" s="24">
        <f t="shared" si="42"/>
        <v>52.023363376919136</v>
      </c>
      <c r="R97" s="10">
        <v>5171.18</v>
      </c>
      <c r="S97" s="10">
        <v>5171.18</v>
      </c>
      <c r="T97" s="17">
        <v>255</v>
      </c>
      <c r="U97" s="10">
        <v>912756.36</v>
      </c>
      <c r="V97" s="10">
        <v>888643.37</v>
      </c>
    </row>
    <row r="98" spans="1:23">
      <c r="A98" s="93">
        <v>88</v>
      </c>
      <c r="B98" s="19" t="s">
        <v>124</v>
      </c>
      <c r="C98" s="19" t="s">
        <v>46</v>
      </c>
      <c r="D98" s="10">
        <v>18958194268.470001</v>
      </c>
      <c r="E98" s="10">
        <v>189987237.22</v>
      </c>
      <c r="F98" s="10">
        <v>0</v>
      </c>
      <c r="G98" s="10">
        <v>35472136.219999999</v>
      </c>
      <c r="H98" s="12">
        <f t="shared" si="36"/>
        <v>154515101</v>
      </c>
      <c r="I98" s="10">
        <v>20653555391.580002</v>
      </c>
      <c r="J98" s="13">
        <f t="shared" si="29"/>
        <v>0.10810898892106527</v>
      </c>
      <c r="K98" s="10">
        <v>20130895879.959999</v>
      </c>
      <c r="L98" s="13">
        <f t="shared" si="37"/>
        <v>0.10233139119933424</v>
      </c>
      <c r="M98" s="13">
        <f t="shared" si="38"/>
        <v>-2.5306030933205791E-2</v>
      </c>
      <c r="N98" s="20">
        <f t="shared" si="39"/>
        <v>1.7620743970620787E-3</v>
      </c>
      <c r="O98" s="21">
        <f t="shared" si="40"/>
        <v>7.6755203504786608E-3</v>
      </c>
      <c r="P98" s="24">
        <f t="shared" si="41"/>
        <v>259.02335387854987</v>
      </c>
      <c r="Q98" s="24">
        <f t="shared" si="42"/>
        <v>1.9881390239440451</v>
      </c>
      <c r="R98" s="10">
        <v>259.02</v>
      </c>
      <c r="S98" s="10">
        <v>259.02</v>
      </c>
      <c r="T98" s="17">
        <v>6248</v>
      </c>
      <c r="U98" s="10">
        <v>79740717.230000004</v>
      </c>
      <c r="V98" s="10">
        <v>77718458.890000001</v>
      </c>
    </row>
    <row r="99" spans="1:23">
      <c r="A99" s="93">
        <v>89</v>
      </c>
      <c r="B99" s="70" t="s">
        <v>125</v>
      </c>
      <c r="C99" s="19" t="s">
        <v>46</v>
      </c>
      <c r="D99" s="10">
        <v>442694611.19999999</v>
      </c>
      <c r="E99" s="10">
        <v>7246559.0499999998</v>
      </c>
      <c r="F99" s="10">
        <v>-2619104.25</v>
      </c>
      <c r="G99" s="10">
        <v>529949.6</v>
      </c>
      <c r="H99" s="12">
        <f t="shared" si="36"/>
        <v>4097505.1999999997</v>
      </c>
      <c r="I99" s="10">
        <v>422127781.75</v>
      </c>
      <c r="J99" s="13">
        <f t="shared" si="29"/>
        <v>2.2095860405269168E-3</v>
      </c>
      <c r="K99" s="10">
        <v>445259978.33999997</v>
      </c>
      <c r="L99" s="13">
        <f t="shared" si="37"/>
        <v>2.2633902286622013E-3</v>
      </c>
      <c r="M99" s="13">
        <f t="shared" si="38"/>
        <v>5.4799038561503005E-2</v>
      </c>
      <c r="N99" s="20">
        <f t="shared" si="39"/>
        <v>1.1902026361671587E-3</v>
      </c>
      <c r="O99" s="21">
        <f t="shared" si="40"/>
        <v>9.2025005599563441E-3</v>
      </c>
      <c r="P99" s="24">
        <f t="shared" si="41"/>
        <v>7372.8988469226761</v>
      </c>
      <c r="Q99" s="24">
        <f t="shared" si="42"/>
        <v>67.849105767307407</v>
      </c>
      <c r="R99" s="10">
        <v>7353.92</v>
      </c>
      <c r="S99" s="10">
        <v>7385.91</v>
      </c>
      <c r="T99" s="17">
        <v>15</v>
      </c>
      <c r="U99" s="10">
        <v>57661.279999999999</v>
      </c>
      <c r="V99" s="10">
        <v>60391.44</v>
      </c>
    </row>
    <row r="100" spans="1:23">
      <c r="A100" s="93">
        <v>90</v>
      </c>
      <c r="B100" s="19" t="s">
        <v>126</v>
      </c>
      <c r="C100" s="19" t="s">
        <v>46</v>
      </c>
      <c r="D100" s="10">
        <v>6123074768.2399998</v>
      </c>
      <c r="E100" s="10">
        <v>108466961.76000001</v>
      </c>
      <c r="F100" s="10">
        <v>0</v>
      </c>
      <c r="G100" s="10">
        <v>10292281.4</v>
      </c>
      <c r="H100" s="12">
        <f t="shared" si="36"/>
        <v>98174680.359999999</v>
      </c>
      <c r="I100" s="10">
        <v>7382124069.0100002</v>
      </c>
      <c r="J100" s="13">
        <f t="shared" si="29"/>
        <v>3.8640996867584772E-2</v>
      </c>
      <c r="K100" s="10">
        <v>6133261215.1499996</v>
      </c>
      <c r="L100" s="13">
        <f t="shared" si="37"/>
        <v>3.1177209224951083E-2</v>
      </c>
      <c r="M100" s="13">
        <f t="shared" si="38"/>
        <v>-0.16917391826326791</v>
      </c>
      <c r="N100" s="20">
        <f t="shared" si="39"/>
        <v>1.678109090572671E-3</v>
      </c>
      <c r="O100" s="21">
        <f t="shared" si="40"/>
        <v>1.600692957891554E-2</v>
      </c>
      <c r="P100" s="24">
        <f t="shared" si="41"/>
        <v>143.57433262396469</v>
      </c>
      <c r="Q100" s="24">
        <f t="shared" si="42"/>
        <v>2.2981842316515988</v>
      </c>
      <c r="R100" s="10">
        <v>143.57</v>
      </c>
      <c r="S100" s="10">
        <v>143.57</v>
      </c>
      <c r="T100" s="17">
        <v>4531</v>
      </c>
      <c r="U100" s="10">
        <v>52122815.390000001</v>
      </c>
      <c r="V100" s="10">
        <v>42718368.270000003</v>
      </c>
    </row>
    <row r="101" spans="1:23">
      <c r="A101" s="93">
        <v>91</v>
      </c>
      <c r="B101" s="19" t="s">
        <v>127</v>
      </c>
      <c r="C101" s="19" t="s">
        <v>46</v>
      </c>
      <c r="D101" s="10">
        <v>7449395375.79</v>
      </c>
      <c r="E101" s="10">
        <v>62409433.359999999</v>
      </c>
      <c r="F101" s="10">
        <v>-6573740</v>
      </c>
      <c r="G101" s="10">
        <v>13488656.630000001</v>
      </c>
      <c r="H101" s="12">
        <f t="shared" si="36"/>
        <v>42347036.729999997</v>
      </c>
      <c r="I101" s="10">
        <v>7720599149.6000004</v>
      </c>
      <c r="J101" s="13">
        <f t="shared" si="29"/>
        <v>4.0412711133908076E-2</v>
      </c>
      <c r="K101" s="10">
        <v>7464512856.5500002</v>
      </c>
      <c r="L101" s="13">
        <f t="shared" si="37"/>
        <v>3.7944361234140751E-2</v>
      </c>
      <c r="M101" s="13">
        <f t="shared" si="38"/>
        <v>-3.3169225352577443E-2</v>
      </c>
      <c r="N101" s="20">
        <f t="shared" si="39"/>
        <v>1.8070377651187115E-3</v>
      </c>
      <c r="O101" s="21">
        <f t="shared" si="40"/>
        <v>5.6731145814614137E-3</v>
      </c>
      <c r="P101" s="24">
        <f t="shared" si="41"/>
        <v>360.07977913508012</v>
      </c>
      <c r="Q101" s="24">
        <f t="shared" si="42"/>
        <v>2.0427738455006286</v>
      </c>
      <c r="R101" s="10">
        <v>359.7</v>
      </c>
      <c r="S101" s="10">
        <v>360.34</v>
      </c>
      <c r="T101" s="17">
        <v>10177</v>
      </c>
      <c r="U101" s="10">
        <v>21449137.84</v>
      </c>
      <c r="V101" s="10">
        <v>20730163.949999999</v>
      </c>
    </row>
    <row r="102" spans="1:23">
      <c r="A102" s="93">
        <v>92</v>
      </c>
      <c r="B102" s="19" t="s">
        <v>128</v>
      </c>
      <c r="C102" s="19" t="s">
        <v>50</v>
      </c>
      <c r="D102" s="10">
        <v>79877886000</v>
      </c>
      <c r="E102" s="10">
        <v>738449570</v>
      </c>
      <c r="F102" s="10">
        <v>0</v>
      </c>
      <c r="G102" s="10">
        <v>111574231</v>
      </c>
      <c r="H102" s="12">
        <f t="shared" si="36"/>
        <v>626875339</v>
      </c>
      <c r="I102" s="10">
        <v>88214227930.320358</v>
      </c>
      <c r="J102" s="13">
        <f t="shared" si="29"/>
        <v>0.4617486340335985</v>
      </c>
      <c r="K102" s="10">
        <v>88030616160</v>
      </c>
      <c r="L102" s="13">
        <f t="shared" si="37"/>
        <v>0.44748606686476455</v>
      </c>
      <c r="M102" s="13">
        <f t="shared" si="38"/>
        <v>-2.081430338713519E-3</v>
      </c>
      <c r="N102" s="20">
        <f t="shared" si="39"/>
        <v>1.267448029640146E-3</v>
      </c>
      <c r="O102" s="21">
        <f t="shared" si="40"/>
        <v>7.1211058873042882E-3</v>
      </c>
      <c r="P102" s="24">
        <f t="shared" si="41"/>
        <v>1.9934952131294601</v>
      </c>
      <c r="Q102" s="24">
        <f t="shared" si="42"/>
        <v>1.4195890498529115E-2</v>
      </c>
      <c r="R102" s="10">
        <v>1.99</v>
      </c>
      <c r="S102" s="10">
        <v>1.99</v>
      </c>
      <c r="T102" s="17">
        <v>1377</v>
      </c>
      <c r="U102" s="10">
        <v>44390561005</v>
      </c>
      <c r="V102" s="10">
        <v>44158930295</v>
      </c>
    </row>
    <row r="103" spans="1:23">
      <c r="A103" s="93">
        <v>93</v>
      </c>
      <c r="B103" s="80" t="s">
        <v>263</v>
      </c>
      <c r="C103" s="19" t="s">
        <v>50</v>
      </c>
      <c r="D103" s="10">
        <v>9914492913</v>
      </c>
      <c r="E103" s="10">
        <v>263487851</v>
      </c>
      <c r="F103" s="10"/>
      <c r="G103" s="10">
        <v>27650617</v>
      </c>
      <c r="H103" s="12">
        <f t="shared" si="36"/>
        <v>235837234</v>
      </c>
      <c r="I103" s="10">
        <v>10779854472.929998</v>
      </c>
      <c r="J103" s="13">
        <f t="shared" si="29"/>
        <v>5.6426079950369828E-2</v>
      </c>
      <c r="K103" s="10">
        <v>18315882234</v>
      </c>
      <c r="L103" s="13">
        <f t="shared" si="37"/>
        <v>9.3105131595967214E-2</v>
      </c>
      <c r="M103" s="13">
        <f t="shared" si="38"/>
        <v>0.69908436890258741</v>
      </c>
      <c r="N103" s="20">
        <f t="shared" si="39"/>
        <v>1.5096524779282439E-3</v>
      </c>
      <c r="O103" s="21">
        <f t="shared" si="40"/>
        <v>1.2876105610802215E-2</v>
      </c>
      <c r="P103" s="24">
        <f t="shared" si="41"/>
        <v>112.93383167587565</v>
      </c>
      <c r="Q103" s="24">
        <f t="shared" si="42"/>
        <v>1.4541479436911353</v>
      </c>
      <c r="R103" s="10">
        <v>112.93</v>
      </c>
      <c r="S103" s="10">
        <v>112.93</v>
      </c>
      <c r="T103" s="17">
        <v>80</v>
      </c>
      <c r="U103" s="10">
        <v>95772022</v>
      </c>
      <c r="V103" s="10">
        <v>162182421</v>
      </c>
    </row>
    <row r="104" spans="1:23">
      <c r="A104" s="93">
        <v>94</v>
      </c>
      <c r="B104" s="64" t="s">
        <v>243</v>
      </c>
      <c r="C104" s="64" t="s">
        <v>244</v>
      </c>
      <c r="D104" s="10">
        <v>105566302.37</v>
      </c>
      <c r="E104" s="10">
        <v>1433700.9</v>
      </c>
      <c r="F104" s="10">
        <v>66227.47</v>
      </c>
      <c r="G104" s="10">
        <v>459282.97</v>
      </c>
      <c r="H104" s="12">
        <f t="shared" si="36"/>
        <v>1040645.3999999999</v>
      </c>
      <c r="I104" s="10">
        <v>103022452.33</v>
      </c>
      <c r="J104" s="13">
        <f t="shared" si="29"/>
        <v>5.3926081715235908E-4</v>
      </c>
      <c r="K104" s="10">
        <v>105127178.62</v>
      </c>
      <c r="L104" s="13">
        <f t="shared" si="37"/>
        <v>5.343930297585386E-4</v>
      </c>
      <c r="M104" s="13">
        <f t="shared" si="38"/>
        <v>2.0429782463905814E-2</v>
      </c>
      <c r="N104" s="20">
        <f t="shared" si="39"/>
        <v>4.3688318856169063E-3</v>
      </c>
      <c r="O104" s="21">
        <f t="shared" si="40"/>
        <v>9.898918754032095E-3</v>
      </c>
      <c r="P104" s="24">
        <f t="shared" si="41"/>
        <v>113.49374942822467</v>
      </c>
      <c r="Q104" s="24">
        <f t="shared" si="42"/>
        <v>1.1234654046804726</v>
      </c>
      <c r="R104" s="10">
        <v>113.49379999999999</v>
      </c>
      <c r="S104" s="10">
        <v>113.49379999999999</v>
      </c>
      <c r="T104" s="17">
        <v>74</v>
      </c>
      <c r="U104" s="10">
        <v>916651.02</v>
      </c>
      <c r="V104" s="10">
        <v>926281.66</v>
      </c>
    </row>
    <row r="105" spans="1:23">
      <c r="A105" s="93">
        <v>95</v>
      </c>
      <c r="B105" s="19" t="s">
        <v>285</v>
      </c>
      <c r="C105" s="19" t="s">
        <v>284</v>
      </c>
      <c r="D105" s="10">
        <v>256079208.78</v>
      </c>
      <c r="E105" s="10">
        <v>4542744.6900000004</v>
      </c>
      <c r="F105" s="10">
        <v>0</v>
      </c>
      <c r="G105" s="10">
        <v>514656.82</v>
      </c>
      <c r="H105" s="12">
        <f t="shared" si="36"/>
        <v>4028087.8700000006</v>
      </c>
      <c r="I105" s="10">
        <v>0</v>
      </c>
      <c r="J105" s="13">
        <f t="shared" si="29"/>
        <v>0</v>
      </c>
      <c r="K105" s="10">
        <v>283645360.39999998</v>
      </c>
      <c r="L105" s="13">
        <f t="shared" si="37"/>
        <v>1.4418545756755571E-3</v>
      </c>
      <c r="M105" s="13" t="e">
        <f t="shared" si="38"/>
        <v>#DIV/0!</v>
      </c>
      <c r="N105" s="20">
        <f t="shared" si="39"/>
        <v>1.8144376459189213E-3</v>
      </c>
      <c r="O105" s="21">
        <f t="shared" si="40"/>
        <v>1.420114139825712E-2</v>
      </c>
      <c r="P105" s="24">
        <f t="shared" si="41"/>
        <v>1.178076925237461</v>
      </c>
      <c r="Q105" s="24">
        <f t="shared" si="42"/>
        <v>1.6730036993321165E-2</v>
      </c>
      <c r="R105" s="10">
        <v>1.1778</v>
      </c>
      <c r="S105" s="10">
        <v>1.1778</v>
      </c>
      <c r="T105" s="17">
        <v>43</v>
      </c>
      <c r="U105" s="10">
        <v>240769812.5</v>
      </c>
      <c r="V105" s="10">
        <v>240769812.5</v>
      </c>
    </row>
    <row r="106" spans="1:23">
      <c r="A106" s="93">
        <v>96</v>
      </c>
      <c r="B106" s="70" t="s">
        <v>129</v>
      </c>
      <c r="C106" s="70" t="s">
        <v>94</v>
      </c>
      <c r="D106" s="10">
        <v>1941626371.21</v>
      </c>
      <c r="E106" s="10">
        <v>21052745.920000002</v>
      </c>
      <c r="F106" s="10">
        <v>0</v>
      </c>
      <c r="G106" s="10">
        <v>3569140.32</v>
      </c>
      <c r="H106" s="12">
        <f t="shared" si="36"/>
        <v>17483605.600000001</v>
      </c>
      <c r="I106" s="10">
        <v>2119574535.1500001</v>
      </c>
      <c r="J106" s="13">
        <f t="shared" si="29"/>
        <v>1.1094702853500992E-2</v>
      </c>
      <c r="K106" s="10">
        <v>1977589944.47</v>
      </c>
      <c r="L106" s="13">
        <f t="shared" si="37"/>
        <v>1.0052683767585576E-2</v>
      </c>
      <c r="M106" s="13">
        <f t="shared" si="38"/>
        <v>-6.6987307275774552E-2</v>
      </c>
      <c r="N106" s="20">
        <f t="shared" si="39"/>
        <v>1.8047929147195073E-3</v>
      </c>
      <c r="O106" s="21">
        <f t="shared" si="40"/>
        <v>8.8408649370866725E-3</v>
      </c>
      <c r="P106" s="24">
        <f t="shared" si="41"/>
        <v>28.363197142256823</v>
      </c>
      <c r="Q106" s="24">
        <f t="shared" si="42"/>
        <v>0.25075519511865524</v>
      </c>
      <c r="R106" s="10">
        <v>28.363199999999999</v>
      </c>
      <c r="S106" s="10">
        <v>28.363199999999999</v>
      </c>
      <c r="T106" s="16">
        <v>1298</v>
      </c>
      <c r="U106" s="10">
        <v>73942973.359999999</v>
      </c>
      <c r="V106" s="10">
        <v>69723802.099999994</v>
      </c>
    </row>
    <row r="107" spans="1:23">
      <c r="A107" s="95" t="s">
        <v>51</v>
      </c>
      <c r="B107" s="95"/>
      <c r="C107" s="95"/>
      <c r="D107" s="95"/>
      <c r="E107" s="95"/>
      <c r="F107" s="95"/>
      <c r="G107" s="95"/>
      <c r="H107" s="95"/>
      <c r="I107" s="37">
        <f>SUM(I70:I106)</f>
        <v>191043830838.71033</v>
      </c>
      <c r="J107" s="35">
        <f>(I107/$I$214)</f>
        <v>4.3680883081065373E-2</v>
      </c>
      <c r="K107" s="37">
        <f>SUM(K70:K106)</f>
        <v>196722585748.35999</v>
      </c>
      <c r="L107" s="35">
        <f>(K107/$K$214)</f>
        <v>4.0967787401937066E-2</v>
      </c>
      <c r="M107" s="35">
        <f t="shared" si="31"/>
        <v>2.9724879807524245E-2</v>
      </c>
      <c r="N107" s="20"/>
      <c r="O107" s="20"/>
      <c r="P107" s="38"/>
      <c r="Q107" s="38"/>
      <c r="R107" s="37"/>
      <c r="S107" s="37"/>
      <c r="T107" s="37">
        <f>SUM(T70:T106)</f>
        <v>44395</v>
      </c>
      <c r="U107" s="37"/>
      <c r="V107" s="10"/>
    </row>
    <row r="108" spans="1:23" ht="6.9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5"/>
    </row>
    <row r="109" spans="1:23">
      <c r="A109" s="98" t="s">
        <v>130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</row>
    <row r="110" spans="1:23">
      <c r="A110" s="103" t="s">
        <v>131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</row>
    <row r="111" spans="1:23">
      <c r="A111" s="66">
        <v>97</v>
      </c>
      <c r="B111" s="19" t="s">
        <v>132</v>
      </c>
      <c r="C111" s="19" t="s">
        <v>22</v>
      </c>
      <c r="D111" s="17">
        <f>1953675.68*FX_RATE</f>
        <v>3002439653.0997438</v>
      </c>
      <c r="E111" s="17">
        <v>19457207.620000001</v>
      </c>
      <c r="F111" s="17">
        <v>155975690.65000001</v>
      </c>
      <c r="G111" s="17">
        <v>5922174.7800000003</v>
      </c>
      <c r="H111" s="12">
        <f>(E111+F111)-G111</f>
        <v>169510723.49000001</v>
      </c>
      <c r="I111" s="29">
        <v>2850551156.0799999</v>
      </c>
      <c r="J111" s="13">
        <f t="shared" ref="J111:J127" si="43">(I111/$I$145)</f>
        <v>1.5950490101095712E-3</v>
      </c>
      <c r="K111" s="29">
        <v>2956832948.8099999</v>
      </c>
      <c r="L111" s="13">
        <f t="shared" ref="L111" si="44">(K111/$K$145)</f>
        <v>1.6037463679682443E-3</v>
      </c>
      <c r="M111" s="13">
        <f t="shared" ref="M111" si="45">((K111-I111)/I111)</f>
        <v>3.7284646691328228E-2</v>
      </c>
      <c r="N111" s="20">
        <f t="shared" ref="N111" si="46">(G111/K111)</f>
        <v>2.0028777014215243E-3</v>
      </c>
      <c r="O111" s="21">
        <f t="shared" ref="O111" si="47">H111/K111</f>
        <v>5.7328474900220826E-2</v>
      </c>
      <c r="P111" s="24">
        <f t="shared" ref="P111" si="48">K111/V111</f>
        <v>170697.73241546607</v>
      </c>
      <c r="Q111" s="24">
        <f t="shared" ref="Q111" si="49">H111/V111</f>
        <v>9785.8406683046578</v>
      </c>
      <c r="R111" s="10">
        <f>111.1085*FX_RATE</f>
        <v>170753.29831430002</v>
      </c>
      <c r="S111" s="10">
        <f>111.1085*FX_RATE</f>
        <v>170753.29831430002</v>
      </c>
      <c r="T111" s="10">
        <v>196</v>
      </c>
      <c r="U111" s="10">
        <v>17144.52</v>
      </c>
      <c r="V111" s="10">
        <v>17322.04</v>
      </c>
    </row>
    <row r="112" spans="1:23">
      <c r="A112" s="66">
        <v>98</v>
      </c>
      <c r="B112" s="64" t="s">
        <v>232</v>
      </c>
      <c r="C112" s="65" t="s">
        <v>55</v>
      </c>
      <c r="D112" s="17">
        <f>1906018.3*FX_RATE</f>
        <v>2929199038.52914</v>
      </c>
      <c r="E112" s="17">
        <f>13546.56*FX_RATE</f>
        <v>20818567.443647999</v>
      </c>
      <c r="F112" s="17">
        <v>0</v>
      </c>
      <c r="G112" s="17">
        <f>3681.05*FX_RATE</f>
        <v>5657095.8005900001</v>
      </c>
      <c r="H112" s="12">
        <f t="shared" ref="H112:H127" si="50">(E112+F112)-G112</f>
        <v>15161471.643057998</v>
      </c>
      <c r="I112" s="29">
        <f>1781577.88*1492.491</f>
        <v>2658988951.69908</v>
      </c>
      <c r="J112" s="13">
        <f t="shared" si="43"/>
        <v>1.4878588255656181E-3</v>
      </c>
      <c r="K112" s="29">
        <f>1916233.1*FX_RATE</f>
        <v>2944897304.5629802</v>
      </c>
      <c r="L112" s="13">
        <f t="shared" ref="L112:L127" si="51">(K112/$K$145)</f>
        <v>1.597272635281309E-3</v>
      </c>
      <c r="M112" s="13">
        <f t="shared" ref="M112:M127" si="52">((K112-I112)/I112)</f>
        <v>0.10752521279985246</v>
      </c>
      <c r="N112" s="20">
        <f t="shared" ref="N112:N127" si="53">(G112/K112)</f>
        <v>1.9209823690030194E-3</v>
      </c>
      <c r="O112" s="21">
        <f t="shared" ref="O112:O127" si="54">H112/K112</f>
        <v>5.1483872186530947E-3</v>
      </c>
      <c r="P112" s="24">
        <f t="shared" ref="P112:P127" si="55">K112/V112</f>
        <v>156207.4222894272</v>
      </c>
      <c r="Q112" s="24">
        <f t="shared" ref="Q112:Q127" si="56">H112/V112</f>
        <v>804.21629637363355</v>
      </c>
      <c r="R112" s="10">
        <f>100*FX_RATE</f>
        <v>153681.58000000002</v>
      </c>
      <c r="S112" s="10">
        <f>100*FX_RATE</f>
        <v>153681.58000000002</v>
      </c>
      <c r="T112" s="10">
        <v>57</v>
      </c>
      <c r="U112" s="10">
        <v>17566.48</v>
      </c>
      <c r="V112" s="10">
        <v>18852.48</v>
      </c>
    </row>
    <row r="113" spans="1:24" ht="12.9" customHeight="1">
      <c r="A113" s="66">
        <v>99</v>
      </c>
      <c r="B113" s="19" t="s">
        <v>133</v>
      </c>
      <c r="C113" s="70" t="s">
        <v>26</v>
      </c>
      <c r="D113" s="17">
        <f>8197444.03*FX_RATE</f>
        <v>12597961504.919676</v>
      </c>
      <c r="E113" s="17">
        <f>98253.1*FX_RATE</f>
        <v>150996916.47898</v>
      </c>
      <c r="F113" s="17">
        <f>-5564*FX_RATE</f>
        <v>-8550843.1112000011</v>
      </c>
      <c r="G113" s="17">
        <f>16737.77*FX_RATE</f>
        <v>25722869.392766003</v>
      </c>
      <c r="H113" s="12">
        <f t="shared" si="50"/>
        <v>116723203.975014</v>
      </c>
      <c r="I113" s="29">
        <f>10148071*1492.491</f>
        <v>15145904634.861</v>
      </c>
      <c r="J113" s="13">
        <f t="shared" si="43"/>
        <v>8.4750137332287208E-3</v>
      </c>
      <c r="K113" s="29">
        <f>10311634*FX_RATE</f>
        <v>15847082055.0172</v>
      </c>
      <c r="L113" s="13">
        <f t="shared" si="51"/>
        <v>8.5952438736374738E-3</v>
      </c>
      <c r="M113" s="13">
        <f t="shared" si="52"/>
        <v>4.6294852440990256E-2</v>
      </c>
      <c r="N113" s="20">
        <f t="shared" si="53"/>
        <v>1.6231927936930267E-3</v>
      </c>
      <c r="O113" s="21">
        <f t="shared" si="54"/>
        <v>7.3655959860483801E-3</v>
      </c>
      <c r="P113" s="24">
        <f t="shared" si="55"/>
        <v>1779.0749952531153</v>
      </c>
      <c r="Q113" s="24">
        <f t="shared" si="56"/>
        <v>13.103947643915387</v>
      </c>
      <c r="R113" s="10">
        <f>1.1576*FX_RATE</f>
        <v>1779.0179700799999</v>
      </c>
      <c r="S113" s="10">
        <f>1.1576*FX_RATE</f>
        <v>1779.0179700799999</v>
      </c>
      <c r="T113" s="10">
        <v>308</v>
      </c>
      <c r="U113" s="10">
        <v>8830488</v>
      </c>
      <c r="V113" s="10">
        <v>8907484</v>
      </c>
    </row>
    <row r="114" spans="1:24" ht="12.9" customHeight="1">
      <c r="A114" s="66">
        <v>100</v>
      </c>
      <c r="B114" s="19" t="s">
        <v>272</v>
      </c>
      <c r="C114" s="70" t="s">
        <v>26</v>
      </c>
      <c r="D114" s="17">
        <f>1271474.88*FX_RATE</f>
        <v>1954022684.887104</v>
      </c>
      <c r="E114" s="17">
        <f>10868.14*FX_RATE</f>
        <v>16702329.268611999</v>
      </c>
      <c r="F114" s="17">
        <v>0</v>
      </c>
      <c r="G114" s="17">
        <f>2870.04*FX_RATE</f>
        <v>4410722.8186320001</v>
      </c>
      <c r="H114" s="12">
        <f t="shared" si="50"/>
        <v>12291606.449979998</v>
      </c>
      <c r="I114" s="29">
        <f>1705498*1492.491</f>
        <v>2545440415.5180001</v>
      </c>
      <c r="J114" s="13">
        <f t="shared" si="43"/>
        <v>1.4243218215554579E-3</v>
      </c>
      <c r="K114" s="29">
        <f>1753145*FX_RATE</f>
        <v>2694260935.691</v>
      </c>
      <c r="L114" s="13">
        <f t="shared" si="51"/>
        <v>1.4613308444469777E-3</v>
      </c>
      <c r="M114" s="13">
        <f t="shared" si="52"/>
        <v>5.8465528898548079E-2</v>
      </c>
      <c r="N114" s="20">
        <f t="shared" si="53"/>
        <v>1.6370807890961673E-3</v>
      </c>
      <c r="O114" s="21">
        <f t="shared" si="54"/>
        <v>4.562144032581446E-3</v>
      </c>
      <c r="P114" s="24">
        <f t="shared" si="55"/>
        <v>1553.2525126591656</v>
      </c>
      <c r="Q114" s="24">
        <f t="shared" si="56"/>
        <v>7.0861616817201485</v>
      </c>
      <c r="R114" s="10">
        <f>1.0107*FX_RATE</f>
        <v>1553.2597290599999</v>
      </c>
      <c r="S114" s="10">
        <f>1.0107*FX_RATE</f>
        <v>1553.2597290599999</v>
      </c>
      <c r="T114" s="10">
        <v>49</v>
      </c>
      <c r="U114" s="10">
        <v>1695212</v>
      </c>
      <c r="V114" s="10">
        <v>1734593</v>
      </c>
    </row>
    <row r="115" spans="1:24" ht="12.9" customHeight="1">
      <c r="A115" s="66">
        <v>101</v>
      </c>
      <c r="B115" s="64" t="s">
        <v>237</v>
      </c>
      <c r="C115" s="65" t="s">
        <v>103</v>
      </c>
      <c r="D115" s="17">
        <f>5686353.71*FX_RATE</f>
        <v>8738878225.9166183</v>
      </c>
      <c r="E115" s="17">
        <f>18688.58*FX_RATE</f>
        <v>28720905.023564003</v>
      </c>
      <c r="F115" s="17">
        <v>0</v>
      </c>
      <c r="G115" s="17">
        <f>7044.91*FX_RATE</f>
        <v>10826728.997578001</v>
      </c>
      <c r="H115" s="12">
        <f t="shared" si="50"/>
        <v>17894176.025986001</v>
      </c>
      <c r="I115" s="29">
        <f>4708014.36*1492.491</f>
        <v>7026669060.1707602</v>
      </c>
      <c r="J115" s="13">
        <f t="shared" si="43"/>
        <v>3.9318296410458722E-3</v>
      </c>
      <c r="K115" s="29">
        <f>5853567.95*FX_RATE</f>
        <v>8995855711.9336109</v>
      </c>
      <c r="L115" s="13">
        <f t="shared" si="51"/>
        <v>4.8792309794120081E-3</v>
      </c>
      <c r="M115" s="13">
        <f t="shared" si="52"/>
        <v>0.28024468420247417</v>
      </c>
      <c r="N115" s="20">
        <f t="shared" si="53"/>
        <v>1.2035240831192538E-3</v>
      </c>
      <c r="O115" s="21">
        <f t="shared" si="54"/>
        <v>1.9891577409637826E-3</v>
      </c>
      <c r="P115" s="24">
        <f t="shared" si="55"/>
        <v>1687.205768389774</v>
      </c>
      <c r="Q115" s="24">
        <f t="shared" si="56"/>
        <v>3.3561184147912657</v>
      </c>
      <c r="R115" s="10">
        <f>1.0975*FX_RATE</f>
        <v>1686.6553405</v>
      </c>
      <c r="S115" s="10">
        <f>1.0975*FX_RATE</f>
        <v>1686.6553405</v>
      </c>
      <c r="T115" s="10">
        <v>363</v>
      </c>
      <c r="U115" s="10">
        <v>4334288.29</v>
      </c>
      <c r="V115" s="10">
        <v>5331807.1100000003</v>
      </c>
    </row>
    <row r="116" spans="1:24" ht="12.9" customHeight="1">
      <c r="A116" s="66">
        <v>102</v>
      </c>
      <c r="B116" s="64" t="s">
        <v>238</v>
      </c>
      <c r="C116" s="65" t="s">
        <v>216</v>
      </c>
      <c r="D116" s="17">
        <f>433385.86*FX_RATE</f>
        <v>666034237.14458799</v>
      </c>
      <c r="E116" s="17">
        <f>7817.04*FX_RATE</f>
        <v>12013350.581232</v>
      </c>
      <c r="F116" s="17">
        <v>0</v>
      </c>
      <c r="G116" s="17">
        <f>963.74*FX_RATE</f>
        <v>1481090.8590920002</v>
      </c>
      <c r="H116" s="12">
        <f t="shared" si="50"/>
        <v>10532259.722139999</v>
      </c>
      <c r="I116" s="29">
        <f>456234.52*1492.491</f>
        <v>680925914.98932004</v>
      </c>
      <c r="J116" s="13">
        <f t="shared" si="43"/>
        <v>3.8101761631082533E-4</v>
      </c>
      <c r="K116" s="29">
        <f>454837.89*FX_RATE</f>
        <v>699002055.79066205</v>
      </c>
      <c r="L116" s="13">
        <f t="shared" si="51"/>
        <v>3.7912930070255549E-4</v>
      </c>
      <c r="M116" s="13">
        <f t="shared" si="52"/>
        <v>2.6546413351921736E-2</v>
      </c>
      <c r="N116" s="20">
        <f t="shared" si="53"/>
        <v>2.118864811372685E-3</v>
      </c>
      <c r="O116" s="21">
        <f t="shared" si="54"/>
        <v>1.5067566160769937E-2</v>
      </c>
      <c r="P116" s="24">
        <f t="shared" si="55"/>
        <v>1687.9449470542538</v>
      </c>
      <c r="Q116" s="24">
        <f t="shared" si="56"/>
        <v>25.433222165477279</v>
      </c>
      <c r="R116" s="10">
        <f>1*FX_RATE</f>
        <v>1536.8158000000001</v>
      </c>
      <c r="S116" s="10">
        <f>1*1536.8158</f>
        <v>1536.8158000000001</v>
      </c>
      <c r="T116" s="10">
        <v>29</v>
      </c>
      <c r="U116" s="10">
        <v>367612.77</v>
      </c>
      <c r="V116" s="10">
        <v>414114.25</v>
      </c>
    </row>
    <row r="117" spans="1:24" ht="12.9" customHeight="1">
      <c r="A117" s="66">
        <v>103</v>
      </c>
      <c r="B117" s="64" t="s">
        <v>239</v>
      </c>
      <c r="C117" s="65" t="s">
        <v>48</v>
      </c>
      <c r="D117" s="17">
        <f>280979.74*FX_RATE</f>
        <v>431814103.911892</v>
      </c>
      <c r="E117" s="17">
        <f>2279.79*FX_RATE</f>
        <v>3503617.292682</v>
      </c>
      <c r="F117" s="17">
        <v>0</v>
      </c>
      <c r="G117" s="17">
        <f>59.59*FX_RATE</f>
        <v>91578.853522000005</v>
      </c>
      <c r="H117" s="12">
        <f t="shared" si="50"/>
        <v>3412038.4391600001</v>
      </c>
      <c r="I117" s="29">
        <f>400363.21*1663.89</f>
        <v>666160341.48690009</v>
      </c>
      <c r="J117" s="13">
        <f t="shared" si="43"/>
        <v>3.7275541994627286E-4</v>
      </c>
      <c r="K117" s="29">
        <f>220121.64*FX_RATE</f>
        <v>338286414.27391201</v>
      </c>
      <c r="L117" s="13">
        <f t="shared" si="51"/>
        <v>1.834819949646228E-4</v>
      </c>
      <c r="M117" s="13">
        <f t="shared" si="52"/>
        <v>-0.49218469907884127</v>
      </c>
      <c r="N117" s="20">
        <f t="shared" si="53"/>
        <v>2.7071395615624159E-4</v>
      </c>
      <c r="O117" s="21">
        <f t="shared" si="54"/>
        <v>1.0086241407251008E-2</v>
      </c>
      <c r="P117" s="24">
        <f t="shared" si="55"/>
        <v>1536.8157999999999</v>
      </c>
      <c r="Q117" s="24">
        <f t="shared" si="56"/>
        <v>15.500695157277585</v>
      </c>
      <c r="R117" s="10">
        <f>1.2844*FX_RATE</f>
        <v>1973.8862135200002</v>
      </c>
      <c r="S117" s="10">
        <f>1.2844*FX_RATE</f>
        <v>1973.8862135200002</v>
      </c>
      <c r="T117" s="10">
        <v>36</v>
      </c>
      <c r="U117" s="10">
        <v>211824.52</v>
      </c>
      <c r="V117" s="10">
        <v>220121.64</v>
      </c>
    </row>
    <row r="118" spans="1:24" ht="12.9" customHeight="1">
      <c r="A118" s="66">
        <v>104</v>
      </c>
      <c r="B118" s="64" t="s">
        <v>240</v>
      </c>
      <c r="C118" s="65" t="s">
        <v>169</v>
      </c>
      <c r="D118" s="17">
        <f>334695.19*1536.8158</f>
        <v>514364856.17600203</v>
      </c>
      <c r="E118" s="17">
        <f>2581.88*1536.8158</f>
        <v>3967873.9777040002</v>
      </c>
      <c r="F118" s="17">
        <v>0</v>
      </c>
      <c r="G118" s="17">
        <f>1062.82*1536.8158</f>
        <v>1633358.568556</v>
      </c>
      <c r="H118" s="12">
        <f t="shared" si="50"/>
        <v>2334515.4091480002</v>
      </c>
      <c r="I118" s="29">
        <f>450005.75*1492.491</f>
        <v>671629531.82324994</v>
      </c>
      <c r="J118" s="13">
        <f t="shared" si="43"/>
        <v>3.7581574974021072E-4</v>
      </c>
      <c r="K118" s="29">
        <f>475160.95*1536.8158</f>
        <v>730234855.50301003</v>
      </c>
      <c r="L118" s="13">
        <f t="shared" si="51"/>
        <v>3.960695506143121E-4</v>
      </c>
      <c r="M118" s="13">
        <f t="shared" si="52"/>
        <v>8.7258407950981859E-2</v>
      </c>
      <c r="N118" s="20">
        <f t="shared" si="53"/>
        <v>2.2367578817240768E-3</v>
      </c>
      <c r="O118" s="21">
        <f t="shared" si="54"/>
        <v>3.1969377954985567E-3</v>
      </c>
      <c r="P118" s="24">
        <f t="shared" si="55"/>
        <v>165511.07332343835</v>
      </c>
      <c r="Q118" s="24">
        <f t="shared" si="56"/>
        <v>529.12860588123306</v>
      </c>
      <c r="R118" s="10">
        <f>107.69*1536.8158</f>
        <v>165499.69350200001</v>
      </c>
      <c r="S118" s="10">
        <f>108.54*1536.8158</f>
        <v>166805.98693200003</v>
      </c>
      <c r="T118" s="10">
        <v>52</v>
      </c>
      <c r="U118" s="10">
        <v>4194.3999999999996</v>
      </c>
      <c r="V118" s="10">
        <v>4412</v>
      </c>
    </row>
    <row r="119" spans="1:24" ht="15" customHeight="1">
      <c r="A119" s="66">
        <v>105</v>
      </c>
      <c r="B119" s="19" t="s">
        <v>134</v>
      </c>
      <c r="C119" s="70" t="s">
        <v>69</v>
      </c>
      <c r="D119" s="17">
        <f>638038.06*FX_RATE</f>
        <v>980546971.60934818</v>
      </c>
      <c r="E119" s="17">
        <f>27399.84*FX_RATE</f>
        <v>42108507.029472001</v>
      </c>
      <c r="F119" s="17">
        <v>0</v>
      </c>
      <c r="G119" s="17">
        <f>5543.33*FX_RATE</f>
        <v>8519077.128614001</v>
      </c>
      <c r="H119" s="12">
        <f t="shared" si="50"/>
        <v>33589429.900858</v>
      </c>
      <c r="I119" s="29">
        <f>3323513.31*1492.491</f>
        <v>4960313703.5552101</v>
      </c>
      <c r="J119" s="13">
        <f t="shared" si="43"/>
        <v>2.7755837483614807E-3</v>
      </c>
      <c r="K119" s="29">
        <f>3226169.44*FX_RATE</f>
        <v>4958028168.8691521</v>
      </c>
      <c r="L119" s="13">
        <f t="shared" si="51"/>
        <v>2.6891677026624912E-3</v>
      </c>
      <c r="M119" s="13">
        <f t="shared" si="52"/>
        <v>-4.6076414167513864E-4</v>
      </c>
      <c r="N119" s="20">
        <f t="shared" si="53"/>
        <v>1.7182389527563068E-3</v>
      </c>
      <c r="O119" s="21">
        <f t="shared" si="54"/>
        <v>6.7747557611233218E-3</v>
      </c>
      <c r="P119" s="24">
        <f t="shared" si="55"/>
        <v>174154.5375242992</v>
      </c>
      <c r="Q119" s="24">
        <f t="shared" si="56"/>
        <v>1179.8544564185136</v>
      </c>
      <c r="R119" s="10">
        <f>113.2*FX_RATE</f>
        <v>173967.54856000002</v>
      </c>
      <c r="S119" s="10">
        <f>113.2*FX_RATE</f>
        <v>173967.54856000002</v>
      </c>
      <c r="T119" s="10">
        <v>60</v>
      </c>
      <c r="U119" s="10">
        <v>29526.9</v>
      </c>
      <c r="V119" s="10">
        <v>28469.13</v>
      </c>
    </row>
    <row r="120" spans="1:24" ht="15" customHeight="1">
      <c r="A120" s="66">
        <v>106</v>
      </c>
      <c r="B120" s="19" t="s">
        <v>135</v>
      </c>
      <c r="C120" s="19" t="s">
        <v>136</v>
      </c>
      <c r="D120" s="17">
        <v>51394812154.720001</v>
      </c>
      <c r="E120" s="17">
        <v>417692276.19999999</v>
      </c>
      <c r="F120" s="17">
        <v>0</v>
      </c>
      <c r="G120" s="17">
        <v>84045353.599999994</v>
      </c>
      <c r="H120" s="12">
        <f t="shared" si="50"/>
        <v>333646922.60000002</v>
      </c>
      <c r="I120" s="29">
        <v>49634547210.839996</v>
      </c>
      <c r="J120" s="13">
        <f t="shared" si="43"/>
        <v>2.7773413301853841E-2</v>
      </c>
      <c r="K120" s="29">
        <v>50877469460.730003</v>
      </c>
      <c r="L120" s="13">
        <f t="shared" si="51"/>
        <v>2.7595254203285093E-2</v>
      </c>
      <c r="M120" s="13">
        <f t="shared" si="52"/>
        <v>2.5041474532048465E-2</v>
      </c>
      <c r="N120" s="20">
        <f t="shared" si="53"/>
        <v>1.6519169386926913E-3</v>
      </c>
      <c r="O120" s="21">
        <f t="shared" si="54"/>
        <v>6.5578521521697701E-3</v>
      </c>
      <c r="P120" s="24">
        <f t="shared" si="55"/>
        <v>197455.1142204637</v>
      </c>
      <c r="Q120" s="24">
        <f t="shared" si="56"/>
        <v>1294.8814457475958</v>
      </c>
      <c r="R120" s="10">
        <f>128.83*1536.8158</f>
        <v>197987.97951400004</v>
      </c>
      <c r="S120" s="10">
        <f>128.83*1536.8158</f>
        <v>197987.97951400004</v>
      </c>
      <c r="T120" s="10">
        <v>2362</v>
      </c>
      <c r="U120" s="10">
        <v>257792</v>
      </c>
      <c r="V120" s="10">
        <v>257666</v>
      </c>
    </row>
    <row r="121" spans="1:24">
      <c r="A121" s="66">
        <v>107</v>
      </c>
      <c r="B121" s="19" t="s">
        <v>137</v>
      </c>
      <c r="C121" s="19" t="s">
        <v>136</v>
      </c>
      <c r="D121" s="17">
        <v>132683237467.87</v>
      </c>
      <c r="E121" s="17">
        <v>1145601129.5599999</v>
      </c>
      <c r="F121" s="17">
        <v>0</v>
      </c>
      <c r="G121" s="17">
        <v>208270091.03999999</v>
      </c>
      <c r="H121" s="12">
        <f t="shared" si="50"/>
        <v>937331038.51999998</v>
      </c>
      <c r="I121" s="29">
        <v>121402817953.75</v>
      </c>
      <c r="J121" s="13">
        <f t="shared" si="43"/>
        <v>6.7931931054320938E-2</v>
      </c>
      <c r="K121" s="29">
        <v>131730859256.97</v>
      </c>
      <c r="L121" s="13">
        <f t="shared" si="51"/>
        <v>7.1449043872338469E-2</v>
      </c>
      <c r="M121" s="13">
        <f t="shared" si="52"/>
        <v>8.5072500600065187E-2</v>
      </c>
      <c r="N121" s="20">
        <f t="shared" si="53"/>
        <v>1.5810273478420375E-3</v>
      </c>
      <c r="O121" s="21">
        <f t="shared" si="54"/>
        <v>7.1155008310659369E-3</v>
      </c>
      <c r="P121" s="24">
        <f t="shared" si="55"/>
        <v>185675.02397137301</v>
      </c>
      <c r="Q121" s="24">
        <f t="shared" si="56"/>
        <v>1321.1707873764922</v>
      </c>
      <c r="R121" s="10">
        <f>121.14*1536.8158</f>
        <v>186169.86601200001</v>
      </c>
      <c r="S121" s="10">
        <f>120.03*1536.8158</f>
        <v>184464.000474</v>
      </c>
      <c r="T121" s="10">
        <v>775</v>
      </c>
      <c r="U121" s="10">
        <v>670332</v>
      </c>
      <c r="V121" s="10">
        <v>709470</v>
      </c>
    </row>
    <row r="122" spans="1:24">
      <c r="A122" s="66">
        <v>108</v>
      </c>
      <c r="B122" s="64" t="s">
        <v>274</v>
      </c>
      <c r="C122" s="65" t="s">
        <v>275</v>
      </c>
      <c r="D122" s="17">
        <f>361769.42*FX_RATE</f>
        <v>555972960.612836</v>
      </c>
      <c r="E122" s="17">
        <f>3144.79*FX_RATE</f>
        <v>4832962.9596819999</v>
      </c>
      <c r="F122" s="17">
        <v>0</v>
      </c>
      <c r="G122" s="17">
        <f>412.04*FX_RATE</f>
        <v>633229.58223200007</v>
      </c>
      <c r="H122" s="12">
        <f t="shared" si="50"/>
        <v>4199733.3774499996</v>
      </c>
      <c r="I122" s="29">
        <f>101000*1492.491</f>
        <v>150741591</v>
      </c>
      <c r="J122" s="13">
        <f t="shared" si="43"/>
        <v>8.4348679375233058E-5</v>
      </c>
      <c r="K122" s="29">
        <f>361771.37*FX_RATE</f>
        <v>555975957.40364599</v>
      </c>
      <c r="L122" s="13">
        <f t="shared" si="51"/>
        <v>3.0155387125357003E-4</v>
      </c>
      <c r="M122" s="13">
        <f t="shared" si="52"/>
        <v>2.6882717882660931</v>
      </c>
      <c r="N122" s="20">
        <f t="shared" si="53"/>
        <v>1.1389513769428468E-3</v>
      </c>
      <c r="O122" s="21">
        <f t="shared" si="54"/>
        <v>7.5538039397644976E-3</v>
      </c>
      <c r="P122" s="24">
        <f t="shared" si="55"/>
        <v>154015.50676441146</v>
      </c>
      <c r="Q122" s="24">
        <f t="shared" si="56"/>
        <v>1163.4029417818369</v>
      </c>
      <c r="R122" s="10">
        <f>102.58*FX_RATE</f>
        <v>157646.56476400001</v>
      </c>
      <c r="S122" s="10">
        <f>102.58*FX_RATE</f>
        <v>157646.56476400001</v>
      </c>
      <c r="T122" s="10">
        <v>4</v>
      </c>
      <c r="U122" s="10">
        <v>910</v>
      </c>
      <c r="V122" s="10">
        <v>3609.87</v>
      </c>
    </row>
    <row r="123" spans="1:24" s="3" customFormat="1">
      <c r="A123" s="66">
        <v>109</v>
      </c>
      <c r="B123" s="64" t="s">
        <v>138</v>
      </c>
      <c r="C123" s="65" t="s">
        <v>139</v>
      </c>
      <c r="D123" s="17">
        <f>147157.68*FX_RATE</f>
        <v>226154247.71534401</v>
      </c>
      <c r="E123" s="17">
        <v>0</v>
      </c>
      <c r="F123" s="17">
        <v>0</v>
      </c>
      <c r="G123" s="17">
        <f>3085.888*FX_RATE</f>
        <v>4742441.4354304001</v>
      </c>
      <c r="H123" s="12">
        <f t="shared" si="50"/>
        <v>-4742441.4354304001</v>
      </c>
      <c r="I123" s="29">
        <f>137844.19*1492.491</f>
        <v>205731212.97729</v>
      </c>
      <c r="J123" s="13">
        <f t="shared" si="43"/>
        <v>1.1511856817870007E-4</v>
      </c>
      <c r="K123" s="29">
        <f>151175.41*FX_RATE</f>
        <v>232328758.65947801</v>
      </c>
      <c r="L123" s="13">
        <f t="shared" si="51"/>
        <v>1.2601198962716609E-4</v>
      </c>
      <c r="M123" s="13">
        <f t="shared" si="52"/>
        <v>0.12928298675380881</v>
      </c>
      <c r="N123" s="20">
        <f t="shared" si="53"/>
        <v>2.0412631922083094E-2</v>
      </c>
      <c r="O123" s="21">
        <f t="shared" si="54"/>
        <v>-2.0412631922083094E-2</v>
      </c>
      <c r="P123" s="24">
        <f t="shared" si="55"/>
        <v>191986.61190076932</v>
      </c>
      <c r="Q123" s="24">
        <f t="shared" si="56"/>
        <v>-3918.9520426982222</v>
      </c>
      <c r="R123" s="10">
        <f>124.9246*FX_RATE</f>
        <v>191986.09908868</v>
      </c>
      <c r="S123" s="10">
        <f>124.9246*FX_RATE</f>
        <v>191986.09908868</v>
      </c>
      <c r="T123" s="10">
        <v>7</v>
      </c>
      <c r="U123" s="10">
        <v>1210.1300000000001</v>
      </c>
      <c r="V123" s="10">
        <v>1210.1300000000001</v>
      </c>
      <c r="W123" s="6"/>
      <c r="X123" s="6"/>
    </row>
    <row r="124" spans="1:24">
      <c r="A124" s="66">
        <v>110</v>
      </c>
      <c r="B124" s="19" t="s">
        <v>140</v>
      </c>
      <c r="C124" s="19" t="s">
        <v>141</v>
      </c>
      <c r="D124" s="17">
        <f>10692475.56*1536.8158</f>
        <v>16432365381.721849</v>
      </c>
      <c r="E124" s="17">
        <f>61827.97*1536.8158</f>
        <v>95018201.177926004</v>
      </c>
      <c r="F124" s="17">
        <v>0</v>
      </c>
      <c r="G124" s="17">
        <f>17571.27*1536.8158</f>
        <v>27003805.362066001</v>
      </c>
      <c r="H124" s="12">
        <f t="shared" si="50"/>
        <v>68014395.815860003</v>
      </c>
      <c r="I124" s="29">
        <f>10420324.49*1492.491</f>
        <v>15552240518.404591</v>
      </c>
      <c r="J124" s="13">
        <f t="shared" si="43"/>
        <v>8.7023822712168214E-3</v>
      </c>
      <c r="K124" s="29">
        <f>10619996.43*1536.8158</f>
        <v>16320978309.567595</v>
      </c>
      <c r="L124" s="13">
        <f t="shared" si="51"/>
        <v>8.8522788195361992E-3</v>
      </c>
      <c r="M124" s="13">
        <f t="shared" si="52"/>
        <v>4.9429391877863271E-2</v>
      </c>
      <c r="N124" s="20">
        <f t="shared" si="53"/>
        <v>1.6545457539292223E-3</v>
      </c>
      <c r="O124" s="21">
        <f t="shared" si="54"/>
        <v>4.1672989526607591E-3</v>
      </c>
      <c r="P124" s="24">
        <f t="shared" si="55"/>
        <v>2156.0407411220031</v>
      </c>
      <c r="Q124" s="24">
        <f t="shared" si="56"/>
        <v>8.9848663223716514</v>
      </c>
      <c r="R124" s="10">
        <f>1.4*FX_RATE</f>
        <v>2151.5421200000001</v>
      </c>
      <c r="S124" s="10">
        <f>1.4*FX_RATE</f>
        <v>2151.5421200000001</v>
      </c>
      <c r="T124" s="10">
        <v>114</v>
      </c>
      <c r="U124" s="10">
        <v>7457599</v>
      </c>
      <c r="V124" s="10">
        <v>7569884</v>
      </c>
    </row>
    <row r="125" spans="1:24">
      <c r="A125" s="66">
        <v>111</v>
      </c>
      <c r="B125" s="19" t="s">
        <v>142</v>
      </c>
      <c r="C125" s="19" t="s">
        <v>50</v>
      </c>
      <c r="D125" s="17">
        <f>109518800*FX_RATE</f>
        <v>168310222237.04001</v>
      </c>
      <c r="E125" s="17">
        <f>712065*FX_RATE</f>
        <v>1094312742.6270001</v>
      </c>
      <c r="F125" s="17">
        <v>0</v>
      </c>
      <c r="G125" s="17">
        <f>160727*FX_RATE</f>
        <v>247007793.08660001</v>
      </c>
      <c r="H125" s="12">
        <f t="shared" si="50"/>
        <v>847304949.54040003</v>
      </c>
      <c r="I125" s="29">
        <f>122540797*1492.491</f>
        <v>182891036655.327</v>
      </c>
      <c r="J125" s="13">
        <f t="shared" si="43"/>
        <v>0.10233816234196555</v>
      </c>
      <c r="K125" s="29">
        <f>111212968*FX_RATE</f>
        <v>170913846387.2944</v>
      </c>
      <c r="L125" s="13">
        <f t="shared" si="51"/>
        <v>9.2701368364222422E-2</v>
      </c>
      <c r="M125" s="13">
        <f t="shared" si="52"/>
        <v>-6.5488120615799117E-2</v>
      </c>
      <c r="N125" s="20">
        <f t="shared" si="53"/>
        <v>1.4452181511781972E-3</v>
      </c>
      <c r="O125" s="21">
        <f t="shared" si="54"/>
        <v>4.9574974026410298E-3</v>
      </c>
      <c r="P125" s="24">
        <f t="shared" si="55"/>
        <v>194129.17163569189</v>
      </c>
      <c r="Q125" s="24">
        <f t="shared" si="56"/>
        <v>962.39486416079728</v>
      </c>
      <c r="R125" s="10">
        <f>126*FX_RATE</f>
        <v>193638.79080000002</v>
      </c>
      <c r="S125" s="10">
        <f>126*FX_RATE</f>
        <v>193638.79080000002</v>
      </c>
      <c r="T125" s="10">
        <v>705</v>
      </c>
      <c r="U125" s="10">
        <v>971719</v>
      </c>
      <c r="V125" s="10">
        <v>880413</v>
      </c>
    </row>
    <row r="126" spans="1:24" ht="13.95" customHeight="1">
      <c r="A126" s="66">
        <v>112</v>
      </c>
      <c r="B126" s="19" t="s">
        <v>143</v>
      </c>
      <c r="C126" s="19" t="s">
        <v>144</v>
      </c>
      <c r="D126" s="17">
        <v>27881491903.200001</v>
      </c>
      <c r="E126" s="17">
        <v>291044811.81</v>
      </c>
      <c r="F126" s="17">
        <v>0</v>
      </c>
      <c r="G126" s="17">
        <v>57324220.289999999</v>
      </c>
      <c r="H126" s="12">
        <f t="shared" si="50"/>
        <v>233720591.52000001</v>
      </c>
      <c r="I126" s="29">
        <v>30232125955.290001</v>
      </c>
      <c r="J126" s="13">
        <f t="shared" si="43"/>
        <v>1.6916631183987025E-2</v>
      </c>
      <c r="K126" s="29">
        <v>28881904048.360001</v>
      </c>
      <c r="L126" s="13">
        <f t="shared" si="51"/>
        <v>1.5665155766140328E-2</v>
      </c>
      <c r="M126" s="13">
        <f t="shared" si="52"/>
        <v>-4.4661824607598898E-2</v>
      </c>
      <c r="N126" s="20">
        <f t="shared" si="53"/>
        <v>1.9847798190180278E-3</v>
      </c>
      <c r="O126" s="21">
        <f t="shared" si="54"/>
        <v>8.0922847444080247E-3</v>
      </c>
      <c r="P126" s="24">
        <f t="shared" si="55"/>
        <v>162174.97823225206</v>
      </c>
      <c r="Q126" s="24">
        <f t="shared" si="56"/>
        <v>1312.3661022735569</v>
      </c>
      <c r="R126" s="10">
        <v>162174.98000000001</v>
      </c>
      <c r="S126" s="10">
        <v>162174.98000000001</v>
      </c>
      <c r="T126" s="10">
        <f>507+32+31</f>
        <v>570</v>
      </c>
      <c r="U126" s="10">
        <v>192414</v>
      </c>
      <c r="V126" s="10">
        <v>178091</v>
      </c>
    </row>
    <row r="127" spans="1:24">
      <c r="A127" s="66">
        <v>113</v>
      </c>
      <c r="B127" s="19" t="s">
        <v>145</v>
      </c>
      <c r="C127" s="19" t="s">
        <v>42</v>
      </c>
      <c r="D127" s="17">
        <f>1700917.01*FX_RATE</f>
        <v>2613996135.456758</v>
      </c>
      <c r="E127" s="17">
        <f>25889.91*FX_RATE</f>
        <v>39788022.748578005</v>
      </c>
      <c r="F127" s="17">
        <v>0</v>
      </c>
      <c r="G127" s="17">
        <f>2087.39*FX_RATE</f>
        <v>3207933.9327619998</v>
      </c>
      <c r="H127" s="12">
        <f t="shared" si="50"/>
        <v>36580088.815816008</v>
      </c>
      <c r="I127" s="29">
        <f>1714755.94*1492.491</f>
        <v>2559257807.6465397</v>
      </c>
      <c r="J127" s="13">
        <f t="shared" si="43"/>
        <v>1.4320534553449145E-3</v>
      </c>
      <c r="K127" s="29">
        <f>1698829.62*FX_RATE</f>
        <v>2610788201.5239964</v>
      </c>
      <c r="L127" s="13">
        <f t="shared" si="51"/>
        <v>1.4160563576692965E-3</v>
      </c>
      <c r="M127" s="13">
        <f t="shared" si="52"/>
        <v>2.0134897595503812E-2</v>
      </c>
      <c r="N127" s="20">
        <f t="shared" si="53"/>
        <v>1.2287223953629908E-3</v>
      </c>
      <c r="O127" s="21">
        <f t="shared" si="54"/>
        <v>1.4011128437941882E-2</v>
      </c>
      <c r="P127" s="24">
        <f t="shared" si="55"/>
        <v>207626.59820429349</v>
      </c>
      <c r="Q127" s="24">
        <f t="shared" si="56"/>
        <v>2909.0829345733096</v>
      </c>
      <c r="R127" s="10">
        <f>133.45*FX_RATE</f>
        <v>205088.06850999998</v>
      </c>
      <c r="S127" s="10">
        <f>137.72*FX_RATE</f>
        <v>211650.27197600002</v>
      </c>
      <c r="T127" s="10">
        <v>51</v>
      </c>
      <c r="U127" s="10">
        <v>12517.44</v>
      </c>
      <c r="V127" s="10">
        <v>12574.44</v>
      </c>
    </row>
    <row r="128" spans="1:24" ht="8.1" customHeight="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</row>
    <row r="129" spans="1:22">
      <c r="A129" s="103" t="s">
        <v>146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</row>
    <row r="130" spans="1:22">
      <c r="A130" s="84">
        <v>114</v>
      </c>
      <c r="B130" s="19" t="s">
        <v>147</v>
      </c>
      <c r="C130" s="70" t="s">
        <v>101</v>
      </c>
      <c r="D130" s="48">
        <f>1016536.7*FX_RATE</f>
        <v>1562229661.83986</v>
      </c>
      <c r="E130" s="10">
        <f>9190.43*FX_RATE</f>
        <v>14123998.032794001</v>
      </c>
      <c r="F130" s="10">
        <v>0</v>
      </c>
      <c r="G130" s="10">
        <f>2028.19*FX_RATE</f>
        <v>3116954.4374020002</v>
      </c>
      <c r="H130" s="12">
        <f>(E130+F130)-G130</f>
        <v>11007043.595392</v>
      </c>
      <c r="I130" s="10">
        <f>1265728.45*1492.491</f>
        <v>1889088320.0689499</v>
      </c>
      <c r="J130" s="13">
        <f t="shared" ref="J130:J144" si="57">(I130/$I$145)</f>
        <v>1.057054685199611E-3</v>
      </c>
      <c r="K130" s="10">
        <f>1208337.18*FX_RATE</f>
        <v>1856991669.9514439</v>
      </c>
      <c r="L130" s="13">
        <f t="shared" ref="L130" si="58">(K130/$K$145)</f>
        <v>1.0072072712902125E-3</v>
      </c>
      <c r="M130" s="13">
        <f t="shared" ref="M130:M145" si="59">((K130-I130)/I130)</f>
        <v>-1.6990550296946693E-2</v>
      </c>
      <c r="N130" s="20">
        <f t="shared" ref="N130" si="60">(G130/K130)</f>
        <v>1.6784967255580104E-3</v>
      </c>
      <c r="O130" s="21">
        <f t="shared" ref="O130" si="61">H130/K130</f>
        <v>5.9273521650637286E-3</v>
      </c>
      <c r="P130" s="22">
        <f t="shared" ref="P130" si="62">K130/V130</f>
        <v>168358.26563476372</v>
      </c>
      <c r="Q130" s="22">
        <f t="shared" ref="Q130" si="63">H130/V130</f>
        <v>997.91873031659111</v>
      </c>
      <c r="R130" s="10">
        <f>109.55*FX_RATE</f>
        <v>168358.17089000001</v>
      </c>
      <c r="S130" s="10">
        <f>109.55*FX_RATE</f>
        <v>168358.17089000001</v>
      </c>
      <c r="T130" s="10">
        <v>24</v>
      </c>
      <c r="U130" s="17">
        <v>11395</v>
      </c>
      <c r="V130" s="17">
        <v>11030</v>
      </c>
    </row>
    <row r="131" spans="1:22">
      <c r="A131" s="84">
        <v>115</v>
      </c>
      <c r="B131" s="19" t="s">
        <v>148</v>
      </c>
      <c r="C131" s="70" t="s">
        <v>28</v>
      </c>
      <c r="D131" s="48">
        <f>8841293.48*FX_RATE</f>
        <v>13587439512.500986</v>
      </c>
      <c r="E131" s="10">
        <f>70714.17*FX_RATE</f>
        <v>108674653.739886</v>
      </c>
      <c r="F131" s="10">
        <v>0</v>
      </c>
      <c r="G131" s="10">
        <f>18520.89*FX_RATE</f>
        <v>28463196.382061999</v>
      </c>
      <c r="H131" s="12">
        <f t="shared" ref="H131:H144" si="64">(E131+F131)-G131</f>
        <v>80211457.357823998</v>
      </c>
      <c r="I131" s="10">
        <f>11612948.25*1663.89</f>
        <v>19322668463.692501</v>
      </c>
      <c r="J131" s="13">
        <f t="shared" si="57"/>
        <v>1.0812155796590511E-2</v>
      </c>
      <c r="K131" s="10">
        <f>11671233.09*FX_RATE</f>
        <v>17936535418.194824</v>
      </c>
      <c r="L131" s="13">
        <f t="shared" ref="L131:L144" si="65">(K131/$K$145)</f>
        <v>9.7285352364734311E-3</v>
      </c>
      <c r="M131" s="13">
        <f t="shared" ref="M131:M144" si="66">((K131-I131)/I131)</f>
        <v>-7.1736108710980351E-2</v>
      </c>
      <c r="N131" s="20">
        <f t="shared" ref="N131:N144" si="67">(G131/K131)</f>
        <v>1.586883738605892E-3</v>
      </c>
      <c r="O131" s="21">
        <f t="shared" ref="O131:O144" si="68">H131/K131</f>
        <v>4.471959354896235E-3</v>
      </c>
      <c r="P131" s="22">
        <f t="shared" ref="P131:P144" si="69">K131/V131</f>
        <v>208906.07250481483</v>
      </c>
      <c r="Q131" s="22">
        <f t="shared" ref="Q131:Q144" si="70">H131/V131</f>
        <v>934.21946523253791</v>
      </c>
      <c r="R131" s="10">
        <f>135.59*FX_RATE</f>
        <v>208376.85432200003</v>
      </c>
      <c r="S131" s="10">
        <f>135.93*FX_RATE</f>
        <v>208899.37169400003</v>
      </c>
      <c r="T131" s="10">
        <v>551</v>
      </c>
      <c r="U131" s="17">
        <v>79291.05</v>
      </c>
      <c r="V131" s="17">
        <v>85859.33</v>
      </c>
    </row>
    <row r="132" spans="1:22" ht="14.1" customHeight="1">
      <c r="A132" s="93">
        <v>116</v>
      </c>
      <c r="B132" s="19" t="s">
        <v>149</v>
      </c>
      <c r="C132" s="19" t="s">
        <v>62</v>
      </c>
      <c r="D132" s="48">
        <f>10597512.76*1536.8158</f>
        <v>16286425050.269609</v>
      </c>
      <c r="E132" s="10">
        <f>113654.2*1536.8158</f>
        <v>174665570.29636002</v>
      </c>
      <c r="F132" s="10">
        <v>0</v>
      </c>
      <c r="G132" s="10">
        <f>18855.05*1536.8158</f>
        <v>28976738.749790002</v>
      </c>
      <c r="H132" s="12">
        <f t="shared" si="64"/>
        <v>145688831.54657</v>
      </c>
      <c r="I132" s="10">
        <f>10700878.99*1663.89</f>
        <v>17805085542.671101</v>
      </c>
      <c r="J132" s="13">
        <f t="shared" si="57"/>
        <v>9.9629799693925353E-3</v>
      </c>
      <c r="K132" s="10">
        <f>11173066.35*1536.8158</f>
        <v>17170944901.12833</v>
      </c>
      <c r="L132" s="13">
        <f t="shared" si="65"/>
        <v>9.3132892512071807E-3</v>
      </c>
      <c r="M132" s="13">
        <f t="shared" si="66"/>
        <v>-3.5615703166548073E-2</v>
      </c>
      <c r="N132" s="20">
        <f t="shared" si="67"/>
        <v>1.6875447982997076E-3</v>
      </c>
      <c r="O132" s="21">
        <f t="shared" si="68"/>
        <v>8.4846135367306758E-3</v>
      </c>
      <c r="P132" s="22">
        <f t="shared" si="69"/>
        <v>180822.92440109869</v>
      </c>
      <c r="Q132" s="22">
        <f t="shared" si="70"/>
        <v>1534.2126321247895</v>
      </c>
      <c r="R132" s="10">
        <f>118.72*1536.8158</f>
        <v>182450.77177600001</v>
      </c>
      <c r="S132" s="10">
        <f>118.72*1536.8158</f>
        <v>182450.77177600001</v>
      </c>
      <c r="T132" s="10">
        <f>612+47+28</f>
        <v>687</v>
      </c>
      <c r="U132" s="17">
        <v>90860</v>
      </c>
      <c r="V132" s="17">
        <v>94960</v>
      </c>
    </row>
    <row r="133" spans="1:22" ht="14.1" customHeight="1">
      <c r="A133" s="93">
        <v>117</v>
      </c>
      <c r="B133" s="64" t="s">
        <v>258</v>
      </c>
      <c r="C133" s="65" t="s">
        <v>64</v>
      </c>
      <c r="D133" s="48">
        <v>84103255.969999999</v>
      </c>
      <c r="E133" s="10">
        <v>1867578.2420000001</v>
      </c>
      <c r="F133" s="10">
        <v>0</v>
      </c>
      <c r="G133" s="10">
        <v>1021293</v>
      </c>
      <c r="H133" s="12">
        <f t="shared" si="64"/>
        <v>846285.24200000009</v>
      </c>
      <c r="I133" s="10">
        <v>89468586.870000005</v>
      </c>
      <c r="J133" s="13">
        <f t="shared" si="57"/>
        <v>5.006287314595755E-5</v>
      </c>
      <c r="K133" s="10">
        <v>89202760.219999999</v>
      </c>
      <c r="L133" s="13">
        <f t="shared" si="65"/>
        <v>4.8382375735207567E-5</v>
      </c>
      <c r="M133" s="13">
        <f t="shared" si="66"/>
        <v>-2.971173003841655E-3</v>
      </c>
      <c r="N133" s="20">
        <f t="shared" si="67"/>
        <v>1.1449118810686955E-2</v>
      </c>
      <c r="O133" s="21">
        <f t="shared" si="68"/>
        <v>9.4872091391882286E-3</v>
      </c>
      <c r="P133" s="22">
        <f t="shared" si="69"/>
        <v>1481.3848696496384</v>
      </c>
      <c r="Q133" s="22">
        <f t="shared" si="70"/>
        <v>14.054208073995211</v>
      </c>
      <c r="R133" s="10">
        <f>0.9874*FX_RATE</f>
        <v>1517.4519209200002</v>
      </c>
      <c r="S133" s="10">
        <f>0.9874*FX_RATE</f>
        <v>1517.4519209200002</v>
      </c>
      <c r="T133" s="10">
        <v>2</v>
      </c>
      <c r="U133" s="17">
        <v>60215.79</v>
      </c>
      <c r="V133" s="17">
        <v>60215.79</v>
      </c>
    </row>
    <row r="134" spans="1:22" ht="15" customHeight="1">
      <c r="A134" s="93">
        <v>118</v>
      </c>
      <c r="B134" s="19" t="s">
        <v>150</v>
      </c>
      <c r="C134" s="70" t="s">
        <v>60</v>
      </c>
      <c r="D134" s="48">
        <f>4502717.74*FX_RATE</f>
        <v>6919847765.7722931</v>
      </c>
      <c r="E134" s="10">
        <f>28221.09*FX_RATE</f>
        <v>43370617.005222</v>
      </c>
      <c r="F134" s="10">
        <v>0</v>
      </c>
      <c r="G134" s="10">
        <f>5942.19*FX_RATE</f>
        <v>9132051.4786019996</v>
      </c>
      <c r="H134" s="12">
        <f t="shared" si="64"/>
        <v>34238565.526620001</v>
      </c>
      <c r="I134" s="10">
        <f>4366673.74*1492.491</f>
        <v>6517221256.8863401</v>
      </c>
      <c r="J134" s="13">
        <f t="shared" si="57"/>
        <v>3.6467639923911861E-3</v>
      </c>
      <c r="K134" s="10">
        <f>4552237.09*FX_RATE</f>
        <v>6995949885.2580223</v>
      </c>
      <c r="L134" s="13">
        <f t="shared" si="65"/>
        <v>3.7945089943230898E-3</v>
      </c>
      <c r="M134" s="13">
        <f t="shared" si="66"/>
        <v>7.3455942264633034E-2</v>
      </c>
      <c r="N134" s="20">
        <f t="shared" si="67"/>
        <v>1.3053340330303402E-3</v>
      </c>
      <c r="O134" s="21">
        <f t="shared" si="68"/>
        <v>4.8940552874411026E-3</v>
      </c>
      <c r="P134" s="22">
        <f t="shared" si="69"/>
        <v>1970.8745934888559</v>
      </c>
      <c r="Q134" s="22">
        <f t="shared" si="70"/>
        <v>9.6455692251474687</v>
      </c>
      <c r="R134" s="10">
        <f>1.28*FX_RATE</f>
        <v>1967.1242240000001</v>
      </c>
      <c r="S134" s="10">
        <f>1.28*FX_RATE</f>
        <v>1967.1242240000001</v>
      </c>
      <c r="T134" s="10">
        <v>246</v>
      </c>
      <c r="U134" s="17">
        <v>3421767.3</v>
      </c>
      <c r="V134" s="17">
        <v>3549667.7</v>
      </c>
    </row>
    <row r="135" spans="1:22" ht="15" customHeight="1">
      <c r="A135" s="93">
        <v>119</v>
      </c>
      <c r="B135" s="70" t="s">
        <v>270</v>
      </c>
      <c r="C135" s="70" t="s">
        <v>36</v>
      </c>
      <c r="D135" s="48">
        <f>52928319.01*1536.8158</f>
        <v>81341076922.008362</v>
      </c>
      <c r="E135" s="10">
        <f>362715.41*1536.8158</f>
        <v>557426772.99147797</v>
      </c>
      <c r="F135" s="10">
        <v>0</v>
      </c>
      <c r="G135" s="10">
        <f>84225.3*1536.8158</f>
        <v>129438771.79974002</v>
      </c>
      <c r="H135" s="12">
        <f t="shared" ref="H135" si="71">(E135+F135)-G135</f>
        <v>427988001.19173795</v>
      </c>
      <c r="I135" s="10">
        <f>58769578*1492.491</f>
        <v>87713066238.798004</v>
      </c>
      <c r="J135" s="13">
        <f t="shared" si="57"/>
        <v>4.9080557343957928E-2</v>
      </c>
      <c r="K135" s="10">
        <f>61747508*1536.8158</f>
        <v>94894545905.026398</v>
      </c>
      <c r="L135" s="13">
        <f t="shared" si="65"/>
        <v>5.1469523632179034E-2</v>
      </c>
      <c r="M135" s="13">
        <f t="shared" si="66"/>
        <v>8.1874684971984468E-2</v>
      </c>
      <c r="N135" s="20">
        <f t="shared" si="67"/>
        <v>1.3640275167056137E-3</v>
      </c>
      <c r="O135" s="21">
        <f t="shared" si="68"/>
        <v>4.5101433081315605E-3</v>
      </c>
      <c r="P135" s="22">
        <f t="shared" si="69"/>
        <v>153681.58000000002</v>
      </c>
      <c r="Q135" s="22">
        <f t="shared" si="70"/>
        <v>693.12594962008507</v>
      </c>
      <c r="R135" s="10">
        <f>100*1536.8158</f>
        <v>153681.58000000002</v>
      </c>
      <c r="S135" s="10">
        <f>100*1536.8158</f>
        <v>153681.58000000002</v>
      </c>
      <c r="T135" s="10">
        <v>1915</v>
      </c>
      <c r="U135" s="17">
        <v>587695.78</v>
      </c>
      <c r="V135" s="17">
        <v>617475.07999999996</v>
      </c>
    </row>
    <row r="136" spans="1:22" ht="15" customHeight="1">
      <c r="A136" s="93">
        <v>120</v>
      </c>
      <c r="B136" s="64" t="s">
        <v>234</v>
      </c>
      <c r="C136" s="65" t="s">
        <v>235</v>
      </c>
      <c r="D136" s="48">
        <f>1083047.63*FX_RATE</f>
        <v>1664444709.936554</v>
      </c>
      <c r="E136" s="10">
        <f>4583.24*FX_RATE</f>
        <v>7043595.6471920004</v>
      </c>
      <c r="F136" s="10">
        <v>0</v>
      </c>
      <c r="G136" s="10">
        <f>1692.58*FX_RATE</f>
        <v>2601183.686764</v>
      </c>
      <c r="H136" s="12">
        <f t="shared" si="64"/>
        <v>4442411.9604280004</v>
      </c>
      <c r="I136" s="10">
        <f>1075531.15*1492.491</f>
        <v>1605220561.5946498</v>
      </c>
      <c r="J136" s="13">
        <f t="shared" si="57"/>
        <v>8.9821417949926413E-4</v>
      </c>
      <c r="K136" s="10">
        <f>1046378.08*FX_RATE</f>
        <v>1608090366.1176641</v>
      </c>
      <c r="L136" s="13">
        <f t="shared" si="65"/>
        <v>8.7220655636425246E-4</v>
      </c>
      <c r="M136" s="13">
        <f t="shared" si="66"/>
        <v>1.7877945197533483E-3</v>
      </c>
      <c r="N136" s="20">
        <f t="shared" si="67"/>
        <v>1.6175606430899239E-3</v>
      </c>
      <c r="O136" s="21">
        <f t="shared" si="68"/>
        <v>2.7625387565458175E-3</v>
      </c>
      <c r="P136" s="22">
        <f t="shared" si="69"/>
        <v>1630.3622061969932</v>
      </c>
      <c r="Q136" s="22">
        <f t="shared" si="70"/>
        <v>4.5039387818267373</v>
      </c>
      <c r="R136" s="10">
        <f>1.0609*FX_RATE</f>
        <v>1630.4078822199999</v>
      </c>
      <c r="S136" s="10">
        <f>1.098*FX_RATE</f>
        <v>1687.4237484000002</v>
      </c>
      <c r="T136" s="10">
        <v>36</v>
      </c>
      <c r="U136" s="17">
        <v>978451.67</v>
      </c>
      <c r="V136" s="17">
        <v>986339.33</v>
      </c>
    </row>
    <row r="137" spans="1:22" ht="15" customHeight="1">
      <c r="A137" s="93">
        <v>121</v>
      </c>
      <c r="B137" s="64" t="s">
        <v>236</v>
      </c>
      <c r="C137" s="65" t="s">
        <v>40</v>
      </c>
      <c r="D137" s="48">
        <f>2246789.66*FX_RATE</f>
        <v>3452901848.7646284</v>
      </c>
      <c r="E137" s="10">
        <f>23033.14*FX_RATE</f>
        <v>35397693.475612</v>
      </c>
      <c r="F137" s="10">
        <f>310.47*FX_RATE</f>
        <v>477135.20142600004</v>
      </c>
      <c r="G137" s="10">
        <f>5158.64*FX_RATE</f>
        <v>7927879.4585120007</v>
      </c>
      <c r="H137" s="12">
        <f t="shared" si="64"/>
        <v>27946949.218525998</v>
      </c>
      <c r="I137" s="10">
        <f>2859578.2*1492.491</f>
        <v>4267894727.2962003</v>
      </c>
      <c r="J137" s="13">
        <f t="shared" si="57"/>
        <v>2.3881350964376842E-3</v>
      </c>
      <c r="K137" s="10">
        <f>3035927.24*FX_RATE</f>
        <v>4665660950.0823927</v>
      </c>
      <c r="L137" s="13">
        <f t="shared" si="65"/>
        <v>2.5305916608773281E-3</v>
      </c>
      <c r="M137" s="13">
        <f t="shared" si="66"/>
        <v>9.3199633121734834E-2</v>
      </c>
      <c r="N137" s="20">
        <f t="shared" si="67"/>
        <v>1.699197507776899E-3</v>
      </c>
      <c r="O137" s="21">
        <f t="shared" si="68"/>
        <v>5.9899228678484389E-3</v>
      </c>
      <c r="P137" s="22">
        <f t="shared" si="69"/>
        <v>16193.651516527638</v>
      </c>
      <c r="Q137" s="22">
        <f t="shared" si="70"/>
        <v>96.998723532817451</v>
      </c>
      <c r="R137" s="10">
        <f>10.54*FX_RATE</f>
        <v>16198.038531999999</v>
      </c>
      <c r="S137" s="10">
        <f>10.54*FX_RATE</f>
        <v>16198.038531999999</v>
      </c>
      <c r="T137" s="10">
        <v>114</v>
      </c>
      <c r="U137" s="17">
        <v>273030.78000000003</v>
      </c>
      <c r="V137" s="17">
        <v>288116.67</v>
      </c>
    </row>
    <row r="138" spans="1:22">
      <c r="A138" s="93">
        <v>122</v>
      </c>
      <c r="B138" s="70" t="s">
        <v>151</v>
      </c>
      <c r="C138" s="70" t="s">
        <v>44</v>
      </c>
      <c r="D138" s="48">
        <f>16521968.68*FX_RATE</f>
        <v>25391222514.529144</v>
      </c>
      <c r="E138" s="10">
        <f>334678.52*FX_RATE</f>
        <v>514339237.45661604</v>
      </c>
      <c r="F138" s="10">
        <f>263298.04*FX_RATE</f>
        <v>404640587.98103201</v>
      </c>
      <c r="G138" s="10">
        <f>28369.5*FX_RATE</f>
        <v>43598695.838100001</v>
      </c>
      <c r="H138" s="12">
        <f t="shared" si="64"/>
        <v>875381129.5995481</v>
      </c>
      <c r="I138" s="10">
        <f>16489113.4*1492.491</f>
        <v>24609853347.479401</v>
      </c>
      <c r="J138" s="13">
        <f t="shared" si="57"/>
        <v>1.377064296394514E-2</v>
      </c>
      <c r="K138" s="10">
        <f>16269271.12*FX_RATE</f>
        <v>25002872911.699696</v>
      </c>
      <c r="L138" s="13">
        <f t="shared" si="65"/>
        <v>1.3561221521509303E-2</v>
      </c>
      <c r="M138" s="13">
        <f t="shared" si="66"/>
        <v>1.5970008381238441E-2</v>
      </c>
      <c r="N138" s="20">
        <f t="shared" si="67"/>
        <v>1.7437474482261872E-3</v>
      </c>
      <c r="O138" s="21">
        <f t="shared" si="68"/>
        <v>3.5011221818030659E-2</v>
      </c>
      <c r="P138" s="22">
        <f t="shared" si="69"/>
        <v>1624.6734399338675</v>
      </c>
      <c r="Q138" s="22">
        <f t="shared" si="70"/>
        <v>56.881802187387542</v>
      </c>
      <c r="R138" s="10">
        <f>1.06*FX_RATE</f>
        <v>1629.0247480000003</v>
      </c>
      <c r="S138" s="10">
        <f>1.06*FX_RATE</f>
        <v>1629.0247480000003</v>
      </c>
      <c r="T138" s="10">
        <v>506</v>
      </c>
      <c r="U138" s="17">
        <v>15420705</v>
      </c>
      <c r="V138" s="17">
        <v>15389476</v>
      </c>
    </row>
    <row r="139" spans="1:22">
      <c r="A139" s="93">
        <v>123</v>
      </c>
      <c r="B139" s="19" t="s">
        <v>152</v>
      </c>
      <c r="C139" s="70" t="s">
        <v>83</v>
      </c>
      <c r="D139" s="48">
        <f>277534.52*FX_RATE</f>
        <v>426519435.38141602</v>
      </c>
      <c r="E139" s="10">
        <f>1751.77*FX_RATE</f>
        <v>2692147.813966</v>
      </c>
      <c r="F139" s="10">
        <f>6401.26*FX_RATE</f>
        <v>9837557.5079080015</v>
      </c>
      <c r="G139" s="10">
        <f>128.1*FX_RATE</f>
        <v>196866.10398000001</v>
      </c>
      <c r="H139" s="12">
        <f t="shared" si="64"/>
        <v>12332839.217894003</v>
      </c>
      <c r="I139" s="10">
        <f>275953.24*1492.491</f>
        <v>411857727.12083995</v>
      </c>
      <c r="J139" s="13">
        <f t="shared" si="57"/>
        <v>2.3045833032986866E-4</v>
      </c>
      <c r="K139" s="10">
        <f>268384.32*FX_RATE</f>
        <v>412457263.44825602</v>
      </c>
      <c r="L139" s="13">
        <f t="shared" si="65"/>
        <v>2.2371126460271566E-4</v>
      </c>
      <c r="M139" s="13">
        <f t="shared" si="66"/>
        <v>1.4556879425505038E-3</v>
      </c>
      <c r="N139" s="20">
        <f t="shared" si="67"/>
        <v>4.7730061130247847E-4</v>
      </c>
      <c r="O139" s="21">
        <f t="shared" si="68"/>
        <v>2.9900889888053079E-2</v>
      </c>
      <c r="P139" s="22">
        <f t="shared" si="69"/>
        <v>1718.4645270014626</v>
      </c>
      <c r="Q139" s="22">
        <f t="shared" si="70"/>
        <v>51.383618598395948</v>
      </c>
      <c r="R139" s="10">
        <f>1.1182*FX_RATE</f>
        <v>1718.4674275600003</v>
      </c>
      <c r="S139" s="10">
        <f>1.1182*FX_RATE</f>
        <v>1718.4674275600003</v>
      </c>
      <c r="T139" s="10">
        <v>2</v>
      </c>
      <c r="U139" s="17">
        <v>240015</v>
      </c>
      <c r="V139" s="17">
        <v>240015</v>
      </c>
    </row>
    <row r="140" spans="1:22">
      <c r="A140" s="93">
        <v>124</v>
      </c>
      <c r="B140" s="19" t="s">
        <v>153</v>
      </c>
      <c r="C140" s="19" t="s">
        <v>46</v>
      </c>
      <c r="D140" s="48">
        <f>656333744.92*FX_RATE</f>
        <v>1008664069266.2257</v>
      </c>
      <c r="E140" s="10">
        <f>4755826.05*FX_RATE</f>
        <v>7308828615.6915903</v>
      </c>
      <c r="F140" s="10">
        <v>0</v>
      </c>
      <c r="G140" s="10">
        <f>1104510.05*FX_RATE</f>
        <v>1697428496.0987902</v>
      </c>
      <c r="H140" s="12">
        <f t="shared" si="64"/>
        <v>5611400119.5928001</v>
      </c>
      <c r="I140" s="10">
        <f>658607918.05*1492.491</f>
        <v>982966390218.36243</v>
      </c>
      <c r="J140" s="13">
        <f t="shared" si="57"/>
        <v>0.55002681300583378</v>
      </c>
      <c r="K140" s="10">
        <f>661567732.44*FX_RATE</f>
        <v>1016707743983.9647</v>
      </c>
      <c r="L140" s="13">
        <f t="shared" si="65"/>
        <v>0.55144858702812238</v>
      </c>
      <c r="M140" s="13">
        <f t="shared" si="66"/>
        <v>3.43260503119611E-2</v>
      </c>
      <c r="N140" s="20">
        <f t="shared" si="67"/>
        <v>1.6695343437116198E-3</v>
      </c>
      <c r="O140" s="21">
        <f t="shared" si="68"/>
        <v>5.5191869569169933E-3</v>
      </c>
      <c r="P140" s="22">
        <f t="shared" si="69"/>
        <v>2460.2451313911079</v>
      </c>
      <c r="Q140" s="22">
        <f t="shared" si="70"/>
        <v>13.578552839992339</v>
      </c>
      <c r="R140" s="10">
        <f>1.6009*FX_RATE</f>
        <v>2460.28841422</v>
      </c>
      <c r="S140" s="10">
        <f>1.6009*FX_RATE</f>
        <v>2460.28841422</v>
      </c>
      <c r="T140" s="10">
        <v>10399</v>
      </c>
      <c r="U140" s="17">
        <v>413687926.39999998</v>
      </c>
      <c r="V140" s="17">
        <v>413254651.33999997</v>
      </c>
    </row>
    <row r="141" spans="1:22">
      <c r="A141" s="93">
        <v>125</v>
      </c>
      <c r="B141" s="19" t="s">
        <v>289</v>
      </c>
      <c r="C141" s="19" t="s">
        <v>288</v>
      </c>
      <c r="D141" s="48">
        <v>426941398.50999999</v>
      </c>
      <c r="E141" s="10">
        <v>16341663.720000001</v>
      </c>
      <c r="F141" s="10">
        <v>-621159.96</v>
      </c>
      <c r="G141" s="10">
        <v>1545506.8</v>
      </c>
      <c r="H141" s="12">
        <f t="shared" si="64"/>
        <v>14174996.960000001</v>
      </c>
      <c r="I141" s="10">
        <v>0</v>
      </c>
      <c r="J141" s="13"/>
      <c r="K141" s="10">
        <v>438654809.54000002</v>
      </c>
      <c r="L141" s="13">
        <f t="shared" si="65"/>
        <v>2.3792046076688314E-4</v>
      </c>
      <c r="M141" s="13" t="e">
        <f t="shared" si="66"/>
        <v>#DIV/0!</v>
      </c>
      <c r="N141" s="20">
        <f t="shared" si="67"/>
        <v>3.5232870274936961E-3</v>
      </c>
      <c r="O141" s="21">
        <f t="shared" si="68"/>
        <v>3.2314696320928891E-2</v>
      </c>
      <c r="P141" s="22">
        <f t="shared" si="69"/>
        <v>156300.70748410822</v>
      </c>
      <c r="Q141" s="22">
        <f t="shared" si="70"/>
        <v>5050.8098970952942</v>
      </c>
      <c r="R141" s="10">
        <v>156300.74</v>
      </c>
      <c r="S141" s="10">
        <v>156300.74</v>
      </c>
      <c r="T141" s="10">
        <v>17</v>
      </c>
      <c r="U141" s="17">
        <v>2666.05</v>
      </c>
      <c r="V141" s="17">
        <v>2806.48</v>
      </c>
    </row>
    <row r="142" spans="1:22">
      <c r="A142" s="93">
        <v>126</v>
      </c>
      <c r="B142" s="19" t="s">
        <v>154</v>
      </c>
      <c r="C142" s="19" t="s">
        <v>50</v>
      </c>
      <c r="D142" s="48">
        <f>65475146*FX_RATE</f>
        <v>100623238880.10681</v>
      </c>
      <c r="E142" s="10">
        <f>1083026*FX_RATE</f>
        <v>1664411468.6108</v>
      </c>
      <c r="F142" s="10">
        <v>0</v>
      </c>
      <c r="G142" s="10">
        <f>265237*FX_RATE</f>
        <v>407620412.34460002</v>
      </c>
      <c r="H142" s="12">
        <f t="shared" si="64"/>
        <v>1256791056.2662001</v>
      </c>
      <c r="I142" s="10">
        <f>133434657.71*1492.491</f>
        <v>199150025720.25558</v>
      </c>
      <c r="J142" s="13">
        <f t="shared" si="57"/>
        <v>0.11143601149232434</v>
      </c>
      <c r="K142" s="10">
        <f>137184495*FX_RATE</f>
        <v>210827299431.021</v>
      </c>
      <c r="L142" s="13">
        <f t="shared" si="65"/>
        <v>0.11434988772941325</v>
      </c>
      <c r="M142" s="13">
        <f t="shared" si="66"/>
        <v>5.8635562152366393E-2</v>
      </c>
      <c r="N142" s="20">
        <f t="shared" si="67"/>
        <v>1.9334327833477102E-3</v>
      </c>
      <c r="O142" s="21">
        <f t="shared" si="68"/>
        <v>5.9612349048629738E-3</v>
      </c>
      <c r="P142" s="22">
        <f t="shared" si="69"/>
        <v>1823.4108368919563</v>
      </c>
      <c r="Q142" s="22">
        <f t="shared" si="70"/>
        <v>10.869780326785735</v>
      </c>
      <c r="R142" s="10">
        <f>1.19*FX_RATE</f>
        <v>1828.810802</v>
      </c>
      <c r="S142" s="10">
        <f>1.19*FX_RATE</f>
        <v>1828.810802</v>
      </c>
      <c r="T142" s="10">
        <v>306</v>
      </c>
      <c r="U142" s="17">
        <v>112781490</v>
      </c>
      <c r="V142" s="17">
        <v>115622489</v>
      </c>
    </row>
    <row r="143" spans="1:22">
      <c r="A143" s="93">
        <v>127</v>
      </c>
      <c r="B143" s="19" t="s">
        <v>233</v>
      </c>
      <c r="C143" s="70" t="s">
        <v>213</v>
      </c>
      <c r="D143" s="48">
        <f>529316.95*FX_RATE</f>
        <v>813462651.96780992</v>
      </c>
      <c r="E143" s="10">
        <f>3933.12*FX_RATE</f>
        <v>6044480.9592960002</v>
      </c>
      <c r="F143" s="10">
        <v>0</v>
      </c>
      <c r="G143" s="10">
        <f>1060.42*FX_RATE</f>
        <v>1629670.2106360001</v>
      </c>
      <c r="H143" s="12">
        <f t="shared" ref="H143" si="72">(E143+F143)-G143</f>
        <v>4414810.74866</v>
      </c>
      <c r="I143" s="10">
        <f>630872.34*1492.491</f>
        <v>941571289.5989399</v>
      </c>
      <c r="J143" s="13">
        <f t="shared" ref="J143" si="73">(I143/$I$145)</f>
        <v>5.2686384884517831E-4</v>
      </c>
      <c r="K143" s="10">
        <f>539755.84*FX_RATE</f>
        <v>829505303.05427194</v>
      </c>
      <c r="L143" s="13">
        <f t="shared" si="65"/>
        <v>4.4991250436352258E-4</v>
      </c>
      <c r="M143" s="13">
        <f t="shared" si="66"/>
        <v>-0.11902018230866215</v>
      </c>
      <c r="N143" s="20">
        <f t="shared" si="67"/>
        <v>1.9646290441248404E-3</v>
      </c>
      <c r="O143" s="21">
        <f t="shared" si="68"/>
        <v>5.3222212472958151E-3</v>
      </c>
      <c r="P143" s="22">
        <f t="shared" si="69"/>
        <v>41884.328446486208</v>
      </c>
      <c r="Q143" s="22">
        <f t="shared" si="70"/>
        <v>222.9176627866054</v>
      </c>
      <c r="R143" s="10">
        <f>104.76*FX_RATE</f>
        <v>160996.82320800002</v>
      </c>
      <c r="S143" s="10">
        <f>104.76*FX_RATE</f>
        <v>160996.82320800002</v>
      </c>
      <c r="T143" s="10">
        <v>23</v>
      </c>
      <c r="U143" s="17">
        <v>25000</v>
      </c>
      <c r="V143" s="17">
        <v>19804.669999999998</v>
      </c>
    </row>
    <row r="144" spans="1:22">
      <c r="A144" s="93">
        <v>128</v>
      </c>
      <c r="B144" s="19" t="s">
        <v>286</v>
      </c>
      <c r="C144" s="19" t="s">
        <v>284</v>
      </c>
      <c r="D144" s="48">
        <f>781745.75*FX_RATE</f>
        <v>1201399220.1828501</v>
      </c>
      <c r="E144" s="10">
        <f>9704.52*FX_RATE</f>
        <v>14914059.667416001</v>
      </c>
      <c r="F144" s="10">
        <v>0</v>
      </c>
      <c r="G144" s="10">
        <f>2424.49*FX_RATE</f>
        <v>3725994.5389419999</v>
      </c>
      <c r="H144" s="12">
        <f t="shared" si="64"/>
        <v>11188065.128474001</v>
      </c>
      <c r="I144" s="10">
        <v>0</v>
      </c>
      <c r="J144" s="13">
        <f t="shared" si="57"/>
        <v>0</v>
      </c>
      <c r="K144" s="10">
        <f>1287409.69*FX_RATE</f>
        <v>1978511552.665102</v>
      </c>
      <c r="L144" s="13">
        <f t="shared" si="65"/>
        <v>1.0731180190097921E-3</v>
      </c>
      <c r="M144" s="13" t="e">
        <f t="shared" si="66"/>
        <v>#DIV/0!</v>
      </c>
      <c r="N144" s="20">
        <f t="shared" si="67"/>
        <v>1.8832311259052276E-3</v>
      </c>
      <c r="O144" s="21">
        <f t="shared" si="68"/>
        <v>5.6547888807641335E-3</v>
      </c>
      <c r="P144" s="22">
        <f t="shared" si="69"/>
        <v>1939.1052306865604</v>
      </c>
      <c r="Q144" s="22">
        <f t="shared" si="70"/>
        <v>10.965230697117933</v>
      </c>
      <c r="R144" s="10">
        <f>1.2618*FX_RATE</f>
        <v>1939.1541764400001</v>
      </c>
      <c r="S144" s="10">
        <f>1.2618*FX_RATE</f>
        <v>1939.1541764400001</v>
      </c>
      <c r="T144" s="10">
        <v>15</v>
      </c>
      <c r="U144" s="17">
        <v>1028698.92</v>
      </c>
      <c r="V144" s="17">
        <v>1020321.91</v>
      </c>
    </row>
    <row r="145" spans="1:22" ht="15" customHeight="1">
      <c r="A145" s="95" t="s">
        <v>51</v>
      </c>
      <c r="B145" s="95"/>
      <c r="C145" s="95"/>
      <c r="D145" s="95"/>
      <c r="E145" s="95"/>
      <c r="F145" s="95"/>
      <c r="G145" s="95"/>
      <c r="H145" s="95"/>
      <c r="I145" s="26">
        <f>SUM(I111:I144)</f>
        <v>1787124494616.1138</v>
      </c>
      <c r="J145" s="35">
        <f>(I145/$I$214)</f>
        <v>0.40861395920467969</v>
      </c>
      <c r="K145" s="37">
        <f>SUM(K111:K144)</f>
        <v>1843703597942.3325</v>
      </c>
      <c r="L145" s="35">
        <f>(K145/$K$214)</f>
        <v>0.38395416949890121</v>
      </c>
      <c r="M145" s="35">
        <f t="shared" si="59"/>
        <v>3.1659295978914058E-2</v>
      </c>
      <c r="N145" s="20"/>
      <c r="O145" s="20"/>
      <c r="P145" s="36"/>
      <c r="Q145" s="36"/>
      <c r="R145" s="37"/>
      <c r="S145" s="37"/>
      <c r="T145" s="39">
        <f>SUM(T111:T144)</f>
        <v>20581</v>
      </c>
      <c r="U145" s="39"/>
      <c r="V145" s="37"/>
    </row>
    <row r="146" spans="1:22" ht="6.9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</row>
    <row r="147" spans="1:22">
      <c r="A147" s="98" t="s">
        <v>155</v>
      </c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</row>
    <row r="148" spans="1:22">
      <c r="A148" s="72">
        <v>129</v>
      </c>
      <c r="B148" s="73" t="s">
        <v>229</v>
      </c>
      <c r="C148" s="73" t="s">
        <v>230</v>
      </c>
      <c r="D148" s="27">
        <v>2047446516.1900001</v>
      </c>
      <c r="E148" s="27">
        <v>39783175.299999997</v>
      </c>
      <c r="F148" s="27">
        <v>0</v>
      </c>
      <c r="G148" s="27">
        <v>4024863.99</v>
      </c>
      <c r="H148" s="12">
        <f>(E148+F148)-G148</f>
        <v>35758311.309999995</v>
      </c>
      <c r="I148" s="28">
        <v>2287847322.7800002</v>
      </c>
      <c r="J148" s="13">
        <f>(I148/$I$153)</f>
        <v>2.2619973218105507E-2</v>
      </c>
      <c r="K148" s="28">
        <v>2321358634.0900002</v>
      </c>
      <c r="L148" s="13">
        <f>(K148/$K$153)</f>
        <v>2.226522967287959E-2</v>
      </c>
      <c r="M148" s="13">
        <f t="shared" ref="M148:M153" si="74">((K148-I148)/I148)</f>
        <v>1.464752956909721E-2</v>
      </c>
      <c r="N148" s="20">
        <f>(G148/K148)</f>
        <v>1.7338398000607924E-3</v>
      </c>
      <c r="O148" s="21">
        <f>H148/K148</f>
        <v>1.5404044332002872E-2</v>
      </c>
      <c r="P148" s="22">
        <f>K148/V148</f>
        <v>109.39484609283696</v>
      </c>
      <c r="Q148" s="22">
        <f>H148/V148</f>
        <v>1.6851230589066915</v>
      </c>
      <c r="R148" s="27">
        <v>109.39</v>
      </c>
      <c r="S148" s="27">
        <v>109.39</v>
      </c>
      <c r="T148" s="27">
        <v>8</v>
      </c>
      <c r="U148" s="27">
        <v>21220000</v>
      </c>
      <c r="V148" s="27">
        <v>21220000</v>
      </c>
    </row>
    <row r="149" spans="1:22">
      <c r="A149" s="84">
        <v>130</v>
      </c>
      <c r="B149" s="19" t="s">
        <v>156</v>
      </c>
      <c r="C149" s="19" t="s">
        <v>44</v>
      </c>
      <c r="D149" s="27">
        <v>40009444990</v>
      </c>
      <c r="E149" s="27">
        <v>305617692</v>
      </c>
      <c r="F149" s="27">
        <v>0</v>
      </c>
      <c r="G149" s="27">
        <v>31672798</v>
      </c>
      <c r="H149" s="12">
        <f>(E149+F149)-G149</f>
        <v>273944894</v>
      </c>
      <c r="I149" s="28">
        <v>54189492802</v>
      </c>
      <c r="J149" s="13">
        <f t="shared" ref="J149:J152" si="75">(I149/$I$153)</f>
        <v>0.53577214863905975</v>
      </c>
      <c r="K149" s="28">
        <v>57062508820</v>
      </c>
      <c r="L149" s="13">
        <f t="shared" ref="L149:L152" si="76">(K149/$K$153)</f>
        <v>0.54731304587327245</v>
      </c>
      <c r="M149" s="13">
        <f t="shared" ref="M149:M152" si="77">((K149-I149)/I149)</f>
        <v>5.3017953655657098E-2</v>
      </c>
      <c r="N149" s="20">
        <f t="shared" ref="N149:N152" si="78">(G149/K149)</f>
        <v>5.550544246119601E-4</v>
      </c>
      <c r="O149" s="21">
        <f t="shared" ref="O149:O152" si="79">H149/K149</f>
        <v>4.8007860093242918E-3</v>
      </c>
      <c r="P149" s="22">
        <f t="shared" ref="P149:P152" si="80">K149/V149</f>
        <v>107.53363589422743</v>
      </c>
      <c r="Q149" s="22">
        <f t="shared" ref="Q149:Q152" si="81">H149/V149</f>
        <v>0.51624597473277956</v>
      </c>
      <c r="R149" s="27">
        <v>107.53</v>
      </c>
      <c r="S149" s="27">
        <v>107.53</v>
      </c>
      <c r="T149" s="27">
        <v>644</v>
      </c>
      <c r="U149" s="27">
        <v>530648000</v>
      </c>
      <c r="V149" s="27">
        <v>530648000</v>
      </c>
    </row>
    <row r="150" spans="1:22">
      <c r="A150" s="72">
        <v>131</v>
      </c>
      <c r="B150" s="19" t="s">
        <v>157</v>
      </c>
      <c r="C150" s="19" t="s">
        <v>122</v>
      </c>
      <c r="D150" s="27">
        <v>3129882195.8099999</v>
      </c>
      <c r="E150" s="27">
        <v>37752640.689999998</v>
      </c>
      <c r="F150" s="27">
        <v>0</v>
      </c>
      <c r="G150" s="27">
        <v>13176276.35</v>
      </c>
      <c r="H150" s="12">
        <f>(E150+F150)-G150</f>
        <v>24576364.339999996</v>
      </c>
      <c r="I150" s="28">
        <v>2837364378.79</v>
      </c>
      <c r="J150" s="13">
        <f t="shared" si="75"/>
        <v>2.8053054773012068E-2</v>
      </c>
      <c r="K150" s="28">
        <v>2858724095.8499999</v>
      </c>
      <c r="L150" s="13">
        <f t="shared" si="76"/>
        <v>2.7419351594695277E-2</v>
      </c>
      <c r="M150" s="13">
        <f t="shared" si="77"/>
        <v>7.5280133985148705E-3</v>
      </c>
      <c r="N150" s="20">
        <f t="shared" si="78"/>
        <v>4.6091458665521289E-3</v>
      </c>
      <c r="O150" s="21">
        <f t="shared" si="79"/>
        <v>8.5969696675791199E-3</v>
      </c>
      <c r="P150" s="22">
        <f t="shared" si="80"/>
        <v>142.93620479250001</v>
      </c>
      <c r="Q150" s="22">
        <f t="shared" si="81"/>
        <v>1.2288182169999997</v>
      </c>
      <c r="R150" s="27">
        <v>206</v>
      </c>
      <c r="S150" s="27">
        <v>206</v>
      </c>
      <c r="T150" s="27">
        <v>3250</v>
      </c>
      <c r="U150" s="27">
        <v>20000000</v>
      </c>
      <c r="V150" s="27">
        <v>20000000</v>
      </c>
    </row>
    <row r="151" spans="1:22">
      <c r="A151" s="93">
        <v>132</v>
      </c>
      <c r="B151" s="19" t="s">
        <v>158</v>
      </c>
      <c r="C151" s="19" t="s">
        <v>122</v>
      </c>
      <c r="D151" s="27">
        <v>12276104963.700001</v>
      </c>
      <c r="E151" s="27">
        <v>93928464.049999997</v>
      </c>
      <c r="F151" s="27">
        <v>0</v>
      </c>
      <c r="G151" s="27">
        <v>17330324.280000001</v>
      </c>
      <c r="H151" s="12">
        <f>(E151+F151)-G151</f>
        <v>76598139.769999996</v>
      </c>
      <c r="I151" s="28">
        <v>10815567033</v>
      </c>
      <c r="J151" s="13">
        <f t="shared" si="75"/>
        <v>0.10693363765542244</v>
      </c>
      <c r="K151" s="28">
        <v>10889668743.690001</v>
      </c>
      <c r="L151" s="13">
        <f t="shared" si="76"/>
        <v>0.10444787465375145</v>
      </c>
      <c r="M151" s="13">
        <f t="shared" si="77"/>
        <v>6.8513939642650757E-3</v>
      </c>
      <c r="N151" s="20">
        <f t="shared" si="78"/>
        <v>1.5914464147536193E-3</v>
      </c>
      <c r="O151" s="21">
        <f t="shared" si="79"/>
        <v>7.0340192684359339E-3</v>
      </c>
      <c r="P151" s="22">
        <f t="shared" si="80"/>
        <v>57.884646665833827</v>
      </c>
      <c r="Q151" s="22">
        <f t="shared" si="81"/>
        <v>0.40716171999408102</v>
      </c>
      <c r="R151" s="27">
        <v>51.25</v>
      </c>
      <c r="S151" s="27">
        <v>51.25</v>
      </c>
      <c r="T151" s="27">
        <v>5344</v>
      </c>
      <c r="U151" s="27">
        <v>188127066</v>
      </c>
      <c r="V151" s="27">
        <v>188127066</v>
      </c>
    </row>
    <row r="152" spans="1:22" ht="15.9" customHeight="1">
      <c r="A152" s="72">
        <v>133</v>
      </c>
      <c r="B152" s="19" t="s">
        <v>159</v>
      </c>
      <c r="C152" s="70" t="s">
        <v>160</v>
      </c>
      <c r="D152" s="27">
        <v>30140595556.099998</v>
      </c>
      <c r="E152" s="27">
        <v>256384989.00999999</v>
      </c>
      <c r="F152" s="27">
        <v>0</v>
      </c>
      <c r="G152" s="27">
        <v>32389192.809999999</v>
      </c>
      <c r="H152" s="12">
        <f>(E152+F152)-G152</f>
        <v>223995796.19999999</v>
      </c>
      <c r="I152" s="28">
        <v>31012523846.970001</v>
      </c>
      <c r="J152" s="13">
        <f t="shared" si="75"/>
        <v>0.30662118571440022</v>
      </c>
      <c r="K152" s="28">
        <v>31127101419.470001</v>
      </c>
      <c r="L152" s="13">
        <f t="shared" si="76"/>
        <v>0.29855449820540136</v>
      </c>
      <c r="M152" s="13">
        <f t="shared" si="77"/>
        <v>3.6945581425548669E-3</v>
      </c>
      <c r="N152" s="20">
        <f t="shared" si="78"/>
        <v>1.0405463834721391E-3</v>
      </c>
      <c r="O152" s="21">
        <f t="shared" si="79"/>
        <v>7.1961662340936962E-3</v>
      </c>
      <c r="P152" s="22">
        <f t="shared" si="80"/>
        <v>11.665651246798722</v>
      </c>
      <c r="Q152" s="22">
        <f t="shared" si="81"/>
        <v>8.3947965600925989E-2</v>
      </c>
      <c r="R152" s="27">
        <v>11.67</v>
      </c>
      <c r="S152" s="27">
        <v>11.67</v>
      </c>
      <c r="T152" s="27">
        <v>208195</v>
      </c>
      <c r="U152" s="27">
        <v>2668269500</v>
      </c>
      <c r="V152" s="27">
        <v>2668269500</v>
      </c>
    </row>
    <row r="153" spans="1:22" ht="15" customHeight="1">
      <c r="A153" s="95" t="s">
        <v>51</v>
      </c>
      <c r="B153" s="95"/>
      <c r="C153" s="95"/>
      <c r="D153" s="95"/>
      <c r="E153" s="95"/>
      <c r="F153" s="95"/>
      <c r="G153" s="95"/>
      <c r="H153" s="95"/>
      <c r="I153" s="37">
        <f>SUM(I148:I152)</f>
        <v>101142795383.54001</v>
      </c>
      <c r="J153" s="35">
        <f>(I153/$I$214)</f>
        <v>2.3125617824165456E-2</v>
      </c>
      <c r="K153" s="37">
        <f>SUM(K148:K152)</f>
        <v>104259361713.09999</v>
      </c>
      <c r="L153" s="35">
        <f>(K153/$K$214)</f>
        <v>2.1712175798601945E-2</v>
      </c>
      <c r="M153" s="35">
        <f t="shared" si="74"/>
        <v>3.0813527723272446E-2</v>
      </c>
      <c r="N153" s="20"/>
      <c r="O153" s="20"/>
      <c r="P153" s="38"/>
      <c r="Q153" s="38"/>
      <c r="R153" s="37"/>
      <c r="S153" s="37"/>
      <c r="T153" s="37">
        <f>SUM(T148:T152)</f>
        <v>217441</v>
      </c>
      <c r="U153" s="37"/>
      <c r="V153" s="37"/>
    </row>
    <row r="154" spans="1:22" ht="8.1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</row>
    <row r="155" spans="1:22">
      <c r="A155" s="98" t="s">
        <v>161</v>
      </c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</row>
    <row r="156" spans="1:22">
      <c r="A156" s="84">
        <v>134</v>
      </c>
      <c r="B156" s="19" t="s">
        <v>162</v>
      </c>
      <c r="C156" s="19" t="s">
        <v>55</v>
      </c>
      <c r="D156" s="29">
        <v>289792095.63999999</v>
      </c>
      <c r="E156" s="29">
        <v>6361959.5499999998</v>
      </c>
      <c r="F156" s="29">
        <v>-5838045.1500000004</v>
      </c>
      <c r="G156" s="10">
        <v>705719.67</v>
      </c>
      <c r="H156" s="12">
        <f>(E156+F156)-G156</f>
        <v>-181805.2700000006</v>
      </c>
      <c r="I156" s="10">
        <v>269709834.33999997</v>
      </c>
      <c r="J156" s="13">
        <f t="shared" ref="J156:J182" si="82">(I156/$I$183)</f>
        <v>4.6800930250478585E-3</v>
      </c>
      <c r="K156" s="10">
        <v>285744414.06999999</v>
      </c>
      <c r="L156" s="13">
        <f t="shared" ref="L156:L183" si="83">(K156/$K$183)</f>
        <v>5.0023863305910877E-3</v>
      </c>
      <c r="M156" s="13">
        <f t="shared" ref="M156" si="84">((K156-I156)/I156)</f>
        <v>5.945122382814786E-2</v>
      </c>
      <c r="N156" s="20">
        <f t="shared" ref="N156" si="85">(G156/K156)</f>
        <v>2.4697584108402449E-3</v>
      </c>
      <c r="O156" s="21">
        <f t="shared" ref="O156" si="86">H156/K156</f>
        <v>-6.3625135277522169E-4</v>
      </c>
      <c r="P156" s="22">
        <f t="shared" ref="P156" si="87">K156/V156</f>
        <v>6.0975464412304348</v>
      </c>
      <c r="Q156" s="22">
        <f t="shared" ref="Q156" si="88">H156/V156</f>
        <v>-3.879572171842603E-3</v>
      </c>
      <c r="R156" s="10">
        <v>6.0202999999999998</v>
      </c>
      <c r="S156" s="10">
        <v>6.1064999999999996</v>
      </c>
      <c r="T156" s="10">
        <v>11842</v>
      </c>
      <c r="U156" s="10">
        <v>44180957.060000002</v>
      </c>
      <c r="V156" s="10">
        <v>46862195.609999999</v>
      </c>
    </row>
    <row r="157" spans="1:22">
      <c r="A157" s="84">
        <v>135</v>
      </c>
      <c r="B157" s="64" t="s">
        <v>223</v>
      </c>
      <c r="C157" s="64" t="s">
        <v>224</v>
      </c>
      <c r="D157" s="29">
        <v>692369229.41999996</v>
      </c>
      <c r="E157" s="29">
        <v>2101438.36</v>
      </c>
      <c r="F157" s="29">
        <v>-9897823.1999999993</v>
      </c>
      <c r="G157" s="10">
        <v>1196879.72</v>
      </c>
      <c r="H157" s="12">
        <f t="shared" ref="H157:H182" si="89">(E157+F157)-G157</f>
        <v>-8993264.5600000005</v>
      </c>
      <c r="I157" s="10">
        <v>712003750.5</v>
      </c>
      <c r="J157" s="13">
        <f t="shared" si="82"/>
        <v>1.2354921334912439E-2</v>
      </c>
      <c r="K157" s="10">
        <v>702525680.30999994</v>
      </c>
      <c r="L157" s="13">
        <f t="shared" ref="L157:L182" si="90">(K157/$K$183)</f>
        <v>1.2298770114228846E-2</v>
      </c>
      <c r="M157" s="13">
        <f t="shared" ref="M157:M182" si="91">((K157-I157)/I157)</f>
        <v>-1.3311826213477308E-2</v>
      </c>
      <c r="N157" s="20">
        <f t="shared" ref="N157:N182" si="92">(G157/K157)</f>
        <v>1.7036810945784344E-3</v>
      </c>
      <c r="O157" s="21">
        <f t="shared" ref="O157:O182" si="93">H157/K157</f>
        <v>-1.2801332125014402E-2</v>
      </c>
      <c r="P157" s="22">
        <f t="shared" ref="P157:P182" si="94">K157/V157</f>
        <v>1623.3909498049691</v>
      </c>
      <c r="Q157" s="22">
        <f t="shared" ref="Q157:Q182" si="95">H157/V157</f>
        <v>-20.781566717195993</v>
      </c>
      <c r="R157" s="10">
        <v>1611.9629</v>
      </c>
      <c r="S157" s="10">
        <v>1631.2820999999999</v>
      </c>
      <c r="T157" s="10">
        <v>165</v>
      </c>
      <c r="U157" s="10">
        <v>433023</v>
      </c>
      <c r="V157" s="10">
        <v>432752</v>
      </c>
    </row>
    <row r="158" spans="1:22">
      <c r="A158" s="93">
        <v>136</v>
      </c>
      <c r="B158" s="19" t="s">
        <v>163</v>
      </c>
      <c r="C158" s="70" t="s">
        <v>58</v>
      </c>
      <c r="D158" s="29">
        <v>5667587488.0799999</v>
      </c>
      <c r="E158" s="29">
        <v>47201514.310000002</v>
      </c>
      <c r="F158" s="29">
        <v>-115853641.8</v>
      </c>
      <c r="G158" s="10">
        <v>16345995.66</v>
      </c>
      <c r="H158" s="12">
        <f t="shared" si="89"/>
        <v>-84998123.149999991</v>
      </c>
      <c r="I158" s="10">
        <v>7055148834</v>
      </c>
      <c r="J158" s="13">
        <f t="shared" si="82"/>
        <v>0.12242324396319205</v>
      </c>
      <c r="K158" s="10">
        <v>6972198542</v>
      </c>
      <c r="L158" s="13">
        <f t="shared" si="90"/>
        <v>0.12205883637019688</v>
      </c>
      <c r="M158" s="13">
        <f t="shared" si="91"/>
        <v>-1.175741206198911E-2</v>
      </c>
      <c r="N158" s="20">
        <f t="shared" si="92"/>
        <v>2.3444535552929182E-3</v>
      </c>
      <c r="O158" s="21">
        <f t="shared" si="93"/>
        <v>-1.2191007275248644E-2</v>
      </c>
      <c r="P158" s="22">
        <f t="shared" si="94"/>
        <v>817.99952976925488</v>
      </c>
      <c r="Q158" s="22">
        <f t="shared" si="95"/>
        <v>-9.9722382185669574</v>
      </c>
      <c r="R158" s="10">
        <v>813.90949999999998</v>
      </c>
      <c r="S158" s="10">
        <v>838.44949999999994</v>
      </c>
      <c r="T158" s="10">
        <v>21411</v>
      </c>
      <c r="U158" s="10">
        <v>8499982</v>
      </c>
      <c r="V158" s="10">
        <v>8523475</v>
      </c>
    </row>
    <row r="159" spans="1:22">
      <c r="A159" s="93">
        <v>137</v>
      </c>
      <c r="B159" s="19" t="s">
        <v>164</v>
      </c>
      <c r="C159" s="19" t="s">
        <v>105</v>
      </c>
      <c r="D159" s="29">
        <v>2047516922.8399999</v>
      </c>
      <c r="E159" s="29">
        <v>14619989.779999999</v>
      </c>
      <c r="F159" s="29">
        <v>-2411757.85</v>
      </c>
      <c r="G159" s="10">
        <v>2984211.93</v>
      </c>
      <c r="H159" s="12">
        <f t="shared" si="89"/>
        <v>9224020</v>
      </c>
      <c r="I159" s="10">
        <v>1986681775.3599999</v>
      </c>
      <c r="J159" s="13">
        <f t="shared" si="82"/>
        <v>3.4473550223352349E-2</v>
      </c>
      <c r="K159" s="10">
        <v>1991822302.54</v>
      </c>
      <c r="L159" s="13">
        <f t="shared" si="90"/>
        <v>3.4869849307891186E-2</v>
      </c>
      <c r="M159" s="13">
        <f t="shared" si="91"/>
        <v>2.587494003194633E-3</v>
      </c>
      <c r="N159" s="20">
        <f t="shared" si="92"/>
        <v>1.4982320090474392E-3</v>
      </c>
      <c r="O159" s="21">
        <f t="shared" si="93"/>
        <v>4.6309452345409527E-3</v>
      </c>
      <c r="P159" s="22">
        <f t="shared" si="94"/>
        <v>4.8094101183758786</v>
      </c>
      <c r="Q159" s="22">
        <f t="shared" si="95"/>
        <v>2.2272114868645814E-2</v>
      </c>
      <c r="R159" s="10">
        <v>4.7805999999999997</v>
      </c>
      <c r="S159" s="10">
        <v>4.8878000000000004</v>
      </c>
      <c r="T159" s="10">
        <v>2739</v>
      </c>
      <c r="U159" s="10">
        <v>415010130.83999997</v>
      </c>
      <c r="V159" s="10">
        <v>414151060.83999997</v>
      </c>
    </row>
    <row r="160" spans="1:22">
      <c r="A160" s="93">
        <v>138</v>
      </c>
      <c r="B160" s="19" t="s">
        <v>165</v>
      </c>
      <c r="C160" s="19" t="s">
        <v>60</v>
      </c>
      <c r="D160" s="29">
        <v>3827511480.0799999</v>
      </c>
      <c r="E160" s="29">
        <v>87540527.319999993</v>
      </c>
      <c r="F160" s="29">
        <v>-1101847589.49</v>
      </c>
      <c r="G160" s="10">
        <v>10252557.09</v>
      </c>
      <c r="H160" s="12">
        <f t="shared" si="89"/>
        <v>-1024559619.2600001</v>
      </c>
      <c r="I160" s="10">
        <v>4018775603.6799998</v>
      </c>
      <c r="J160" s="13">
        <f t="shared" si="82"/>
        <v>6.9735105203117403E-2</v>
      </c>
      <c r="K160" s="10">
        <v>3800739996.4200001</v>
      </c>
      <c r="L160" s="13">
        <f t="shared" si="90"/>
        <v>6.6537677966872141E-2</v>
      </c>
      <c r="M160" s="13">
        <f t="shared" si="91"/>
        <v>-5.4254237798284671E-2</v>
      </c>
      <c r="N160" s="20">
        <f t="shared" si="92"/>
        <v>2.6975160362605983E-3</v>
      </c>
      <c r="O160" s="21">
        <f t="shared" si="93"/>
        <v>-0.26956845778060462</v>
      </c>
      <c r="P160" s="22">
        <f t="shared" si="94"/>
        <v>8715.5992252973938</v>
      </c>
      <c r="Q160" s="22">
        <f t="shared" si="95"/>
        <v>-2349.4506417972507</v>
      </c>
      <c r="R160" s="10">
        <v>8715.6</v>
      </c>
      <c r="S160" s="10">
        <v>8799.7900000000009</v>
      </c>
      <c r="T160" s="10">
        <v>999</v>
      </c>
      <c r="U160" s="10">
        <v>462744.96</v>
      </c>
      <c r="V160" s="10">
        <v>436084.76</v>
      </c>
    </row>
    <row r="161" spans="1:22" ht="14.1" customHeight="1">
      <c r="A161" s="93">
        <v>139</v>
      </c>
      <c r="B161" s="19" t="s">
        <v>166</v>
      </c>
      <c r="C161" s="70" t="s">
        <v>62</v>
      </c>
      <c r="D161" s="29">
        <v>783522374.85000002</v>
      </c>
      <c r="E161" s="29">
        <v>8361567.54</v>
      </c>
      <c r="F161" s="29">
        <v>-1270057.76</v>
      </c>
      <c r="G161" s="10">
        <v>1627835.72</v>
      </c>
      <c r="H161" s="12">
        <f t="shared" si="89"/>
        <v>5463674.0600000005</v>
      </c>
      <c r="I161" s="10">
        <v>833209636.03999996</v>
      </c>
      <c r="J161" s="13">
        <f t="shared" si="82"/>
        <v>1.445812539826674E-2</v>
      </c>
      <c r="K161" s="10">
        <v>842480708.13999999</v>
      </c>
      <c r="L161" s="13">
        <f t="shared" si="90"/>
        <v>1.4748893663950376E-2</v>
      </c>
      <c r="M161" s="13">
        <f t="shared" si="91"/>
        <v>1.1126938166561177E-2</v>
      </c>
      <c r="N161" s="20">
        <f t="shared" si="92"/>
        <v>1.9321934665944812E-3</v>
      </c>
      <c r="O161" s="21">
        <f t="shared" si="93"/>
        <v>6.4852215691235384E-3</v>
      </c>
      <c r="P161" s="22">
        <f t="shared" si="94"/>
        <v>216.71044484406394</v>
      </c>
      <c r="Q161" s="22">
        <f t="shared" si="95"/>
        <v>1.4054152511570803</v>
      </c>
      <c r="R161" s="10">
        <v>216.28</v>
      </c>
      <c r="S161" s="10">
        <v>218.1</v>
      </c>
      <c r="T161" s="10">
        <f>674+12+6</f>
        <v>692</v>
      </c>
      <c r="U161" s="10">
        <v>3839549</v>
      </c>
      <c r="V161" s="10">
        <v>3887587</v>
      </c>
    </row>
    <row r="162" spans="1:22">
      <c r="A162" s="93">
        <v>140</v>
      </c>
      <c r="B162" s="19" t="s">
        <v>167</v>
      </c>
      <c r="C162" s="70" t="s">
        <v>64</v>
      </c>
      <c r="D162" s="29">
        <v>214594578.65000001</v>
      </c>
      <c r="E162" s="29">
        <v>3534894.64</v>
      </c>
      <c r="F162" s="29"/>
      <c r="G162" s="10">
        <v>1740112.33</v>
      </c>
      <c r="H162" s="12">
        <f t="shared" si="89"/>
        <v>1794782.31</v>
      </c>
      <c r="I162" s="10">
        <v>225775953.30000001</v>
      </c>
      <c r="J162" s="13">
        <f t="shared" si="82"/>
        <v>3.917737989971957E-3</v>
      </c>
      <c r="K162" s="10">
        <v>225425016.80000001</v>
      </c>
      <c r="L162" s="13">
        <f t="shared" si="90"/>
        <v>3.9464044337795458E-3</v>
      </c>
      <c r="M162" s="13">
        <f t="shared" si="91"/>
        <v>-1.5543572947899053E-3</v>
      </c>
      <c r="N162" s="20">
        <f t="shared" si="92"/>
        <v>7.7192511935968945E-3</v>
      </c>
      <c r="O162" s="21">
        <f t="shared" si="93"/>
        <v>7.9617707718409713E-3</v>
      </c>
      <c r="P162" s="22">
        <f t="shared" si="94"/>
        <v>1.5998438481550457</v>
      </c>
      <c r="Q162" s="22">
        <f t="shared" si="95"/>
        <v>1.2737589989750428E-2</v>
      </c>
      <c r="R162" s="10">
        <v>1.6014999999999999</v>
      </c>
      <c r="S162" s="10">
        <v>1.6174999999999999</v>
      </c>
      <c r="T162" s="10">
        <v>286</v>
      </c>
      <c r="U162" s="10">
        <v>140250906.80000001</v>
      </c>
      <c r="V162" s="10">
        <v>140904387.05000001</v>
      </c>
    </row>
    <row r="163" spans="1:22">
      <c r="A163" s="93">
        <v>141</v>
      </c>
      <c r="B163" s="64" t="s">
        <v>225</v>
      </c>
      <c r="C163" s="65" t="s">
        <v>48</v>
      </c>
      <c r="D163" s="29">
        <v>122404495.26000001</v>
      </c>
      <c r="E163" s="29">
        <v>396399.04</v>
      </c>
      <c r="F163" s="29">
        <v>0</v>
      </c>
      <c r="G163" s="10">
        <v>139260.57</v>
      </c>
      <c r="H163" s="12">
        <f t="shared" si="89"/>
        <v>257138.46999999997</v>
      </c>
      <c r="I163" s="10">
        <v>129698203.92</v>
      </c>
      <c r="J163" s="13">
        <f t="shared" si="82"/>
        <v>2.2505655420856272E-3</v>
      </c>
      <c r="K163" s="10">
        <v>130125237.64</v>
      </c>
      <c r="L163" s="13">
        <f t="shared" si="90"/>
        <v>2.2780382677079743E-3</v>
      </c>
      <c r="M163" s="13">
        <f t="shared" si="91"/>
        <v>3.2925183779985131E-3</v>
      </c>
      <c r="N163" s="20">
        <f t="shared" si="92"/>
        <v>1.0702041550561736E-3</v>
      </c>
      <c r="O163" s="21">
        <f t="shared" si="93"/>
        <v>1.9760845372009265E-3</v>
      </c>
      <c r="P163" s="22">
        <f t="shared" si="94"/>
        <v>165.45266187703118</v>
      </c>
      <c r="Q163" s="22">
        <f t="shared" si="95"/>
        <v>0.32694844677393448</v>
      </c>
      <c r="R163" s="10">
        <v>165.18899999999999</v>
      </c>
      <c r="S163" s="10">
        <v>166.0898</v>
      </c>
      <c r="T163" s="10">
        <v>123</v>
      </c>
      <c r="U163" s="10">
        <v>781740.95</v>
      </c>
      <c r="V163" s="10">
        <v>786480.17</v>
      </c>
    </row>
    <row r="164" spans="1:22">
      <c r="A164" s="93">
        <v>142</v>
      </c>
      <c r="B164" s="64" t="s">
        <v>168</v>
      </c>
      <c r="C164" s="65" t="s">
        <v>169</v>
      </c>
      <c r="D164" s="29">
        <v>181293947.97</v>
      </c>
      <c r="E164" s="29">
        <v>2644057.34</v>
      </c>
      <c r="F164" s="29">
        <v>0</v>
      </c>
      <c r="G164" s="10">
        <v>755591.08</v>
      </c>
      <c r="H164" s="12">
        <f t="shared" si="89"/>
        <v>1888466.2599999998</v>
      </c>
      <c r="I164" s="10">
        <v>253484181.83000001</v>
      </c>
      <c r="J164" s="13">
        <f t="shared" si="82"/>
        <v>4.3985402098725198E-3</v>
      </c>
      <c r="K164" s="10">
        <v>255064223.43000001</v>
      </c>
      <c r="L164" s="13">
        <f t="shared" si="90"/>
        <v>4.4652833857199859E-3</v>
      </c>
      <c r="M164" s="13">
        <f t="shared" si="91"/>
        <v>6.2332946718531498E-3</v>
      </c>
      <c r="N164" s="20">
        <f t="shared" si="92"/>
        <v>2.9623561855877637E-3</v>
      </c>
      <c r="O164" s="21">
        <f t="shared" si="93"/>
        <v>7.4038853219188213E-3</v>
      </c>
      <c r="P164" s="22">
        <f t="shared" si="94"/>
        <v>128.76126676756317</v>
      </c>
      <c r="Q164" s="22">
        <f t="shared" si="95"/>
        <v>0.95333365305203466</v>
      </c>
      <c r="R164" s="10">
        <v>128.76</v>
      </c>
      <c r="S164" s="10">
        <v>129.74</v>
      </c>
      <c r="T164" s="10">
        <v>68</v>
      </c>
      <c r="U164" s="10">
        <v>1975835</v>
      </c>
      <c r="V164" s="10">
        <v>1980908</v>
      </c>
    </row>
    <row r="165" spans="1:22">
      <c r="A165" s="93">
        <v>143</v>
      </c>
      <c r="B165" s="19" t="s">
        <v>170</v>
      </c>
      <c r="C165" s="70" t="s">
        <v>69</v>
      </c>
      <c r="D165" s="29">
        <v>338514683.10000002</v>
      </c>
      <c r="E165" s="29">
        <v>3107965.02</v>
      </c>
      <c r="F165" s="29">
        <v>-1786591.45</v>
      </c>
      <c r="G165" s="10">
        <v>753304.22</v>
      </c>
      <c r="H165" s="12">
        <f t="shared" si="89"/>
        <v>568069.35000000009</v>
      </c>
      <c r="I165" s="10">
        <v>338972923.38</v>
      </c>
      <c r="J165" s="13">
        <f t="shared" si="82"/>
        <v>5.8819687397492181E-3</v>
      </c>
      <c r="K165" s="10">
        <v>342316574.89999998</v>
      </c>
      <c r="L165" s="13">
        <f t="shared" si="90"/>
        <v>5.9927672097730891E-3</v>
      </c>
      <c r="M165" s="13">
        <f t="shared" si="91"/>
        <v>9.864066683142228E-3</v>
      </c>
      <c r="N165" s="20">
        <f t="shared" si="92"/>
        <v>2.2006069096130116E-3</v>
      </c>
      <c r="O165" s="21">
        <f t="shared" si="93"/>
        <v>1.6594853759738298E-3</v>
      </c>
      <c r="P165" s="22">
        <f t="shared" si="94"/>
        <v>1.3698791903991805</v>
      </c>
      <c r="Q165" s="22">
        <f t="shared" si="95"/>
        <v>2.2732944833183093E-3</v>
      </c>
      <c r="R165" s="10">
        <v>1.3493999999999999</v>
      </c>
      <c r="S165" s="10">
        <v>1.3632</v>
      </c>
      <c r="T165" s="10">
        <v>101</v>
      </c>
      <c r="U165" s="10">
        <v>249643074.53</v>
      </c>
      <c r="V165" s="10">
        <v>249888148.75</v>
      </c>
    </row>
    <row r="166" spans="1:22">
      <c r="A166" s="93">
        <v>144</v>
      </c>
      <c r="B166" s="70" t="s">
        <v>171</v>
      </c>
      <c r="C166" s="70" t="s">
        <v>73</v>
      </c>
      <c r="D166" s="29">
        <v>10228035628.15</v>
      </c>
      <c r="E166" s="29">
        <v>73393136.819999993</v>
      </c>
      <c r="F166" s="29">
        <v>-69328225.069999993</v>
      </c>
      <c r="G166" s="10">
        <v>16485129.960000001</v>
      </c>
      <c r="H166" s="12">
        <f t="shared" si="89"/>
        <v>-12420218.210000001</v>
      </c>
      <c r="I166" s="10">
        <v>9958116064.9099998</v>
      </c>
      <c r="J166" s="13">
        <f t="shared" si="82"/>
        <v>0.17279647830435252</v>
      </c>
      <c r="K166" s="10">
        <v>9941061425.7399998</v>
      </c>
      <c r="L166" s="13">
        <f t="shared" si="90"/>
        <v>0.17403325258181879</v>
      </c>
      <c r="M166" s="13">
        <f t="shared" si="91"/>
        <v>-1.7126371151764852E-3</v>
      </c>
      <c r="N166" s="20">
        <f t="shared" si="92"/>
        <v>1.6582867013894213E-3</v>
      </c>
      <c r="O166" s="21">
        <f t="shared" si="93"/>
        <v>-1.2493855211316589E-3</v>
      </c>
      <c r="P166" s="22">
        <f t="shared" si="94"/>
        <v>344.62613705781024</v>
      </c>
      <c r="Q166" s="22">
        <f t="shared" si="95"/>
        <v>-0.43057090584356272</v>
      </c>
      <c r="R166" s="10">
        <v>344.63</v>
      </c>
      <c r="S166" s="10">
        <v>347.36</v>
      </c>
      <c r="T166" s="10">
        <v>5476</v>
      </c>
      <c r="U166" s="10">
        <v>28921671</v>
      </c>
      <c r="V166" s="10">
        <v>28845930</v>
      </c>
    </row>
    <row r="167" spans="1:22" ht="15.6" customHeight="1">
      <c r="A167" s="93">
        <v>145</v>
      </c>
      <c r="B167" s="83" t="s">
        <v>172</v>
      </c>
      <c r="C167" s="19" t="s">
        <v>252</v>
      </c>
      <c r="D167" s="29">
        <v>3549485392.5300002</v>
      </c>
      <c r="E167" s="29">
        <v>28969869.260000002</v>
      </c>
      <c r="F167" s="29">
        <v>24110153.649999999</v>
      </c>
      <c r="G167" s="10">
        <v>11210742.300000001</v>
      </c>
      <c r="H167" s="12">
        <f t="shared" si="89"/>
        <v>41869280.609999999</v>
      </c>
      <c r="I167" s="10">
        <v>3530334960.4099998</v>
      </c>
      <c r="J167" s="13">
        <f t="shared" si="82"/>
        <v>6.1259523831337981E-2</v>
      </c>
      <c r="K167" s="10">
        <v>3580834457.6500001</v>
      </c>
      <c r="L167" s="13">
        <f t="shared" si="90"/>
        <v>6.2687900308944486E-2</v>
      </c>
      <c r="M167" s="13">
        <f t="shared" si="91"/>
        <v>1.4304449239608535E-2</v>
      </c>
      <c r="N167" s="20">
        <f t="shared" si="92"/>
        <v>3.1307625171137603E-3</v>
      </c>
      <c r="O167" s="21">
        <f t="shared" si="93"/>
        <v>1.1692604365038875E-2</v>
      </c>
      <c r="P167" s="22">
        <f t="shared" si="94"/>
        <v>2.5331528660369496</v>
      </c>
      <c r="Q167" s="22">
        <f t="shared" si="95"/>
        <v>2.9619154258734369E-2</v>
      </c>
      <c r="R167" s="10">
        <v>2.5093000000000001</v>
      </c>
      <c r="S167" s="10">
        <v>2.5531999999999999</v>
      </c>
      <c r="T167" s="10">
        <v>10305</v>
      </c>
      <c r="U167" s="10">
        <v>1413482276.95</v>
      </c>
      <c r="V167" s="10">
        <v>1413587985.8099999</v>
      </c>
    </row>
    <row r="168" spans="1:22">
      <c r="A168" s="93">
        <v>146</v>
      </c>
      <c r="B168" s="19" t="s">
        <v>173</v>
      </c>
      <c r="C168" s="70" t="s">
        <v>77</v>
      </c>
      <c r="D168" s="29">
        <v>184503065.47999999</v>
      </c>
      <c r="E168" s="29">
        <v>1786264.13</v>
      </c>
      <c r="F168" s="29">
        <v>0</v>
      </c>
      <c r="G168" s="10">
        <v>533994.21</v>
      </c>
      <c r="H168" s="12">
        <f t="shared" si="89"/>
        <v>1252269.92</v>
      </c>
      <c r="I168" s="10">
        <v>261871704.78999999</v>
      </c>
      <c r="J168" s="13">
        <f t="shared" si="82"/>
        <v>4.5440832442916511E-3</v>
      </c>
      <c r="K168" s="10">
        <v>266058081.81</v>
      </c>
      <c r="L168" s="13">
        <f t="shared" si="90"/>
        <v>4.6577474346133222E-3</v>
      </c>
      <c r="M168" s="13">
        <f t="shared" si="91"/>
        <v>1.5986366390202972E-2</v>
      </c>
      <c r="N168" s="20">
        <f t="shared" si="92"/>
        <v>2.0070587834326381E-3</v>
      </c>
      <c r="O168" s="21">
        <f t="shared" si="93"/>
        <v>4.7067539218533612E-3</v>
      </c>
      <c r="P168" s="22">
        <f t="shared" si="94"/>
        <v>346.02793754196216</v>
      </c>
      <c r="Q168" s="22">
        <f t="shared" si="95"/>
        <v>1.6286683520964602</v>
      </c>
      <c r="R168" s="10">
        <v>344.94299999999998</v>
      </c>
      <c r="S168" s="10">
        <v>347.26</v>
      </c>
      <c r="T168" s="10">
        <v>39</v>
      </c>
      <c r="U168" s="10">
        <v>768555.08</v>
      </c>
      <c r="V168" s="10">
        <v>768891.91</v>
      </c>
    </row>
    <row r="169" spans="1:22">
      <c r="A169" s="93">
        <v>147</v>
      </c>
      <c r="B169" s="64" t="s">
        <v>228</v>
      </c>
      <c r="C169" s="64" t="s">
        <v>227</v>
      </c>
      <c r="D169" s="29">
        <v>47605505.75</v>
      </c>
      <c r="E169" s="29">
        <v>3515931.46</v>
      </c>
      <c r="F169" s="29">
        <v>0</v>
      </c>
      <c r="G169" s="10">
        <v>331183.94</v>
      </c>
      <c r="H169" s="12">
        <f>(E169+F169)-G169</f>
        <v>3184747.52</v>
      </c>
      <c r="I169" s="10">
        <v>61671193.850000001</v>
      </c>
      <c r="J169" s="13">
        <f t="shared" si="82"/>
        <v>1.0701386728817321E-3</v>
      </c>
      <c r="K169" s="10">
        <v>58462847.409999996</v>
      </c>
      <c r="L169" s="13">
        <f t="shared" si="90"/>
        <v>1.0234801953453864E-3</v>
      </c>
      <c r="M169" s="13">
        <f t="shared" si="91"/>
        <v>-5.2023420331435741E-2</v>
      </c>
      <c r="N169" s="20">
        <f t="shared" si="92"/>
        <v>5.6648616116387008E-3</v>
      </c>
      <c r="O169" s="21">
        <f t="shared" si="93"/>
        <v>5.4474724736983185E-2</v>
      </c>
      <c r="P169" s="22">
        <f t="shared" si="94"/>
        <v>1.1490565343265393</v>
      </c>
      <c r="Q169" s="22">
        <f t="shared" si="95"/>
        <v>6.2594538414670095E-2</v>
      </c>
      <c r="R169" s="10">
        <v>1.204</v>
      </c>
      <c r="S169" s="10">
        <v>1.218</v>
      </c>
      <c r="T169" s="10">
        <v>32</v>
      </c>
      <c r="U169" s="10">
        <v>50763000</v>
      </c>
      <c r="V169" s="10">
        <v>50879000</v>
      </c>
    </row>
    <row r="170" spans="1:22">
      <c r="A170" s="93">
        <v>148</v>
      </c>
      <c r="B170" s="70" t="s">
        <v>174</v>
      </c>
      <c r="C170" s="70" t="s">
        <v>36</v>
      </c>
      <c r="D170" s="29">
        <v>3371357072.1999998</v>
      </c>
      <c r="E170" s="29">
        <v>25556182.199999999</v>
      </c>
      <c r="F170" s="29">
        <v>-13141183.24</v>
      </c>
      <c r="G170" s="10">
        <v>7347599.7400000002</v>
      </c>
      <c r="H170" s="12">
        <f t="shared" si="89"/>
        <v>5067399.2199999988</v>
      </c>
      <c r="I170" s="10">
        <v>3276148094.0300002</v>
      </c>
      <c r="J170" s="13">
        <f t="shared" si="82"/>
        <v>5.6848790409937559E-2</v>
      </c>
      <c r="K170" s="10">
        <v>3290060220.8200002</v>
      </c>
      <c r="L170" s="13">
        <f t="shared" si="90"/>
        <v>5.7597459355477172E-2</v>
      </c>
      <c r="M170" s="13">
        <f t="shared" si="91"/>
        <v>4.2464889836181397E-3</v>
      </c>
      <c r="N170" s="20">
        <f t="shared" si="92"/>
        <v>2.2332721126206976E-3</v>
      </c>
      <c r="O170" s="21">
        <f t="shared" si="93"/>
        <v>1.5402147316127309E-3</v>
      </c>
      <c r="P170" s="22">
        <f t="shared" si="94"/>
        <v>4.6423158234776905</v>
      </c>
      <c r="Q170" s="22">
        <f t="shared" si="95"/>
        <v>7.1501632201192242E-3</v>
      </c>
      <c r="R170" s="10">
        <v>4.6399999999999997</v>
      </c>
      <c r="S170" s="10">
        <v>4.7699999999999996</v>
      </c>
      <c r="T170" s="10">
        <v>2369</v>
      </c>
      <c r="U170" s="10">
        <v>708606357.44000006</v>
      </c>
      <c r="V170" s="10">
        <v>708710985.19000006</v>
      </c>
    </row>
    <row r="171" spans="1:22">
      <c r="A171" s="93">
        <v>149</v>
      </c>
      <c r="B171" s="64" t="s">
        <v>256</v>
      </c>
      <c r="C171" s="65" t="s">
        <v>257</v>
      </c>
      <c r="D171" s="17">
        <v>81790091.930000007</v>
      </c>
      <c r="E171" s="17">
        <v>3707016.9</v>
      </c>
      <c r="F171" s="17">
        <v>564183.54</v>
      </c>
      <c r="G171" s="17">
        <v>333331.24</v>
      </c>
      <c r="H171" s="12">
        <f t="shared" si="89"/>
        <v>3937869.1999999993</v>
      </c>
      <c r="I171" s="17">
        <v>78281238.260000005</v>
      </c>
      <c r="J171" s="13">
        <f t="shared" si="82"/>
        <v>1.3583615816948399E-3</v>
      </c>
      <c r="K171" s="17">
        <v>80266563.420000002</v>
      </c>
      <c r="L171" s="13">
        <f t="shared" si="90"/>
        <v>1.405187082878084E-3</v>
      </c>
      <c r="M171" s="13">
        <f t="shared" si="91"/>
        <v>2.5361442973168374E-2</v>
      </c>
      <c r="N171" s="20">
        <f t="shared" si="92"/>
        <v>4.152803182264359E-3</v>
      </c>
      <c r="O171" s="21">
        <f t="shared" si="93"/>
        <v>4.9059895331445086E-2</v>
      </c>
      <c r="P171" s="22">
        <f t="shared" si="94"/>
        <v>2.2709690684827257</v>
      </c>
      <c r="Q171" s="22">
        <f t="shared" si="95"/>
        <v>0.11141350480071188</v>
      </c>
      <c r="R171" s="17">
        <v>2.2599999999999998</v>
      </c>
      <c r="S171" s="17">
        <v>2.27</v>
      </c>
      <c r="T171" s="17">
        <v>86</v>
      </c>
      <c r="U171" s="17">
        <v>34020807.649999999</v>
      </c>
      <c r="V171" s="17">
        <v>35344630.859999999</v>
      </c>
    </row>
    <row r="172" spans="1:22">
      <c r="A172" s="93">
        <v>150</v>
      </c>
      <c r="B172" s="70" t="s">
        <v>175</v>
      </c>
      <c r="C172" s="70" t="s">
        <v>115</v>
      </c>
      <c r="D172" s="29">
        <v>598839450.38999999</v>
      </c>
      <c r="E172" s="29">
        <v>8162617.7300000004</v>
      </c>
      <c r="F172" s="29">
        <v>-15484584.59</v>
      </c>
      <c r="G172" s="10">
        <v>658194.32999999996</v>
      </c>
      <c r="H172" s="12">
        <f t="shared" si="89"/>
        <v>-7980161.1899999995</v>
      </c>
      <c r="I172" s="10">
        <v>543056312.33000004</v>
      </c>
      <c r="J172" s="13">
        <f t="shared" si="82"/>
        <v>9.4232902769868076E-3</v>
      </c>
      <c r="K172" s="10">
        <v>594935270.24000001</v>
      </c>
      <c r="L172" s="13">
        <f t="shared" si="90"/>
        <v>1.041523794304523E-2</v>
      </c>
      <c r="M172" s="13">
        <f t="shared" si="91"/>
        <v>9.5531451770464987E-2</v>
      </c>
      <c r="N172" s="20">
        <f t="shared" si="92"/>
        <v>1.1063293150101539E-3</v>
      </c>
      <c r="O172" s="21">
        <f t="shared" si="93"/>
        <v>-1.3413494861013637E-2</v>
      </c>
      <c r="P172" s="22">
        <f t="shared" si="94"/>
        <v>257.99594087900601</v>
      </c>
      <c r="Q172" s="22">
        <f t="shared" si="95"/>
        <v>-3.4606272271429255</v>
      </c>
      <c r="R172" s="10">
        <v>254.71940000000001</v>
      </c>
      <c r="S172" s="10">
        <v>256.39100000000002</v>
      </c>
      <c r="T172" s="10">
        <v>139</v>
      </c>
      <c r="U172" s="10">
        <v>2083599.34</v>
      </c>
      <c r="V172" s="10">
        <v>2305986.94</v>
      </c>
    </row>
    <row r="173" spans="1:22">
      <c r="A173" s="93">
        <v>151</v>
      </c>
      <c r="B173" s="19" t="s">
        <v>176</v>
      </c>
      <c r="C173" s="70" t="s">
        <v>32</v>
      </c>
      <c r="D173" s="29">
        <v>2037053212.29</v>
      </c>
      <c r="E173" s="29">
        <v>57357147.659999996</v>
      </c>
      <c r="F173" s="29">
        <v>236145435.03999999</v>
      </c>
      <c r="G173" s="10">
        <v>5351641.0999999996</v>
      </c>
      <c r="H173" s="12">
        <f t="shared" si="89"/>
        <v>288150941.59999996</v>
      </c>
      <c r="I173" s="10">
        <v>2221839018.0500002</v>
      </c>
      <c r="J173" s="13">
        <f t="shared" si="82"/>
        <v>3.8554075407004271E-2</v>
      </c>
      <c r="K173" s="10">
        <v>2180159785.4899998</v>
      </c>
      <c r="L173" s="13">
        <f t="shared" si="90"/>
        <v>3.8166980603749914E-2</v>
      </c>
      <c r="M173" s="13">
        <f t="shared" si="91"/>
        <v>-1.8758889470120228E-2</v>
      </c>
      <c r="N173" s="20">
        <f t="shared" si="92"/>
        <v>2.4547013185078066E-3</v>
      </c>
      <c r="O173" s="21">
        <f t="shared" si="93"/>
        <v>0.13216964349025312</v>
      </c>
      <c r="P173" s="22">
        <f t="shared" si="94"/>
        <v>2922.6620892687174</v>
      </c>
      <c r="Q173" s="22">
        <f t="shared" si="95"/>
        <v>386.28720638112469</v>
      </c>
      <c r="R173" s="10">
        <v>0</v>
      </c>
      <c r="S173" s="10">
        <v>0</v>
      </c>
      <c r="T173" s="10">
        <v>823</v>
      </c>
      <c r="U173" s="10">
        <v>745950</v>
      </c>
      <c r="V173" s="10">
        <v>745950</v>
      </c>
    </row>
    <row r="174" spans="1:22">
      <c r="A174" s="93">
        <v>152</v>
      </c>
      <c r="B174" s="19" t="s">
        <v>177</v>
      </c>
      <c r="C174" s="70" t="s">
        <v>83</v>
      </c>
      <c r="D174" s="29">
        <v>33220825.82</v>
      </c>
      <c r="E174" s="29">
        <v>206174.58</v>
      </c>
      <c r="F174" s="29">
        <v>-229008.35</v>
      </c>
      <c r="G174" s="10">
        <v>14061.34</v>
      </c>
      <c r="H174" s="12">
        <f t="shared" si="89"/>
        <v>-36895.110000000015</v>
      </c>
      <c r="I174" s="10">
        <v>31413133.920000002</v>
      </c>
      <c r="J174" s="13">
        <f t="shared" si="82"/>
        <v>5.4509094677117104E-4</v>
      </c>
      <c r="K174" s="10">
        <v>30386696.010000002</v>
      </c>
      <c r="L174" s="13">
        <f t="shared" si="90"/>
        <v>5.3196487933798492E-4</v>
      </c>
      <c r="M174" s="13">
        <f t="shared" si="91"/>
        <v>-3.2675438006727855E-2</v>
      </c>
      <c r="N174" s="20">
        <f t="shared" si="92"/>
        <v>4.6274659131655951E-4</v>
      </c>
      <c r="O174" s="21">
        <f t="shared" si="93"/>
        <v>-1.2141863000787632E-3</v>
      </c>
      <c r="P174" s="22">
        <f t="shared" si="94"/>
        <v>1.9174471709765979</v>
      </c>
      <c r="Q174" s="22">
        <f t="shared" si="95"/>
        <v>-2.3281380861245671E-3</v>
      </c>
      <c r="R174" s="10">
        <v>1.9174</v>
      </c>
      <c r="S174" s="10">
        <v>1.9174</v>
      </c>
      <c r="T174" s="10">
        <v>9</v>
      </c>
      <c r="U174" s="10">
        <v>15609035.470000001</v>
      </c>
      <c r="V174" s="10">
        <v>15847474.949999999</v>
      </c>
    </row>
    <row r="175" spans="1:22">
      <c r="A175" s="93">
        <v>153</v>
      </c>
      <c r="B175" s="70" t="s">
        <v>178</v>
      </c>
      <c r="C175" s="70" t="s">
        <v>42</v>
      </c>
      <c r="D175" s="29">
        <v>228573104.25</v>
      </c>
      <c r="E175" s="29">
        <v>4984205.8499999996</v>
      </c>
      <c r="F175" s="29">
        <v>91299514.230000004</v>
      </c>
      <c r="G175" s="10">
        <v>401792.85</v>
      </c>
      <c r="H175" s="12">
        <f t="shared" si="89"/>
        <v>95881927.230000004</v>
      </c>
      <c r="I175" s="10">
        <v>275793597.31</v>
      </c>
      <c r="J175" s="13">
        <f t="shared" si="82"/>
        <v>4.7856604646320175E-3</v>
      </c>
      <c r="K175" s="10">
        <v>231764258.13999999</v>
      </c>
      <c r="L175" s="13">
        <f t="shared" si="90"/>
        <v>4.0573824010260561E-3</v>
      </c>
      <c r="M175" s="13">
        <f t="shared" si="91"/>
        <v>-0.15964598018027867</v>
      </c>
      <c r="N175" s="20">
        <f t="shared" si="92"/>
        <v>1.7336273212467997E-3</v>
      </c>
      <c r="O175" s="21">
        <f t="shared" si="93"/>
        <v>0.41370454616035479</v>
      </c>
      <c r="P175" s="22">
        <f t="shared" si="94"/>
        <v>2.3348418459668796</v>
      </c>
      <c r="Q175" s="22">
        <f t="shared" si="95"/>
        <v>0.9659346862419329</v>
      </c>
      <c r="R175" s="10">
        <v>2.48</v>
      </c>
      <c r="S175" s="10">
        <v>2.54</v>
      </c>
      <c r="T175" s="10">
        <v>121</v>
      </c>
      <c r="U175" s="10">
        <v>99310332.900000006</v>
      </c>
      <c r="V175" s="10">
        <v>99263364.900000006</v>
      </c>
    </row>
    <row r="176" spans="1:22">
      <c r="A176" s="93">
        <v>154</v>
      </c>
      <c r="B176" s="19" t="s">
        <v>179</v>
      </c>
      <c r="C176" s="19" t="s">
        <v>46</v>
      </c>
      <c r="D176" s="29">
        <v>2914116940.1799998</v>
      </c>
      <c r="E176" s="29">
        <v>18461887.460000001</v>
      </c>
      <c r="F176" s="29">
        <v>5376303.5199999996</v>
      </c>
      <c r="G176" s="10">
        <v>4409181.3</v>
      </c>
      <c r="H176" s="12">
        <f t="shared" si="89"/>
        <v>19429009.68</v>
      </c>
      <c r="I176" s="10">
        <v>2663347245.6700001</v>
      </c>
      <c r="J176" s="13">
        <f t="shared" si="82"/>
        <v>4.621527019303049E-2</v>
      </c>
      <c r="K176" s="10">
        <v>2934915643.4000001</v>
      </c>
      <c r="L176" s="13">
        <f t="shared" si="90"/>
        <v>5.138011864121865E-2</v>
      </c>
      <c r="M176" s="13">
        <f t="shared" si="91"/>
        <v>0.10196507352599582</v>
      </c>
      <c r="N176" s="20">
        <f t="shared" si="92"/>
        <v>1.5023196015583307E-3</v>
      </c>
      <c r="O176" s="21">
        <f t="shared" si="93"/>
        <v>6.6199550653838046E-3</v>
      </c>
      <c r="P176" s="22">
        <f t="shared" si="94"/>
        <v>6930.1767420597907</v>
      </c>
      <c r="Q176" s="22">
        <f t="shared" si="95"/>
        <v>45.877458627603744</v>
      </c>
      <c r="R176" s="10">
        <v>6892.99</v>
      </c>
      <c r="S176" s="10">
        <v>6955.66</v>
      </c>
      <c r="T176" s="10">
        <v>2310</v>
      </c>
      <c r="U176" s="10">
        <v>387007.75</v>
      </c>
      <c r="V176" s="10">
        <v>423497.95</v>
      </c>
    </row>
    <row r="177" spans="1:22">
      <c r="A177" s="93">
        <v>155</v>
      </c>
      <c r="B177" s="19" t="s">
        <v>290</v>
      </c>
      <c r="C177" s="19" t="s">
        <v>288</v>
      </c>
      <c r="D177" s="29">
        <v>104918804.31045499</v>
      </c>
      <c r="E177" s="29">
        <v>2426351.52</v>
      </c>
      <c r="F177" s="29">
        <v>1635770.49</v>
      </c>
      <c r="G177" s="10">
        <v>930681.66</v>
      </c>
      <c r="H177" s="12">
        <f t="shared" si="89"/>
        <v>3131440.3499999996</v>
      </c>
      <c r="I177" s="10">
        <v>0</v>
      </c>
      <c r="J177" s="13">
        <f t="shared" si="82"/>
        <v>0</v>
      </c>
      <c r="K177" s="10">
        <v>109103314.48999999</v>
      </c>
      <c r="L177" s="13">
        <f t="shared" si="90"/>
        <v>1.9100178416550089E-3</v>
      </c>
      <c r="M177" s="13" t="e">
        <f t="shared" si="91"/>
        <v>#DIV/0!</v>
      </c>
      <c r="N177" s="20">
        <f t="shared" si="92"/>
        <v>8.5302785194972496E-3</v>
      </c>
      <c r="O177" s="21">
        <f t="shared" si="93"/>
        <v>2.870160603862329E-2</v>
      </c>
      <c r="P177" s="22">
        <f t="shared" si="94"/>
        <v>1159.2920276283517</v>
      </c>
      <c r="Q177" s="22">
        <f t="shared" si="95"/>
        <v>33.273543060705734</v>
      </c>
      <c r="R177" s="10">
        <v>1149.6323</v>
      </c>
      <c r="S177" s="10">
        <v>1165.5018</v>
      </c>
      <c r="T177" s="10">
        <v>9</v>
      </c>
      <c r="U177" s="10">
        <v>94112.02</v>
      </c>
      <c r="V177" s="10">
        <v>94112.02</v>
      </c>
    </row>
    <row r="178" spans="1:22">
      <c r="A178" s="93">
        <v>156</v>
      </c>
      <c r="B178" s="64" t="s">
        <v>226</v>
      </c>
      <c r="C178" s="64" t="s">
        <v>227</v>
      </c>
      <c r="D178" s="29">
        <v>748051184.51999998</v>
      </c>
      <c r="E178" s="29">
        <v>93498268.780000001</v>
      </c>
      <c r="F178" s="29">
        <v>0</v>
      </c>
      <c r="G178" s="10">
        <v>763216.5</v>
      </c>
      <c r="H178" s="12">
        <f t="shared" si="89"/>
        <v>92735052.280000001</v>
      </c>
      <c r="I178" s="10">
        <v>733854202.67999995</v>
      </c>
      <c r="J178" s="13">
        <f t="shared" si="82"/>
        <v>1.2734077508776113E-2</v>
      </c>
      <c r="K178" s="10">
        <v>745812435.92999995</v>
      </c>
      <c r="L178" s="13">
        <f t="shared" si="90"/>
        <v>1.3056569965938559E-2</v>
      </c>
      <c r="M178" s="13">
        <f t="shared" si="91"/>
        <v>1.6295107674425127E-2</v>
      </c>
      <c r="N178" s="20">
        <f t="shared" si="92"/>
        <v>1.0233357118111042E-3</v>
      </c>
      <c r="O178" s="21">
        <f t="shared" si="93"/>
        <v>0.1243409841569119</v>
      </c>
      <c r="P178" s="22">
        <f t="shared" si="94"/>
        <v>1.4233237795637697</v>
      </c>
      <c r="Q178" s="22">
        <f t="shared" si="95"/>
        <v>0.17697747952489465</v>
      </c>
      <c r="R178" s="10">
        <v>1.4219999999999999</v>
      </c>
      <c r="S178" s="10">
        <v>1.4219999999999999</v>
      </c>
      <c r="T178" s="10">
        <v>44</v>
      </c>
      <c r="U178" s="10">
        <v>523893519</v>
      </c>
      <c r="V178" s="10">
        <v>523993519</v>
      </c>
    </row>
    <row r="179" spans="1:22">
      <c r="A179" s="93">
        <v>157</v>
      </c>
      <c r="B179" s="19" t="s">
        <v>180</v>
      </c>
      <c r="C179" s="19" t="s">
        <v>50</v>
      </c>
      <c r="D179" s="29">
        <v>1701261143</v>
      </c>
      <c r="E179" s="29">
        <v>19080010</v>
      </c>
      <c r="F179" s="29">
        <v>-31584048</v>
      </c>
      <c r="G179" s="10">
        <v>3413677</v>
      </c>
      <c r="H179" s="12">
        <f t="shared" si="89"/>
        <v>-15917715</v>
      </c>
      <c r="I179" s="10">
        <v>2361469163.8207946</v>
      </c>
      <c r="J179" s="13">
        <f t="shared" si="82"/>
        <v>4.0976983243892866E-2</v>
      </c>
      <c r="K179" s="10">
        <v>2353939097.73</v>
      </c>
      <c r="L179" s="13">
        <f t="shared" si="90"/>
        <v>4.1209249195135002E-2</v>
      </c>
      <c r="M179" s="13">
        <f t="shared" si="91"/>
        <v>-3.188720905680223E-3</v>
      </c>
      <c r="N179" s="20">
        <f t="shared" si="92"/>
        <v>1.4501976721878441E-3</v>
      </c>
      <c r="O179" s="21">
        <f t="shared" si="93"/>
        <v>-6.7621609307352533E-3</v>
      </c>
      <c r="P179" s="22">
        <f t="shared" si="94"/>
        <v>2.1142877714146806</v>
      </c>
      <c r="Q179" s="22">
        <f t="shared" si="95"/>
        <v>-1.4297154164191663E-2</v>
      </c>
      <c r="R179" s="10">
        <v>2.11</v>
      </c>
      <c r="S179" s="10">
        <v>2.12</v>
      </c>
      <c r="T179" s="10">
        <v>1392</v>
      </c>
      <c r="U179" s="10">
        <v>1106455938</v>
      </c>
      <c r="V179" s="10">
        <v>1113348490</v>
      </c>
    </row>
    <row r="180" spans="1:22">
      <c r="A180" s="93">
        <v>158</v>
      </c>
      <c r="B180" s="82" t="s">
        <v>181</v>
      </c>
      <c r="C180" s="19" t="s">
        <v>90</v>
      </c>
      <c r="D180" s="29">
        <v>8517886675.2700005</v>
      </c>
      <c r="E180" s="29">
        <v>17398048.34</v>
      </c>
      <c r="F180" s="29">
        <v>-55443909.229999997</v>
      </c>
      <c r="G180" s="10">
        <v>16877504.629999999</v>
      </c>
      <c r="H180" s="12">
        <f t="shared" si="89"/>
        <v>-54923365.519999996</v>
      </c>
      <c r="I180" s="10">
        <v>10461713258.129999</v>
      </c>
      <c r="J180" s="13">
        <f t="shared" si="82"/>
        <v>0.18153506107494397</v>
      </c>
      <c r="K180" s="10">
        <v>9836338503.1000004</v>
      </c>
      <c r="L180" s="13">
        <f t="shared" si="90"/>
        <v>0.17219992009684659</v>
      </c>
      <c r="M180" s="13">
        <f t="shared" si="91"/>
        <v>-5.977747043908014E-2</v>
      </c>
      <c r="N180" s="20">
        <f t="shared" si="92"/>
        <v>1.7158320267933967E-3</v>
      </c>
      <c r="O180" s="21">
        <f t="shared" si="93"/>
        <v>-5.5837205584873331E-3</v>
      </c>
      <c r="P180" s="22">
        <f t="shared" si="94"/>
        <v>576.36469344209058</v>
      </c>
      <c r="Q180" s="22">
        <f t="shared" si="95"/>
        <v>-3.218259387958851</v>
      </c>
      <c r="R180" s="10">
        <v>571.74</v>
      </c>
      <c r="S180" s="10">
        <v>578.74</v>
      </c>
      <c r="T180" s="10">
        <v>34</v>
      </c>
      <c r="U180" s="10">
        <v>18266233.66</v>
      </c>
      <c r="V180" s="10">
        <v>17066171.149999999</v>
      </c>
    </row>
    <row r="181" spans="1:22">
      <c r="A181" s="93">
        <v>159</v>
      </c>
      <c r="B181" s="19" t="s">
        <v>182</v>
      </c>
      <c r="C181" s="19" t="s">
        <v>50</v>
      </c>
      <c r="D181" s="29">
        <v>681034224.82000005</v>
      </c>
      <c r="E181" s="29">
        <v>14667824</v>
      </c>
      <c r="F181" s="29">
        <v>-17831897.800000001</v>
      </c>
      <c r="G181" s="10">
        <v>1962392</v>
      </c>
      <c r="H181" s="12">
        <f t="shared" si="89"/>
        <v>-5126465.8000000007</v>
      </c>
      <c r="I181" s="10">
        <v>1332726011.4521644</v>
      </c>
      <c r="J181" s="13">
        <f t="shared" si="82"/>
        <v>2.3125896487090354E-2</v>
      </c>
      <c r="K181" s="10">
        <v>1342846813</v>
      </c>
      <c r="L181" s="13">
        <f t="shared" si="90"/>
        <v>2.3508555935527083E-2</v>
      </c>
      <c r="M181" s="13">
        <f t="shared" si="91"/>
        <v>7.5940601900669471E-3</v>
      </c>
      <c r="N181" s="20">
        <f t="shared" si="92"/>
        <v>1.4613669861686599E-3</v>
      </c>
      <c r="O181" s="21">
        <f t="shared" si="93"/>
        <v>-3.8176102816576451E-3</v>
      </c>
      <c r="P181" s="22">
        <f t="shared" si="94"/>
        <v>1.6266817049932409</v>
      </c>
      <c r="Q181" s="22">
        <f t="shared" si="95"/>
        <v>-6.2100368019665838E-3</v>
      </c>
      <c r="R181" s="10">
        <v>1.63</v>
      </c>
      <c r="S181" s="10">
        <v>1.64</v>
      </c>
      <c r="T181" s="10">
        <v>235</v>
      </c>
      <c r="U181" s="10">
        <v>816205135</v>
      </c>
      <c r="V181" s="10">
        <v>825512950</v>
      </c>
    </row>
    <row r="182" spans="1:22">
      <c r="A182" s="93">
        <v>160</v>
      </c>
      <c r="B182" s="19" t="s">
        <v>183</v>
      </c>
      <c r="C182" s="19" t="s">
        <v>94</v>
      </c>
      <c r="D182" s="29">
        <v>3909939498.21</v>
      </c>
      <c r="E182" s="29">
        <v>22244828.460000001</v>
      </c>
      <c r="F182" s="29">
        <v>-26988157.149999999</v>
      </c>
      <c r="G182" s="10">
        <v>8780752.9600000009</v>
      </c>
      <c r="H182" s="12">
        <f t="shared" si="89"/>
        <v>-13524081.649999999</v>
      </c>
      <c r="I182" s="10">
        <v>4014065083.6399999</v>
      </c>
      <c r="J182" s="13">
        <f t="shared" si="82"/>
        <v>6.9653366722807628E-2</v>
      </c>
      <c r="K182" s="10">
        <v>3996232489.2399998</v>
      </c>
      <c r="L182" s="13">
        <f t="shared" si="90"/>
        <v>6.996006848673153E-2</v>
      </c>
      <c r="M182" s="13">
        <f t="shared" si="91"/>
        <v>-4.4425274698907712E-3</v>
      </c>
      <c r="N182" s="20">
        <f t="shared" si="92"/>
        <v>2.1972577880897807E-3</v>
      </c>
      <c r="O182" s="21">
        <f t="shared" si="93"/>
        <v>-3.3842079224404679E-3</v>
      </c>
      <c r="P182" s="22">
        <f t="shared" si="94"/>
        <v>23.887057719233784</v>
      </c>
      <c r="Q182" s="22">
        <f t="shared" si="95"/>
        <v>-8.0838769977223696E-2</v>
      </c>
      <c r="R182" s="10">
        <v>23.7286</v>
      </c>
      <c r="S182" s="10">
        <v>24.023299999999999</v>
      </c>
      <c r="T182" s="10">
        <v>6156</v>
      </c>
      <c r="U182" s="10">
        <v>167417170.36000001</v>
      </c>
      <c r="V182" s="10">
        <v>167296974.63</v>
      </c>
    </row>
    <row r="183" spans="1:22" ht="15" customHeight="1">
      <c r="A183" s="95" t="s">
        <v>51</v>
      </c>
      <c r="B183" s="95"/>
      <c r="C183" s="95"/>
      <c r="D183" s="95"/>
      <c r="E183" s="95"/>
      <c r="F183" s="95"/>
      <c r="G183" s="95"/>
      <c r="H183" s="95"/>
      <c r="I183" s="37">
        <f>SUM(I156:I182)</f>
        <v>57629160979.602951</v>
      </c>
      <c r="J183" s="35">
        <f>(I183/$I$214)</f>
        <v>1.3176518874012571E-2</v>
      </c>
      <c r="K183" s="37">
        <f>SUM(K156:K182)</f>
        <v>57121620599.870003</v>
      </c>
      <c r="L183" s="35">
        <f>(K183/$K$214)</f>
        <v>1.189566718985185E-2</v>
      </c>
      <c r="M183" s="13">
        <f t="shared" ref="M157:M183" si="96">((K183-I183)/I183)</f>
        <v>-8.8070062292349739E-3</v>
      </c>
      <c r="N183" s="20"/>
      <c r="O183" s="20"/>
      <c r="P183" s="36"/>
      <c r="Q183" s="36"/>
      <c r="R183" s="37"/>
      <c r="S183" s="37"/>
      <c r="T183" s="37">
        <f>SUM(T156:T182)</f>
        <v>68005</v>
      </c>
      <c r="U183" s="37"/>
      <c r="V183" s="40"/>
    </row>
    <row r="184" spans="1:22" ht="6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</row>
    <row r="185" spans="1:22">
      <c r="A185" s="98" t="s">
        <v>184</v>
      </c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1:22">
      <c r="A186" s="84">
        <v>161</v>
      </c>
      <c r="B186" s="70" t="s">
        <v>185</v>
      </c>
      <c r="C186" s="70" t="s">
        <v>26</v>
      </c>
      <c r="D186" s="10">
        <v>794682027.38999999</v>
      </c>
      <c r="E186" s="10">
        <v>6101283.7999999998</v>
      </c>
      <c r="F186" s="10">
        <v>-13432663.869999999</v>
      </c>
      <c r="G186" s="10">
        <v>2075759.89</v>
      </c>
      <c r="H186" s="12">
        <f>(E186+F186)-G186</f>
        <v>-9407139.959999999</v>
      </c>
      <c r="I186" s="10">
        <v>1056033628</v>
      </c>
      <c r="J186" s="13">
        <f>(I186/$I$189)</f>
        <v>0.15726812463034401</v>
      </c>
      <c r="K186" s="10">
        <v>1058209153</v>
      </c>
      <c r="L186" s="13">
        <f>(K186/$K$189)</f>
        <v>0.15778365400790093</v>
      </c>
      <c r="M186" s="13">
        <f>((K186-I186)/I186)</f>
        <v>2.060090647037615E-3</v>
      </c>
      <c r="N186" s="20">
        <f>(G186/K186)</f>
        <v>1.9615780907916601E-3</v>
      </c>
      <c r="O186" s="21">
        <f>H186/K186</f>
        <v>-8.8896792598428774E-3</v>
      </c>
      <c r="P186" s="22">
        <f>K186/V186</f>
        <v>72.223369415585452</v>
      </c>
      <c r="Q186" s="22">
        <f>H186/V186</f>
        <v>-0.64204258916970047</v>
      </c>
      <c r="R186" s="10">
        <v>71.862300000000005</v>
      </c>
      <c r="S186" s="10">
        <v>74.028999999999996</v>
      </c>
      <c r="T186" s="10">
        <v>1684</v>
      </c>
      <c r="U186" s="10">
        <v>14500330</v>
      </c>
      <c r="V186" s="10">
        <v>14651894</v>
      </c>
    </row>
    <row r="187" spans="1:22">
      <c r="A187" s="84">
        <v>162</v>
      </c>
      <c r="B187" s="70" t="s">
        <v>186</v>
      </c>
      <c r="C187" s="19" t="s">
        <v>46</v>
      </c>
      <c r="D187" s="10">
        <v>4572894927.3599997</v>
      </c>
      <c r="E187" s="10">
        <v>23032236</v>
      </c>
      <c r="F187" s="25">
        <v>-28096533</v>
      </c>
      <c r="G187" s="10">
        <v>13473241.460000001</v>
      </c>
      <c r="H187" s="12">
        <f>(E187+F187)-G187</f>
        <v>-18537538.460000001</v>
      </c>
      <c r="I187" s="10">
        <v>4611660542.0100002</v>
      </c>
      <c r="J187" s="13">
        <f t="shared" ref="J187:J188" si="97">(I187/$I$189)</f>
        <v>0.68678419478671049</v>
      </c>
      <c r="K187" s="10">
        <v>4587656597.29</v>
      </c>
      <c r="L187" s="13">
        <f t="shared" ref="L187:L188" si="98">(K187/$K$189)</f>
        <v>0.68403984146399599</v>
      </c>
      <c r="M187" s="13">
        <f t="shared" ref="M187:M188" si="99">((K187-I187)/I187)</f>
        <v>-5.2050545571027881E-3</v>
      </c>
      <c r="N187" s="20">
        <f t="shared" ref="N187:N188" si="100">(G187/K187)</f>
        <v>2.9368461161541283E-3</v>
      </c>
      <c r="O187" s="21">
        <f t="shared" ref="O187:O188" si="101">H187/K187</f>
        <v>-4.0407423848921936E-3</v>
      </c>
      <c r="P187" s="22">
        <f t="shared" ref="P187:P188" si="102">K187/V187</f>
        <v>3.1683113548227735</v>
      </c>
      <c r="Q187" s="22">
        <f t="shared" ref="Q187:Q188" si="103">H187/V187</f>
        <v>-1.2802329979967591E-2</v>
      </c>
      <c r="R187" s="10">
        <v>3.14</v>
      </c>
      <c r="S187" s="10">
        <v>3.18</v>
      </c>
      <c r="T187" s="10">
        <v>10333</v>
      </c>
      <c r="U187" s="10">
        <v>1449240276.4400001</v>
      </c>
      <c r="V187" s="10">
        <v>1447981616.55</v>
      </c>
    </row>
    <row r="188" spans="1:22">
      <c r="A188" s="84">
        <v>163</v>
      </c>
      <c r="B188" s="70" t="s">
        <v>187</v>
      </c>
      <c r="C188" s="19" t="s">
        <v>94</v>
      </c>
      <c r="D188" s="10">
        <v>1055785193.5</v>
      </c>
      <c r="E188" s="10">
        <v>7604316.5599999996</v>
      </c>
      <c r="F188" s="10">
        <v>8320290.7000000002</v>
      </c>
      <c r="G188" s="10">
        <v>5202472.87</v>
      </c>
      <c r="H188" s="12">
        <f>(E188+F188)-G188</f>
        <v>10722134.390000001</v>
      </c>
      <c r="I188" s="10">
        <v>1047167029.5</v>
      </c>
      <c r="J188" s="13">
        <f t="shared" si="97"/>
        <v>0.15594768058294553</v>
      </c>
      <c r="K188" s="10">
        <v>1060843887.37</v>
      </c>
      <c r="L188" s="13">
        <f t="shared" si="98"/>
        <v>0.15817650452810314</v>
      </c>
      <c r="M188" s="13">
        <f t="shared" si="99"/>
        <v>1.3060817887410391E-2</v>
      </c>
      <c r="N188" s="20">
        <f t="shared" si="100"/>
        <v>4.904089029440283E-3</v>
      </c>
      <c r="O188" s="21">
        <f t="shared" si="101"/>
        <v>1.0107174597180241E-2</v>
      </c>
      <c r="P188" s="22">
        <f t="shared" si="102"/>
        <v>30.272699822547192</v>
      </c>
      <c r="Q188" s="22">
        <f t="shared" si="103"/>
        <v>0.30597146263451175</v>
      </c>
      <c r="R188" s="10">
        <v>30.171299999999999</v>
      </c>
      <c r="S188" s="10">
        <v>30.4663</v>
      </c>
      <c r="T188" s="10">
        <v>1487</v>
      </c>
      <c r="U188" s="10">
        <v>35044529.009999998</v>
      </c>
      <c r="V188" s="10">
        <v>35042922.950000003</v>
      </c>
    </row>
    <row r="189" spans="1:22" ht="15" customHeight="1">
      <c r="A189" s="95" t="s">
        <v>51</v>
      </c>
      <c r="B189" s="95"/>
      <c r="C189" s="95"/>
      <c r="D189" s="95"/>
      <c r="E189" s="95"/>
      <c r="F189" s="95"/>
      <c r="G189" s="95"/>
      <c r="H189" s="95"/>
      <c r="I189" s="37">
        <f>SUM(I186:I188)</f>
        <v>6714861199.5100002</v>
      </c>
      <c r="J189" s="35">
        <f>(I189/$I$214)</f>
        <v>1.5353077127573304E-3</v>
      </c>
      <c r="K189" s="37">
        <f>SUM(K186:K188)</f>
        <v>6706709637.6599998</v>
      </c>
      <c r="L189" s="35">
        <f>(K189/$K$214)</f>
        <v>1.3966828138058257E-3</v>
      </c>
      <c r="M189" s="35">
        <f t="shared" ref="M189" si="104">((K189-I189)/I189)</f>
        <v>-1.2139583541347393E-3</v>
      </c>
      <c r="N189" s="20"/>
      <c r="O189" s="41"/>
      <c r="P189" s="36"/>
      <c r="Q189" s="36"/>
      <c r="R189" s="37"/>
      <c r="S189" s="37"/>
      <c r="T189" s="37">
        <f>SUM(T186:T188)</f>
        <v>13504</v>
      </c>
      <c r="U189" s="37"/>
      <c r="V189" s="40"/>
    </row>
    <row r="190" spans="1:22" ht="8.1" customHeight="1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</row>
    <row r="191" spans="1:22">
      <c r="A191" s="98" t="s">
        <v>188</v>
      </c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1:22" ht="12.9" customHeight="1">
      <c r="A192" s="99" t="s">
        <v>189</v>
      </c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</row>
    <row r="193" spans="1:22" ht="15" customHeight="1">
      <c r="A193" s="84">
        <v>164</v>
      </c>
      <c r="B193" s="70" t="s">
        <v>190</v>
      </c>
      <c r="C193" s="19" t="s">
        <v>118</v>
      </c>
      <c r="D193" s="134">
        <v>4387191190.7799997</v>
      </c>
      <c r="E193" s="29">
        <v>46717589.119999997</v>
      </c>
      <c r="F193" s="29">
        <v>-55180153.18</v>
      </c>
      <c r="G193" s="17">
        <v>22865302.670000002</v>
      </c>
      <c r="H193" s="12">
        <f>(E193+F193)-G193</f>
        <v>-31327866.730000004</v>
      </c>
      <c r="I193" s="29">
        <v>5370890053.6700001</v>
      </c>
      <c r="J193" s="13">
        <f>(I193/$I$213)</f>
        <v>9.9085447147851294E-2</v>
      </c>
      <c r="K193" s="29">
        <v>5353830642.75</v>
      </c>
      <c r="L193" s="13">
        <f>(K193/$K$213)</f>
        <v>9.5295762442421578E-2</v>
      </c>
      <c r="M193" s="13">
        <f>((K193-I193)/I193)</f>
        <v>-3.1762726009152164E-3</v>
      </c>
      <c r="N193" s="20">
        <f>(G193/K193)</f>
        <v>4.2708304008389807E-3</v>
      </c>
      <c r="O193" s="21">
        <f>H193/K193</f>
        <v>-5.8514863133415102E-3</v>
      </c>
      <c r="P193" s="22">
        <f>K193/V193</f>
        <v>2.3625656449855068</v>
      </c>
      <c r="Q193" s="22">
        <f>H193/V193</f>
        <v>-1.3824520536003549E-2</v>
      </c>
      <c r="R193" s="29">
        <v>2.34</v>
      </c>
      <c r="S193" s="29">
        <v>2.38</v>
      </c>
      <c r="T193" s="29">
        <v>15031</v>
      </c>
      <c r="U193" s="10">
        <v>2260141930.9400001</v>
      </c>
      <c r="V193" s="10">
        <v>2266108734</v>
      </c>
    </row>
    <row r="194" spans="1:22">
      <c r="A194" s="84">
        <v>165</v>
      </c>
      <c r="B194" s="19" t="s">
        <v>191</v>
      </c>
      <c r="C194" s="19" t="s">
        <v>46</v>
      </c>
      <c r="D194" s="17">
        <v>892841342.07000005</v>
      </c>
      <c r="E194" s="17">
        <v>3731615.59</v>
      </c>
      <c r="F194" s="17">
        <v>15113729.48</v>
      </c>
      <c r="G194" s="17">
        <v>2595141.94</v>
      </c>
      <c r="H194" s="12">
        <f>(E194+F194)-G194</f>
        <v>16250203.130000001</v>
      </c>
      <c r="I194" s="17">
        <v>928638697.49000001</v>
      </c>
      <c r="J194" s="13">
        <f>(I194/$I$213)</f>
        <v>1.713209163846504E-2</v>
      </c>
      <c r="K194" s="17">
        <v>901386038.21000004</v>
      </c>
      <c r="L194" s="13">
        <f>(K194/$K$213)</f>
        <v>1.6044263537266838E-2</v>
      </c>
      <c r="M194" s="13">
        <f>((K194-I194)/I194)</f>
        <v>-2.9346891696050002E-2</v>
      </c>
      <c r="N194" s="20">
        <f>(G194/K194)</f>
        <v>2.8790571741642594E-3</v>
      </c>
      <c r="O194" s="21">
        <f>H194/K194</f>
        <v>1.8028017343457142E-2</v>
      </c>
      <c r="P194" s="22">
        <f>K194/V194</f>
        <v>560.38149640502616</v>
      </c>
      <c r="Q194" s="22">
        <f>H194/V194</f>
        <v>10.102567336142277</v>
      </c>
      <c r="R194" s="17">
        <v>556.09</v>
      </c>
      <c r="S194" s="17">
        <v>563.32000000000005</v>
      </c>
      <c r="T194" s="17">
        <v>923</v>
      </c>
      <c r="U194" s="17">
        <v>1632920.05</v>
      </c>
      <c r="V194" s="17">
        <v>1608522.13</v>
      </c>
    </row>
    <row r="195" spans="1:22" ht="6.9" customHeight="1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</row>
    <row r="196" spans="1:22">
      <c r="A196" s="100" t="s">
        <v>146</v>
      </c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</row>
    <row r="197" spans="1:22">
      <c r="A197" s="67">
        <v>166</v>
      </c>
      <c r="B197" s="68" t="s">
        <v>273</v>
      </c>
      <c r="C197" s="69" t="s">
        <v>58</v>
      </c>
      <c r="D197" s="62">
        <v>226862433.94999999</v>
      </c>
      <c r="E197" s="62">
        <v>15539778.85</v>
      </c>
      <c r="F197" s="10">
        <v>0</v>
      </c>
      <c r="G197" s="62">
        <v>1914464.22</v>
      </c>
      <c r="H197" s="62">
        <f>(E197+F197)-G197</f>
        <v>13625314.629999999</v>
      </c>
      <c r="I197" s="62">
        <v>1117343694</v>
      </c>
      <c r="J197" s="13">
        <f>(I197/$I$213)</f>
        <v>2.0613436214761204E-2</v>
      </c>
      <c r="K197" s="62">
        <v>1205210744</v>
      </c>
      <c r="L197" s="13">
        <f>(K197/$K$213)</f>
        <v>2.1452205797508121E-2</v>
      </c>
      <c r="M197" s="13">
        <f t="shared" ref="M197:M213" si="105">((K197-I197)/I197)</f>
        <v>7.8639232021297828E-2</v>
      </c>
      <c r="N197" s="20">
        <f>(G197/K197)</f>
        <v>1.5884891746368302E-3</v>
      </c>
      <c r="O197" s="21">
        <f>H197/K197</f>
        <v>1.1305337840566081E-2</v>
      </c>
      <c r="P197" s="22">
        <f>K197/V197</f>
        <v>1.0544598531358749</v>
      </c>
      <c r="Q197" s="22">
        <f>H197/V197</f>
        <v>1.1921024879014759E-2</v>
      </c>
      <c r="R197" s="62">
        <v>1.0545</v>
      </c>
      <c r="S197" s="62">
        <v>1.0545</v>
      </c>
      <c r="T197" s="62">
        <v>542</v>
      </c>
      <c r="U197" s="62">
        <v>1073110007</v>
      </c>
      <c r="V197" s="62">
        <v>1142965036</v>
      </c>
    </row>
    <row r="198" spans="1:22">
      <c r="A198" s="67">
        <v>167</v>
      </c>
      <c r="B198" s="68" t="s">
        <v>192</v>
      </c>
      <c r="C198" s="69" t="s">
        <v>193</v>
      </c>
      <c r="D198" s="62">
        <v>284848661</v>
      </c>
      <c r="E198" s="62">
        <v>2173441</v>
      </c>
      <c r="F198" s="10">
        <v>0</v>
      </c>
      <c r="G198" s="62">
        <v>735165</v>
      </c>
      <c r="H198" s="62">
        <f>(E198+F198)-G198</f>
        <v>1438276</v>
      </c>
      <c r="I198" s="62">
        <v>347372138.29994005</v>
      </c>
      <c r="J198" s="13">
        <f t="shared" ref="J198:J209" si="106">(I198/$I$213)</f>
        <v>6.4085325348701722E-3</v>
      </c>
      <c r="K198" s="62">
        <v>348792426</v>
      </c>
      <c r="L198" s="13">
        <f t="shared" ref="L198:L209" si="107">(K198/$K$213)</f>
        <v>6.2083473288088459E-3</v>
      </c>
      <c r="M198" s="13">
        <f t="shared" ref="M198:M209" si="108">((K198-I198)/I198)</f>
        <v>4.0886632618577961E-3</v>
      </c>
      <c r="N198" s="20">
        <f t="shared" ref="N198:N209" si="109">(G198/K198)</f>
        <v>2.1077435895927397E-3</v>
      </c>
      <c r="O198" s="21">
        <f t="shared" ref="O198:O209" si="110">H198/K198</f>
        <v>4.1235872478492409E-3</v>
      </c>
      <c r="P198" s="22">
        <f t="shared" ref="P198:P209" si="111">K198/V198</f>
        <v>1065.6235041076889</v>
      </c>
      <c r="Q198" s="22">
        <f t="shared" ref="Q198:Q209" si="112">H198/V198</f>
        <v>4.3941914925468897</v>
      </c>
      <c r="R198" s="62">
        <v>1065.94</v>
      </c>
      <c r="S198" s="62">
        <v>1065.94</v>
      </c>
      <c r="T198" s="62">
        <v>21</v>
      </c>
      <c r="U198" s="62">
        <v>327217</v>
      </c>
      <c r="V198" s="62">
        <v>327313</v>
      </c>
    </row>
    <row r="199" spans="1:22" ht="15" customHeight="1">
      <c r="A199" s="67">
        <v>168</v>
      </c>
      <c r="B199" s="68" t="s">
        <v>194</v>
      </c>
      <c r="C199" s="69" t="s">
        <v>62</v>
      </c>
      <c r="D199" s="62">
        <v>54044395.689999998</v>
      </c>
      <c r="E199" s="62">
        <v>1377479.65</v>
      </c>
      <c r="F199" s="10">
        <v>0</v>
      </c>
      <c r="G199" s="62">
        <v>258360.85</v>
      </c>
      <c r="H199" s="62">
        <f t="shared" ref="H199:H209" si="113">(E199+F199)-G199</f>
        <v>1119118.7999999998</v>
      </c>
      <c r="I199" s="62">
        <v>132258746.7</v>
      </c>
      <c r="J199" s="13">
        <f t="shared" si="106"/>
        <v>2.4399898201284422E-3</v>
      </c>
      <c r="K199" s="62">
        <v>206481599.81999999</v>
      </c>
      <c r="L199" s="13">
        <f t="shared" si="107"/>
        <v>3.675279028824651E-3</v>
      </c>
      <c r="M199" s="13">
        <f t="shared" si="108"/>
        <v>0.56119428750038192</v>
      </c>
      <c r="N199" s="20">
        <f t="shared" si="109"/>
        <v>1.251253623689596E-3</v>
      </c>
      <c r="O199" s="21">
        <f t="shared" si="110"/>
        <v>5.4199444452948343E-3</v>
      </c>
      <c r="P199" s="22">
        <f t="shared" si="111"/>
        <v>119.04181525831204</v>
      </c>
      <c r="Q199" s="22">
        <f t="shared" si="112"/>
        <v>0.64520002536710219</v>
      </c>
      <c r="R199" s="62">
        <v>118.94</v>
      </c>
      <c r="S199" s="62">
        <v>118.94</v>
      </c>
      <c r="T199" s="62">
        <v>86</v>
      </c>
      <c r="U199" s="62">
        <v>119132</v>
      </c>
      <c r="V199" s="62">
        <v>1734530</v>
      </c>
    </row>
    <row r="200" spans="1:22" ht="15" customHeight="1">
      <c r="A200" s="67">
        <v>169</v>
      </c>
      <c r="B200" s="68" t="s">
        <v>195</v>
      </c>
      <c r="C200" s="69" t="s">
        <v>169</v>
      </c>
      <c r="D200" s="62">
        <v>33242762.350000001</v>
      </c>
      <c r="E200" s="62">
        <v>661447.53</v>
      </c>
      <c r="F200" s="10">
        <v>0</v>
      </c>
      <c r="G200" s="62">
        <v>328693.88</v>
      </c>
      <c r="H200" s="62">
        <f t="shared" si="113"/>
        <v>332753.65000000002</v>
      </c>
      <c r="I200" s="62">
        <v>61183686.909999996</v>
      </c>
      <c r="J200" s="13">
        <f t="shared" si="106"/>
        <v>1.1287538778584677E-3</v>
      </c>
      <c r="K200" s="62">
        <v>61982417.960000001</v>
      </c>
      <c r="L200" s="13">
        <f t="shared" si="107"/>
        <v>1.1032589881268793E-3</v>
      </c>
      <c r="M200" s="13">
        <f t="shared" si="108"/>
        <v>1.3054640711255635E-2</v>
      </c>
      <c r="N200" s="20">
        <f t="shared" si="109"/>
        <v>5.3030180302440074E-3</v>
      </c>
      <c r="O200" s="21">
        <f t="shared" si="110"/>
        <v>5.3685167657502595E-3</v>
      </c>
      <c r="P200" s="22">
        <f t="shared" si="111"/>
        <v>101.29087381623565</v>
      </c>
      <c r="Q200" s="22">
        <f t="shared" si="112"/>
        <v>0.54378175429995512</v>
      </c>
      <c r="R200" s="62">
        <v>101.29</v>
      </c>
      <c r="S200" s="62">
        <v>101.29</v>
      </c>
      <c r="T200" s="62">
        <v>18</v>
      </c>
      <c r="U200" s="62">
        <v>607518</v>
      </c>
      <c r="V200" s="62">
        <v>611925</v>
      </c>
    </row>
    <row r="201" spans="1:22" ht="15" customHeight="1">
      <c r="A201" s="67">
        <v>170</v>
      </c>
      <c r="B201" s="19" t="s">
        <v>260</v>
      </c>
      <c r="C201" s="70" t="s">
        <v>69</v>
      </c>
      <c r="D201" s="16">
        <v>119109131.23</v>
      </c>
      <c r="E201" s="29">
        <v>1580711.41</v>
      </c>
      <c r="F201" s="29">
        <v>0</v>
      </c>
      <c r="G201" s="10">
        <v>469224.75</v>
      </c>
      <c r="H201" s="12">
        <f t="shared" si="113"/>
        <v>1111486.6599999999</v>
      </c>
      <c r="I201" s="17">
        <v>114060511.02</v>
      </c>
      <c r="J201" s="13">
        <f t="shared" si="106"/>
        <v>2.1042576972147278E-3</v>
      </c>
      <c r="K201" s="17">
        <v>117718137.69</v>
      </c>
      <c r="L201" s="13">
        <f t="shared" si="107"/>
        <v>2.0953295748459382E-3</v>
      </c>
      <c r="M201" s="13">
        <f t="shared" si="108"/>
        <v>3.2067423136116352E-2</v>
      </c>
      <c r="N201" s="20">
        <f t="shared" si="109"/>
        <v>3.986002150625766E-3</v>
      </c>
      <c r="O201" s="21">
        <f t="shared" si="110"/>
        <v>9.4419320744522726E-3</v>
      </c>
      <c r="P201" s="22">
        <f t="shared" si="111"/>
        <v>1.0706071682727689</v>
      </c>
      <c r="Q201" s="22">
        <f t="shared" si="112"/>
        <v>1.0108600161253178E-2</v>
      </c>
      <c r="R201" s="10">
        <v>1.0722</v>
      </c>
      <c r="S201" s="10">
        <v>1.0722</v>
      </c>
      <c r="T201" s="10">
        <v>34</v>
      </c>
      <c r="U201" s="10">
        <v>107577423.84</v>
      </c>
      <c r="V201" s="10">
        <v>109954557.73</v>
      </c>
    </row>
    <row r="202" spans="1:22" ht="15" customHeight="1">
      <c r="A202" s="67">
        <v>171</v>
      </c>
      <c r="B202" s="69" t="s">
        <v>196</v>
      </c>
      <c r="C202" s="69" t="s">
        <v>73</v>
      </c>
      <c r="D202" s="62">
        <v>5316106660.4399996</v>
      </c>
      <c r="E202" s="62">
        <v>76880946.709999993</v>
      </c>
      <c r="F202" s="10">
        <v>0</v>
      </c>
      <c r="G202" s="62">
        <v>8605671.0500000007</v>
      </c>
      <c r="H202" s="62">
        <f t="shared" si="113"/>
        <v>68275275.659999996</v>
      </c>
      <c r="I202" s="62">
        <v>5210589319.9399996</v>
      </c>
      <c r="J202" s="13">
        <f t="shared" si="106"/>
        <v>9.6128121691354124E-2</v>
      </c>
      <c r="K202" s="62">
        <v>5272940197.2799997</v>
      </c>
      <c r="L202" s="13">
        <f t="shared" si="107"/>
        <v>9.3855949121877072E-2</v>
      </c>
      <c r="M202" s="13">
        <f t="shared" si="108"/>
        <v>1.1966185302954969E-2</v>
      </c>
      <c r="N202" s="20">
        <f t="shared" si="109"/>
        <v>1.6320441211222462E-3</v>
      </c>
      <c r="O202" s="21">
        <f t="shared" si="110"/>
        <v>1.2948236298075066E-2</v>
      </c>
      <c r="P202" s="22">
        <f t="shared" si="111"/>
        <v>149.49702024024921</v>
      </c>
      <c r="Q202" s="22">
        <f t="shared" si="112"/>
        <v>1.9357227439288578</v>
      </c>
      <c r="R202" s="62">
        <v>149.49</v>
      </c>
      <c r="S202" s="62">
        <v>149.49</v>
      </c>
      <c r="T202" s="62">
        <v>698</v>
      </c>
      <c r="U202" s="62">
        <v>35289178</v>
      </c>
      <c r="V202" s="62">
        <v>35271206</v>
      </c>
    </row>
    <row r="203" spans="1:22" ht="15" customHeight="1">
      <c r="A203" s="67">
        <v>172</v>
      </c>
      <c r="B203" s="69" t="s">
        <v>222</v>
      </c>
      <c r="C203" s="69" t="s">
        <v>60</v>
      </c>
      <c r="D203" s="62">
        <v>695384408.39999998</v>
      </c>
      <c r="E203" s="62">
        <v>10170362.6</v>
      </c>
      <c r="F203" s="10">
        <v>0</v>
      </c>
      <c r="G203" s="62">
        <v>1827786.32</v>
      </c>
      <c r="H203" s="62">
        <f t="shared" si="113"/>
        <v>8342576.2799999993</v>
      </c>
      <c r="I203" s="62">
        <v>810278468.36000001</v>
      </c>
      <c r="J203" s="13">
        <f t="shared" si="106"/>
        <v>1.4948510125778063E-2</v>
      </c>
      <c r="K203" s="62">
        <v>820733617.05999994</v>
      </c>
      <c r="L203" s="13">
        <f t="shared" si="107"/>
        <v>1.4608686941894985E-2</v>
      </c>
      <c r="M203" s="13">
        <f t="shared" si="108"/>
        <v>1.2903155036516152E-2</v>
      </c>
      <c r="N203" s="20">
        <f t="shared" si="109"/>
        <v>2.2270152970551215E-3</v>
      </c>
      <c r="O203" s="21">
        <f t="shared" si="110"/>
        <v>1.0164779541849951E-2</v>
      </c>
      <c r="P203" s="22">
        <f t="shared" si="111"/>
        <v>1230.7912938946688</v>
      </c>
      <c r="Q203" s="22">
        <f t="shared" si="112"/>
        <v>12.510722164467561</v>
      </c>
      <c r="R203" s="62">
        <v>1230.79</v>
      </c>
      <c r="S203" s="62">
        <v>1230.79</v>
      </c>
      <c r="T203" s="62">
        <v>155</v>
      </c>
      <c r="U203" s="62">
        <v>665110.34</v>
      </c>
      <c r="V203" s="62">
        <v>666834.11</v>
      </c>
    </row>
    <row r="204" spans="1:22" ht="15" customHeight="1">
      <c r="A204" s="67">
        <v>173</v>
      </c>
      <c r="B204" s="68" t="s">
        <v>117</v>
      </c>
      <c r="C204" s="69" t="s">
        <v>118</v>
      </c>
      <c r="D204" s="62">
        <v>11544000603.15</v>
      </c>
      <c r="E204" s="62">
        <v>396455500.32999998</v>
      </c>
      <c r="F204" s="10"/>
      <c r="G204" s="62">
        <v>47745242.25</v>
      </c>
      <c r="H204" s="62">
        <f t="shared" si="113"/>
        <v>348710258.07999998</v>
      </c>
      <c r="I204" s="62">
        <v>28068648447.060001</v>
      </c>
      <c r="J204" s="13">
        <f t="shared" si="106"/>
        <v>0.51782750241039754</v>
      </c>
      <c r="K204" s="62">
        <v>29541690853.389999</v>
      </c>
      <c r="L204" s="13">
        <f t="shared" si="107"/>
        <v>0.52582872742236819</v>
      </c>
      <c r="M204" s="13">
        <f t="shared" si="108"/>
        <v>5.2479990588370815E-2</v>
      </c>
      <c r="N204" s="20">
        <f t="shared" si="109"/>
        <v>1.6161986965116822E-3</v>
      </c>
      <c r="O204" s="21">
        <f t="shared" si="110"/>
        <v>1.1804004713561763E-2</v>
      </c>
      <c r="P204" s="22">
        <f t="shared" si="111"/>
        <v>1262.2948758767934</v>
      </c>
      <c r="Q204" s="22">
        <f t="shared" si="112"/>
        <v>14.90013466475453</v>
      </c>
      <c r="R204" s="62">
        <v>1262.29</v>
      </c>
      <c r="S204" s="62">
        <v>1262.29</v>
      </c>
      <c r="T204" s="62">
        <v>10184</v>
      </c>
      <c r="U204" s="62">
        <v>22506987.050000001</v>
      </c>
      <c r="V204" s="62">
        <v>23403161.510000002</v>
      </c>
    </row>
    <row r="205" spans="1:22" ht="15" customHeight="1">
      <c r="A205" s="67">
        <v>174</v>
      </c>
      <c r="B205" s="71" t="s">
        <v>219</v>
      </c>
      <c r="C205" s="71" t="s">
        <v>220</v>
      </c>
      <c r="D205" s="62">
        <v>512089661.79000002</v>
      </c>
      <c r="E205" s="62">
        <v>0</v>
      </c>
      <c r="F205" s="10">
        <v>18399337.469999999</v>
      </c>
      <c r="G205" s="62">
        <v>883822.05</v>
      </c>
      <c r="H205" s="62">
        <f t="shared" si="113"/>
        <v>17515515.419999998</v>
      </c>
      <c r="I205" s="62">
        <v>479823442.83999997</v>
      </c>
      <c r="J205" s="13">
        <f t="shared" si="106"/>
        <v>8.8520747791766378E-3</v>
      </c>
      <c r="K205" s="62">
        <v>518376313.11000001</v>
      </c>
      <c r="L205" s="13">
        <f t="shared" si="107"/>
        <v>9.2268637702994337E-3</v>
      </c>
      <c r="M205" s="13">
        <f t="shared" si="108"/>
        <v>8.0348033938924757E-2</v>
      </c>
      <c r="N205" s="20">
        <f t="shared" si="109"/>
        <v>1.7049815503673525E-3</v>
      </c>
      <c r="O205" s="21">
        <f t="shared" si="110"/>
        <v>3.3789189391999062E-2</v>
      </c>
      <c r="P205" s="22">
        <f t="shared" si="111"/>
        <v>126.19121726981182</v>
      </c>
      <c r="Q205" s="22">
        <f t="shared" si="112"/>
        <v>4.2638989399365741</v>
      </c>
      <c r="R205" s="62">
        <v>125.52</v>
      </c>
      <c r="S205" s="62">
        <v>126.54</v>
      </c>
      <c r="T205" s="62">
        <v>149</v>
      </c>
      <c r="U205" s="62">
        <v>3927741.5</v>
      </c>
      <c r="V205" s="62">
        <v>4107863.64</v>
      </c>
    </row>
    <row r="206" spans="1:22" ht="15" customHeight="1">
      <c r="A206" s="67">
        <v>175</v>
      </c>
      <c r="B206" s="71" t="s">
        <v>221</v>
      </c>
      <c r="C206" s="71" t="s">
        <v>220</v>
      </c>
      <c r="D206" s="62">
        <v>155208670.37</v>
      </c>
      <c r="E206" s="62">
        <v>0</v>
      </c>
      <c r="F206" s="10">
        <v>8208768.2699999996</v>
      </c>
      <c r="G206" s="62">
        <v>266929.05</v>
      </c>
      <c r="H206" s="62">
        <f t="shared" si="113"/>
        <v>7941839.2199999997</v>
      </c>
      <c r="I206" s="62">
        <v>108641158.8</v>
      </c>
      <c r="J206" s="13">
        <f t="shared" si="106"/>
        <v>2.0042781905399492E-3</v>
      </c>
      <c r="K206" s="62">
        <v>159588882.28</v>
      </c>
      <c r="L206" s="13">
        <f t="shared" si="107"/>
        <v>2.8406098789846642E-3</v>
      </c>
      <c r="M206" s="13">
        <f t="shared" si="108"/>
        <v>0.46895416104490228</v>
      </c>
      <c r="N206" s="20">
        <f t="shared" si="109"/>
        <v>1.6726042954024252E-3</v>
      </c>
      <c r="O206" s="21">
        <f t="shared" si="110"/>
        <v>4.976436394902483E-2</v>
      </c>
      <c r="P206" s="22">
        <f t="shared" si="111"/>
        <v>117.97986413598295</v>
      </c>
      <c r="Q206" s="22">
        <f t="shared" si="112"/>
        <v>5.871192897519558</v>
      </c>
      <c r="R206" s="62">
        <v>117.98</v>
      </c>
      <c r="S206" s="62">
        <v>117.98</v>
      </c>
      <c r="T206" s="62">
        <v>73</v>
      </c>
      <c r="U206" s="62">
        <v>1176731.3700000001</v>
      </c>
      <c r="V206" s="62">
        <v>1352678.98</v>
      </c>
    </row>
    <row r="207" spans="1:22" ht="16.2" customHeight="1">
      <c r="A207" s="67">
        <v>176</v>
      </c>
      <c r="B207" s="69" t="s">
        <v>197</v>
      </c>
      <c r="C207" s="69" t="s">
        <v>144</v>
      </c>
      <c r="D207" s="62">
        <v>1024284580.53</v>
      </c>
      <c r="E207" s="62">
        <v>20179668.809999999</v>
      </c>
      <c r="F207" s="10">
        <v>0</v>
      </c>
      <c r="G207" s="62">
        <v>3125203.17</v>
      </c>
      <c r="H207" s="62">
        <f t="shared" si="113"/>
        <v>17054465.640000001</v>
      </c>
      <c r="I207" s="62">
        <v>1434550514.6500001</v>
      </c>
      <c r="J207" s="13">
        <f t="shared" si="106"/>
        <v>2.6465460618235372E-2</v>
      </c>
      <c r="K207" s="62">
        <v>1473669973.22</v>
      </c>
      <c r="L207" s="13">
        <f t="shared" si="107"/>
        <v>2.6230658580258824E-2</v>
      </c>
      <c r="M207" s="13">
        <f t="shared" si="108"/>
        <v>2.7269488366217797E-2</v>
      </c>
      <c r="N207" s="20">
        <f t="shared" si="109"/>
        <v>2.1206940677303515E-3</v>
      </c>
      <c r="O207" s="21">
        <f t="shared" si="110"/>
        <v>1.1572784917871152E-2</v>
      </c>
      <c r="P207" s="22">
        <f t="shared" si="111"/>
        <v>106.49969016536949</v>
      </c>
      <c r="Q207" s="22">
        <f t="shared" si="112"/>
        <v>1.2324980081037387</v>
      </c>
      <c r="R207" s="62">
        <v>106.5</v>
      </c>
      <c r="S207" s="62">
        <v>106.5</v>
      </c>
      <c r="T207" s="62">
        <f>608+12+1</f>
        <v>621</v>
      </c>
      <c r="U207" s="62">
        <v>13632430</v>
      </c>
      <c r="V207" s="62">
        <v>13837317</v>
      </c>
    </row>
    <row r="208" spans="1:22">
      <c r="A208" s="67">
        <v>177</v>
      </c>
      <c r="B208" s="68" t="s">
        <v>198</v>
      </c>
      <c r="C208" s="68" t="s">
        <v>46</v>
      </c>
      <c r="D208" s="62">
        <v>6052495042.8699999</v>
      </c>
      <c r="E208" s="62">
        <v>63172353.240000002</v>
      </c>
      <c r="F208" s="10">
        <v>0</v>
      </c>
      <c r="G208" s="62">
        <v>10350503.960000001</v>
      </c>
      <c r="H208" s="62">
        <f t="shared" si="113"/>
        <v>52821849.280000001</v>
      </c>
      <c r="I208" s="62">
        <v>6118836759.3900003</v>
      </c>
      <c r="J208" s="13">
        <f t="shared" si="106"/>
        <v>0.11288402299625985</v>
      </c>
      <c r="K208" s="62">
        <v>6036038220.0900002</v>
      </c>
      <c r="L208" s="13">
        <f t="shared" si="107"/>
        <v>0.10743874857042869</v>
      </c>
      <c r="M208" s="13">
        <f t="shared" si="108"/>
        <v>-1.3531745094022503E-2</v>
      </c>
      <c r="N208" s="20">
        <f t="shared" si="109"/>
        <v>1.7147843639475282E-3</v>
      </c>
      <c r="O208" s="21">
        <f t="shared" si="110"/>
        <v>8.7510793262028756E-3</v>
      </c>
      <c r="P208" s="22">
        <f t="shared" si="111"/>
        <v>135.81514229853229</v>
      </c>
      <c r="Q208" s="22">
        <f t="shared" si="112"/>
        <v>1.1885290839539875</v>
      </c>
      <c r="R208" s="62">
        <v>135.82</v>
      </c>
      <c r="S208" s="62">
        <v>135.82</v>
      </c>
      <c r="T208" s="62">
        <v>1298</v>
      </c>
      <c r="U208" s="62">
        <v>45097108.770000003</v>
      </c>
      <c r="V208" s="62">
        <v>44443043.079999998</v>
      </c>
    </row>
    <row r="209" spans="1:22" ht="15" customHeight="1">
      <c r="A209" s="67">
        <v>178</v>
      </c>
      <c r="B209" s="69" t="s">
        <v>199</v>
      </c>
      <c r="C209" s="69" t="s">
        <v>50</v>
      </c>
      <c r="D209" s="62">
        <v>3225846074</v>
      </c>
      <c r="E209" s="62">
        <v>42949903</v>
      </c>
      <c r="F209" s="10">
        <v>0</v>
      </c>
      <c r="G209" s="62">
        <v>6336114</v>
      </c>
      <c r="H209" s="62">
        <f t="shared" si="113"/>
        <v>36613789</v>
      </c>
      <c r="I209" s="62">
        <v>3901514892.0900002</v>
      </c>
      <c r="J209" s="13">
        <f t="shared" si="106"/>
        <v>7.1977520257109143E-2</v>
      </c>
      <c r="K209" s="62">
        <v>4162763650</v>
      </c>
      <c r="L209" s="13">
        <f t="shared" si="107"/>
        <v>7.4095309016085284E-2</v>
      </c>
      <c r="M209" s="13">
        <f t="shared" si="108"/>
        <v>6.6960851140068736E-2</v>
      </c>
      <c r="N209" s="20">
        <f t="shared" si="109"/>
        <v>1.5220931411755745E-3</v>
      </c>
      <c r="O209" s="21">
        <f t="shared" si="110"/>
        <v>8.7955483612431364E-3</v>
      </c>
      <c r="P209" s="22">
        <f t="shared" si="111"/>
        <v>1.2808954512190787</v>
      </c>
      <c r="Q209" s="22">
        <f t="shared" si="112"/>
        <v>1.1266177886893757E-2</v>
      </c>
      <c r="R209" s="62">
        <v>1.28</v>
      </c>
      <c r="S209" s="62">
        <v>1.28</v>
      </c>
      <c r="T209" s="62">
        <v>292</v>
      </c>
      <c r="U209" s="62">
        <v>3157685513</v>
      </c>
      <c r="V209" s="62">
        <v>3249885575</v>
      </c>
    </row>
    <row r="210" spans="1:22" ht="4.95" customHeight="1">
      <c r="A210" s="84"/>
      <c r="B210" s="19"/>
      <c r="C210" s="19"/>
      <c r="D210" s="11"/>
      <c r="E210" s="11"/>
      <c r="F210" s="11"/>
      <c r="G210" s="31"/>
      <c r="H210" s="12"/>
      <c r="I210" s="23"/>
      <c r="J210" s="13"/>
      <c r="K210" s="32"/>
      <c r="L210" s="13"/>
      <c r="M210" s="13"/>
      <c r="N210" s="20"/>
      <c r="O210" s="21"/>
      <c r="P210" s="22"/>
      <c r="Q210" s="22"/>
      <c r="R210" s="12"/>
      <c r="S210" s="12"/>
      <c r="T210" s="42"/>
      <c r="U210" s="31"/>
      <c r="V210" s="42"/>
    </row>
    <row r="211" spans="1:22" ht="15" customHeight="1">
      <c r="A211" s="99" t="s">
        <v>217</v>
      </c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</row>
    <row r="212" spans="1:22" ht="15" customHeight="1">
      <c r="A212" s="84">
        <v>179</v>
      </c>
      <c r="B212" s="70" t="s">
        <v>218</v>
      </c>
      <c r="C212" s="19" t="s">
        <v>118</v>
      </c>
      <c r="D212" s="16">
        <v>77400000.620000005</v>
      </c>
      <c r="E212" s="16">
        <v>2130396.62</v>
      </c>
      <c r="F212" s="16">
        <v>-2320000</v>
      </c>
      <c r="G212" s="10">
        <v>472140.98</v>
      </c>
      <c r="H212" s="12">
        <f>(E212+F212)-G212</f>
        <v>-661744.35999999987</v>
      </c>
      <c r="I212" s="17">
        <v>195505772.50999999</v>
      </c>
      <c r="J212" s="13">
        <f t="shared" ref="J212" si="114">(I212/$I$213)</f>
        <v>3.6068094292681439E-3</v>
      </c>
      <c r="K212" s="17">
        <v>207754309.15000001</v>
      </c>
      <c r="L212" s="13">
        <f t="shared" ref="L212" si="115">(K212/$K$213)</f>
        <v>3.6979326789049302E-3</v>
      </c>
      <c r="M212" s="13">
        <f>((K212-I212)/I212)</f>
        <v>6.2650511454200211E-2</v>
      </c>
      <c r="N212" s="20">
        <f t="shared" ref="N212" si="116">(G212/K212)</f>
        <v>2.2725929581518863E-3</v>
      </c>
      <c r="O212" s="21">
        <f t="shared" ref="O212" si="117">H212/K212</f>
        <v>-3.185225676942354E-3</v>
      </c>
      <c r="P212" s="22">
        <f t="shared" ref="P212" si="118">K212/V212</f>
        <v>1079.3782969712054</v>
      </c>
      <c r="Q212" s="22">
        <f t="shared" ref="Q212" si="119">H212/V212</f>
        <v>-3.4380634666469927</v>
      </c>
      <c r="R212" s="12">
        <v>1079.3800000000001</v>
      </c>
      <c r="S212" s="12">
        <v>1079.3800000000001</v>
      </c>
      <c r="T212" s="10">
        <v>28</v>
      </c>
      <c r="U212" s="10">
        <v>187824.46</v>
      </c>
      <c r="V212" s="10">
        <v>192475.9</v>
      </c>
    </row>
    <row r="213" spans="1:22" ht="15" customHeight="1">
      <c r="A213" s="95" t="s">
        <v>51</v>
      </c>
      <c r="B213" s="95"/>
      <c r="C213" s="95"/>
      <c r="D213" s="95"/>
      <c r="E213" s="95"/>
      <c r="F213" s="95"/>
      <c r="G213" s="95"/>
      <c r="H213" s="95"/>
      <c r="I213" s="37">
        <f>SUM(I193:I209)</f>
        <v>54204630531.21994</v>
      </c>
      <c r="J213" s="35">
        <f>(I213/$I$214)</f>
        <v>1.2393523089921244E-2</v>
      </c>
      <c r="K213" s="37">
        <f>SUM(K193:K209)</f>
        <v>56181203712.860001</v>
      </c>
      <c r="L213" s="35">
        <f>(K213/$K$214)</f>
        <v>1.1699823896364954E-2</v>
      </c>
      <c r="M213" s="35">
        <f t="shared" si="105"/>
        <v>3.6465024524087931E-2</v>
      </c>
      <c r="N213" s="20"/>
      <c r="O213" s="20"/>
      <c r="P213" s="36"/>
      <c r="Q213" s="36"/>
      <c r="R213" s="37"/>
      <c r="S213" s="37"/>
      <c r="T213" s="37">
        <f>SUM(T193:T209)</f>
        <v>30125</v>
      </c>
      <c r="U213" s="37"/>
      <c r="V213" s="37"/>
    </row>
    <row r="214" spans="1:22" ht="15" customHeight="1">
      <c r="A214" s="96" t="s">
        <v>200</v>
      </c>
      <c r="B214" s="96"/>
      <c r="C214" s="96"/>
      <c r="D214" s="96"/>
      <c r="E214" s="96"/>
      <c r="F214" s="96"/>
      <c r="G214" s="96"/>
      <c r="H214" s="96"/>
      <c r="I214" s="50">
        <f>SUM(I24,I67,I107,I145,I153,I183,I189,I213)</f>
        <v>4373625654137.0908</v>
      </c>
      <c r="J214" s="51"/>
      <c r="K214" s="50">
        <f>SUM(K24,K67,K107,K145,K153,K183,K189,K213)</f>
        <v>4801884559161.1914</v>
      </c>
      <c r="L214" s="43"/>
      <c r="M214" s="43"/>
      <c r="N214" s="44"/>
      <c r="O214" s="44"/>
      <c r="P214" s="45"/>
      <c r="Q214" s="45"/>
      <c r="R214" s="46"/>
      <c r="S214" s="46"/>
      <c r="T214" s="50">
        <f>SUM(T24,T67,T107,T145,T153,T183,T189,T213)</f>
        <v>825885</v>
      </c>
      <c r="U214" s="46"/>
      <c r="V214" s="46"/>
    </row>
    <row r="215" spans="1:22" ht="5.0999999999999996" customHeight="1">
      <c r="A215" s="85"/>
      <c r="B215" s="14"/>
      <c r="C215" s="14"/>
      <c r="D215" s="6"/>
      <c r="E215" s="6"/>
      <c r="F215" s="6"/>
      <c r="G215" s="6"/>
      <c r="H215" s="7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>
      <c r="A216" s="86" t="s">
        <v>201</v>
      </c>
      <c r="B216" s="47" t="s">
        <v>277</v>
      </c>
      <c r="C216" s="87">
        <v>1536.8158000000001</v>
      </c>
      <c r="D216" s="6"/>
      <c r="E216" s="6"/>
      <c r="F216" s="6"/>
      <c r="G216" s="6"/>
      <c r="H216" s="7"/>
      <c r="I216" s="8"/>
      <c r="J216" s="6"/>
      <c r="K216" s="8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9"/>
    </row>
  </sheetData>
  <sheetProtection algorithmName="SHA-512" hashValue="701GXDknvui259fTlyYbfaTSX3LcR1dwwv50Z1cr0bU6v7d/hfmkOn3LSfUHKAyuZlbnSd0qcz8fkE1iJrxllg==" saltValue="Dk4yTjog755FuMcqNOEVog==" spinCount="100000" sheet="1" objects="1" scenarios="1"/>
  <mergeCells count="33">
    <mergeCell ref="A1:V1"/>
    <mergeCell ref="A3:V3"/>
    <mergeCell ref="A4:V4"/>
    <mergeCell ref="A24:H24"/>
    <mergeCell ref="A25:V25"/>
    <mergeCell ref="A26:V26"/>
    <mergeCell ref="A67:H67"/>
    <mergeCell ref="A68:V68"/>
    <mergeCell ref="A69:V69"/>
    <mergeCell ref="A107:H107"/>
    <mergeCell ref="A108:V108"/>
    <mergeCell ref="A109:V109"/>
    <mergeCell ref="A110:V110"/>
    <mergeCell ref="A128:V128"/>
    <mergeCell ref="A129:V129"/>
    <mergeCell ref="A145:H145"/>
    <mergeCell ref="A146:V146"/>
    <mergeCell ref="A147:V147"/>
    <mergeCell ref="A153:H153"/>
    <mergeCell ref="A154:V154"/>
    <mergeCell ref="A155:V155"/>
    <mergeCell ref="A183:H183"/>
    <mergeCell ref="A184:V184"/>
    <mergeCell ref="A185:V185"/>
    <mergeCell ref="A189:H189"/>
    <mergeCell ref="A213:H213"/>
    <mergeCell ref="A214:H214"/>
    <mergeCell ref="A190:V190"/>
    <mergeCell ref="A191:V191"/>
    <mergeCell ref="A192:V192"/>
    <mergeCell ref="A195:V195"/>
    <mergeCell ref="A196:V196"/>
    <mergeCell ref="A211:V211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7 J107 J145 J153 J183 J189 J2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8" sqref="F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  <col min="4" max="4" width="12.2187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63"/>
      <c r="B3" s="63"/>
      <c r="C3" s="63"/>
      <c r="D3" s="63"/>
      <c r="E3" s="2"/>
      <c r="F3" s="2"/>
    </row>
    <row r="4" spans="1:6" ht="33" customHeight="1">
      <c r="A4" s="123" t="s">
        <v>202</v>
      </c>
      <c r="B4" s="124" t="s">
        <v>291</v>
      </c>
      <c r="C4" s="124" t="s">
        <v>276</v>
      </c>
      <c r="D4" s="124" t="s">
        <v>292</v>
      </c>
      <c r="E4" s="116"/>
      <c r="F4" s="2"/>
    </row>
    <row r="5" spans="1:6" ht="18.899999999999999" customHeight="1">
      <c r="A5" s="125" t="s">
        <v>20</v>
      </c>
      <c r="B5" s="126">
        <v>36.033458642393697</v>
      </c>
      <c r="C5" s="126">
        <f>[1]February!K24/1000000000</f>
        <v>38.254232063824439</v>
      </c>
      <c r="D5" s="127">
        <f>March!K24/1000000000</f>
        <v>37.698384507219998</v>
      </c>
      <c r="E5" s="116"/>
      <c r="F5" s="2"/>
    </row>
    <row r="6" spans="1:6">
      <c r="A6" s="123" t="s">
        <v>52</v>
      </c>
      <c r="B6" s="126">
        <v>1914.5786195926196</v>
      </c>
      <c r="C6" s="126">
        <f>[1]February!K65/1000000000</f>
        <v>2137.5508517731296</v>
      </c>
      <c r="D6" s="128">
        <f>March!K67/1000000000</f>
        <v>2499.4910952997884</v>
      </c>
      <c r="E6" s="116"/>
      <c r="F6" s="2"/>
    </row>
    <row r="7" spans="1:6">
      <c r="A7" s="123" t="s">
        <v>203</v>
      </c>
      <c r="B7" s="126">
        <v>190.81975741566711</v>
      </c>
      <c r="C7" s="126">
        <f>[1]February!K104/1000000000</f>
        <v>191.04383083871033</v>
      </c>
      <c r="D7" s="127">
        <f>March!K107/1000000000</f>
        <v>196.72258574835999</v>
      </c>
      <c r="E7" s="116"/>
      <c r="F7" s="2"/>
    </row>
    <row r="8" spans="1:6">
      <c r="A8" s="123" t="s">
        <v>204</v>
      </c>
      <c r="B8" s="126">
        <v>1724.1396101226467</v>
      </c>
      <c r="C8" s="126">
        <f>[1]February!K140/1000000000</f>
        <v>1787.1244946161137</v>
      </c>
      <c r="D8" s="128">
        <f>March!K145/1000000000</f>
        <v>1843.7035979423324</v>
      </c>
      <c r="E8" s="116"/>
      <c r="F8" s="2"/>
    </row>
    <row r="9" spans="1:6">
      <c r="A9" s="123" t="s">
        <v>205</v>
      </c>
      <c r="B9" s="126">
        <v>100.81898307284</v>
      </c>
      <c r="C9" s="126">
        <f>[1]February!K148/1000000000</f>
        <v>101.14279538354</v>
      </c>
      <c r="D9" s="127">
        <f>March!K153/1000000000</f>
        <v>104.25936171309999</v>
      </c>
      <c r="E9" s="116"/>
      <c r="F9" s="2"/>
    </row>
    <row r="10" spans="1:6">
      <c r="A10" s="123" t="s">
        <v>161</v>
      </c>
      <c r="B10" s="126">
        <v>55.822649090856117</v>
      </c>
      <c r="C10" s="126">
        <f>[1]February!K178/1000000000</f>
        <v>57.960605376102954</v>
      </c>
      <c r="D10" s="127">
        <f>March!K183/1000000000</f>
        <v>57.121620599870006</v>
      </c>
      <c r="E10" s="116"/>
      <c r="F10" s="2"/>
    </row>
    <row r="11" spans="1:6">
      <c r="A11" s="123" t="s">
        <v>184</v>
      </c>
      <c r="B11" s="126">
        <v>6.0992284225799995</v>
      </c>
      <c r="C11" s="126">
        <f>[1]February!K184/1000000000</f>
        <v>6.7148611995100005</v>
      </c>
      <c r="D11" s="127">
        <f>March!K189/1000000000</f>
        <v>6.7067096376599995</v>
      </c>
      <c r="E11" s="116"/>
      <c r="F11" s="2"/>
    </row>
    <row r="12" spans="1:6">
      <c r="A12" s="123" t="s">
        <v>206</v>
      </c>
      <c r="B12" s="126">
        <v>54.473855704545414</v>
      </c>
      <c r="C12" s="126">
        <f>[1]February!K208/1000000000</f>
        <v>54.400136303729944</v>
      </c>
      <c r="D12" s="127">
        <f>March!K213/1000000000</f>
        <v>56.181203712860004</v>
      </c>
      <c r="E12" s="116"/>
      <c r="F12" s="2"/>
    </row>
    <row r="13" spans="1:6">
      <c r="A13" s="129"/>
      <c r="B13" s="129"/>
      <c r="C13" s="129"/>
      <c r="D13" s="129"/>
      <c r="E13" s="116"/>
      <c r="F13" s="2"/>
    </row>
    <row r="14" spans="1:6">
      <c r="A14" s="129"/>
      <c r="B14" s="129"/>
      <c r="C14" s="129"/>
      <c r="D14" s="129"/>
      <c r="E14" s="116"/>
      <c r="F14" s="2"/>
    </row>
    <row r="15" spans="1:6">
      <c r="A15" s="129"/>
      <c r="B15" s="129"/>
      <c r="C15" s="129"/>
      <c r="D15" s="129"/>
      <c r="E15" s="116"/>
      <c r="F15" s="2"/>
    </row>
    <row r="16" spans="1:6">
      <c r="A16" s="129"/>
      <c r="B16" s="130"/>
      <c r="C16" s="129"/>
      <c r="D16" s="129"/>
      <c r="E16" s="116"/>
      <c r="F16" s="2"/>
    </row>
    <row r="17" spans="1:6">
      <c r="A17" s="131"/>
      <c r="B17" s="132"/>
      <c r="C17" s="133"/>
      <c r="D17" s="129"/>
      <c r="E17" s="116"/>
      <c r="F17" s="2"/>
    </row>
    <row r="18" spans="1:6" ht="15.6">
      <c r="A18" s="52"/>
      <c r="B18" s="55"/>
      <c r="C18" s="56"/>
      <c r="D18" s="2"/>
      <c r="E18" s="2"/>
      <c r="F18" s="2"/>
    </row>
    <row r="19" spans="1:6">
      <c r="A19" s="57"/>
      <c r="B19" s="54"/>
      <c r="C19" s="58"/>
      <c r="D19" s="2"/>
      <c r="E19" s="2"/>
      <c r="F19" s="2"/>
    </row>
    <row r="20" spans="1:6">
      <c r="A20" s="57"/>
      <c r="B20" s="55"/>
      <c r="C20" s="56"/>
      <c r="D20" s="2"/>
      <c r="E20" s="2"/>
      <c r="F20" s="2"/>
    </row>
    <row r="21" spans="1:6">
      <c r="A21" s="57"/>
      <c r="B21" s="54"/>
      <c r="C21" s="58"/>
      <c r="D21" s="2"/>
      <c r="E21" s="2"/>
      <c r="F21" s="2"/>
    </row>
    <row r="22" spans="1:6">
      <c r="A22" s="57"/>
      <c r="B22" s="59"/>
      <c r="C22" s="60"/>
      <c r="D22" s="2"/>
      <c r="E22" s="2"/>
      <c r="F22" s="2"/>
    </row>
    <row r="23" spans="1:6">
      <c r="A23" s="57"/>
      <c r="B23" s="54"/>
      <c r="C23" s="58"/>
      <c r="D23" s="2"/>
      <c r="E23" s="2"/>
      <c r="F23" s="2"/>
    </row>
    <row r="24" spans="1:6">
      <c r="A24" s="57"/>
      <c r="B24" s="54"/>
      <c r="C24" s="53"/>
      <c r="D24" s="2"/>
      <c r="E24" s="2"/>
      <c r="F24" s="2"/>
    </row>
    <row r="25" spans="1:6">
      <c r="A25" s="57"/>
      <c r="B25" s="54"/>
      <c r="C25" s="54"/>
      <c r="D25" s="2"/>
      <c r="E25" s="2"/>
      <c r="F25" s="2"/>
    </row>
    <row r="26" spans="1:6">
      <c r="A26" s="57"/>
      <c r="B26" s="54"/>
      <c r="C26" s="54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wqzqP+ecadSI/qza9EQiAcLbYmNYc1yyBIeZ3+kdmgHD9EuVkxmVTQk75i/T0QGEgQaKlWCaHuQNbbIbrGZpJw==" saltValue="3ezMVlA5sYfcHCJ+GT1WL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J11" sqref="J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16">
      <c r="A1" s="114" t="s">
        <v>202</v>
      </c>
      <c r="B1" s="115" t="s">
        <v>292</v>
      </c>
      <c r="C1" s="11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14" t="s">
        <v>184</v>
      </c>
      <c r="B2" s="117">
        <f>March!K189</f>
        <v>6706709637.6599998</v>
      </c>
      <c r="C2" s="11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14" t="s">
        <v>20</v>
      </c>
      <c r="B3" s="118">
        <f>March!K24</f>
        <v>37698384507.220001</v>
      </c>
      <c r="C3" s="1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114" t="s">
        <v>206</v>
      </c>
      <c r="B4" s="119">
        <f>March!K213</f>
        <v>56181203712.860001</v>
      </c>
      <c r="C4" s="11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114" t="s">
        <v>161</v>
      </c>
      <c r="B5" s="119">
        <f>March!K183</f>
        <v>57121620599.870003</v>
      </c>
      <c r="C5" s="11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14" t="s">
        <v>205</v>
      </c>
      <c r="B6" s="120">
        <f>March!K153</f>
        <v>104259361713.09999</v>
      </c>
      <c r="C6" s="11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114" t="s">
        <v>203</v>
      </c>
      <c r="B7" s="120">
        <f>March!K107</f>
        <v>196722585748.35999</v>
      </c>
      <c r="C7" s="11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14" t="s">
        <v>204</v>
      </c>
      <c r="B8" s="119">
        <f>March!K145</f>
        <v>1843703597942.3325</v>
      </c>
      <c r="C8" s="11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14" t="s">
        <v>52</v>
      </c>
      <c r="B9" s="119">
        <f>March!K67</f>
        <v>2499491095299.7886</v>
      </c>
      <c r="C9" s="11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116"/>
      <c r="B10" s="116"/>
      <c r="C10" s="11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121"/>
      <c r="B11" s="116"/>
      <c r="C11" s="11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122"/>
      <c r="B12" s="116"/>
      <c r="C12" s="11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" customHeight="1">
      <c r="A13" s="2"/>
      <c r="B13" s="8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89"/>
      <c r="B14" s="8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89"/>
      <c r="B15" s="8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90"/>
      <c r="B16" s="8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7">
      <c r="A17" s="90"/>
      <c r="B17" s="8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>
      <c r="A18" s="89"/>
      <c r="B18" s="8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7">
      <c r="A19" s="23"/>
      <c r="B19" s="8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7">
      <c r="A20" s="91"/>
      <c r="B20" s="8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7">
      <c r="A21" s="57"/>
      <c r="B21" s="9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7">
      <c r="A22" s="2"/>
      <c r="B22" s="5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7" ht="15.9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"/>
    </row>
    <row r="33" spans="1:17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"/>
    </row>
  </sheetData>
  <sheetProtection algorithmName="SHA-512" hashValue="cp2IoEcLv9g083qES4oJj48gHjD7IDjvv7AdM588M9o9+ErAFAJhMbwvpGCCAFJ3Izd/bPUXfbHtsgQwDKSM4w==" saltValue="17PMBIQyouM7jZRrqyzQQA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F7" sqref="F7"/>
    </sheetView>
  </sheetViews>
  <sheetFormatPr defaultColWidth="9" defaultRowHeight="14.4"/>
  <cols>
    <col min="1" max="1" width="34.6640625" customWidth="1"/>
    <col min="2" max="2" width="15" customWidth="1"/>
  </cols>
  <sheetData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 ht="15.6">
      <c r="A4" s="109"/>
      <c r="B4" s="109"/>
      <c r="C4" s="110"/>
      <c r="D4" s="2"/>
      <c r="E4" s="2"/>
    </row>
    <row r="5" spans="1:5" ht="15.6">
      <c r="A5" s="111" t="s">
        <v>202</v>
      </c>
      <c r="B5" s="112" t="s">
        <v>207</v>
      </c>
      <c r="C5" s="110"/>
      <c r="D5" s="2"/>
      <c r="E5" s="2"/>
    </row>
    <row r="6" spans="1:5" ht="15.6">
      <c r="A6" s="111" t="s">
        <v>20</v>
      </c>
      <c r="B6" s="113">
        <f>March!T24</f>
        <v>50732</v>
      </c>
      <c r="C6" s="110"/>
      <c r="D6" s="2"/>
      <c r="E6" s="2"/>
    </row>
    <row r="7" spans="1:5" ht="15.6">
      <c r="A7" s="111" t="s">
        <v>52</v>
      </c>
      <c r="B7" s="113">
        <f>March!T67</f>
        <v>381102</v>
      </c>
      <c r="C7" s="110"/>
      <c r="D7" s="2"/>
      <c r="E7" s="2"/>
    </row>
    <row r="8" spans="1:5" ht="15.6">
      <c r="A8" s="111" t="s">
        <v>203</v>
      </c>
      <c r="B8" s="113">
        <f>March!T107</f>
        <v>44395</v>
      </c>
      <c r="C8" s="110"/>
      <c r="D8" s="2"/>
      <c r="E8" s="2"/>
    </row>
    <row r="9" spans="1:5" ht="15.6">
      <c r="A9" s="111" t="s">
        <v>204</v>
      </c>
      <c r="B9" s="113">
        <f>March!T145</f>
        <v>20581</v>
      </c>
      <c r="C9" s="110"/>
      <c r="D9" s="2"/>
      <c r="E9" s="2"/>
    </row>
    <row r="10" spans="1:5" ht="15.6">
      <c r="A10" s="111" t="s">
        <v>205</v>
      </c>
      <c r="B10" s="113">
        <f>March!T153</f>
        <v>217441</v>
      </c>
      <c r="C10" s="110"/>
      <c r="D10" s="2"/>
      <c r="E10" s="2"/>
    </row>
    <row r="11" spans="1:5" ht="15.6">
      <c r="A11" s="111" t="s">
        <v>161</v>
      </c>
      <c r="B11" s="113">
        <f>March!T183</f>
        <v>68005</v>
      </c>
      <c r="C11" s="110"/>
      <c r="D11" s="2"/>
      <c r="E11" s="2"/>
    </row>
    <row r="12" spans="1:5" ht="15.6">
      <c r="A12" s="111" t="s">
        <v>184</v>
      </c>
      <c r="B12" s="113">
        <f>March!T189</f>
        <v>13504</v>
      </c>
      <c r="C12" s="110"/>
      <c r="D12" s="2"/>
      <c r="E12" s="2"/>
    </row>
    <row r="13" spans="1:5" ht="15.6">
      <c r="A13" s="111" t="s">
        <v>206</v>
      </c>
      <c r="B13" s="113">
        <f>March!T213</f>
        <v>30125</v>
      </c>
      <c r="C13" s="110"/>
      <c r="D13" s="2"/>
      <c r="E13" s="2"/>
    </row>
    <row r="14" spans="1:5">
      <c r="A14" s="110"/>
      <c r="B14" s="110"/>
      <c r="C14" s="110"/>
      <c r="D14" s="2"/>
      <c r="E14" s="2"/>
    </row>
    <row r="15" spans="1:5">
      <c r="A15" s="110"/>
      <c r="B15" s="110"/>
      <c r="C15" s="110"/>
      <c r="D15" s="2"/>
      <c r="E15" s="2"/>
    </row>
    <row r="16" spans="1:5">
      <c r="A16" s="110"/>
      <c r="B16" s="110"/>
      <c r="C16" s="110"/>
      <c r="D16" s="2"/>
      <c r="E16" s="2"/>
    </row>
    <row r="17" spans="1:5">
      <c r="A17" s="110"/>
      <c r="B17" s="110"/>
      <c r="C17" s="110"/>
      <c r="D17" s="2"/>
      <c r="E17" s="2"/>
    </row>
    <row r="18" spans="1:5">
      <c r="A18" s="110"/>
      <c r="B18" s="110"/>
      <c r="C18" s="110"/>
      <c r="D18" s="2"/>
      <c r="E18" s="2"/>
    </row>
    <row r="19" spans="1:5">
      <c r="A19" s="110"/>
      <c r="B19" s="110"/>
      <c r="C19" s="110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</row>
  </sheetData>
  <sheetProtection algorithmName="SHA-512" hashValue="tHPhcJsOksG3xF1+PZ5y2/mn0PVd6idYnDG+4cu7x4HxlE+oLy+H8Z0FZozB/eeMRrZvpWnZccOhcDMzdfC8DA==" saltValue="isJ/B4bosSxcdBTn4YUEI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March</vt:lpstr>
      <vt:lpstr>NAV Comparison</vt:lpstr>
      <vt:lpstr>Market Share</vt:lpstr>
      <vt:lpstr>Unitholders</vt:lpstr>
      <vt:lpstr>March!_Hlk34300669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2025-07-02T11:15:29Z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